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SEPTIEMBRE 2021\"/>
    </mc:Choice>
  </mc:AlternateContent>
  <bookViews>
    <workbookView xWindow="0" yWindow="0" windowWidth="28770" windowHeight="11760" firstSheet="1" activeTab="1"/>
  </bookViews>
  <sheets>
    <sheet name="PART MES" sheetId="41" r:id="rId1"/>
    <sheet name="DIST MES SEPTIEMBRE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55" r:id="rId8"/>
    <sheet name="ISAI" sheetId="47" r:id="rId9"/>
    <sheet name="ISR SEPTIEMBRE " sheetId="54" r:id="rId10"/>
    <sheet name="Ajuste 1er Sem" sheetId="56" r:id="rId11"/>
    <sheet name="Ajuste Semestral " sheetId="49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0" hidden="1">'Ajuste 1er Sem'!#REF!</definedName>
    <definedName name="_xlnm._FilterDatabase" localSheetId="11" hidden="1">'Ajuste Semestral '!#REF!</definedName>
    <definedName name="_xlnm._FilterDatabase" localSheetId="1" hidden="1">'DIST MES SEPTIEMBRE'!#REF!</definedName>
    <definedName name="A_impresión_IM" localSheetId="10">#REF!</definedName>
    <definedName name="A_impresión_IM" localSheetId="11">#REF!</definedName>
    <definedName name="A_impresión_IM" localSheetId="7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7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11" hidden="1">{"'beneficiarios'!$A$1:$C$7"}</definedName>
    <definedName name="AJUSTES" localSheetId="7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1er Sem'!$A$1:$L$59</definedName>
    <definedName name="_xlnm.Print_Area" localSheetId="11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SEPTIEMBRE'!$A$1:$M$59</definedName>
    <definedName name="_xlnm.Print_Area" localSheetId="8">ISAI!$A$1:$D$55</definedName>
    <definedName name="_xlnm.Print_Area" localSheetId="0">'PART MES'!$A$1:$E$15</definedName>
    <definedName name="_xlnm.Print_Area" localSheetId="4">'PART PEF2021'!$A$1:$D$14</definedName>
    <definedName name="_xlnm.Database" localSheetId="10">#REF!</definedName>
    <definedName name="_xlnm.Database" localSheetId="11">#REF!</definedName>
    <definedName name="_xlnm.Database" localSheetId="7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11">'[1]deuda c sadm'!#REF!</definedName>
    <definedName name="cierre_2001" localSheetId="7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11">'[1]deuda c sadm'!#REF!</definedName>
    <definedName name="deuda" localSheetId="7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11">'[1]deuda c sadm'!#REF!</definedName>
    <definedName name="Deuda_ingTot" localSheetId="7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11">#REF!</definedName>
    <definedName name="ENERO" localSheetId="7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11">#REF!</definedName>
    <definedName name="ENEROAJUSTE" localSheetId="7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11">#REF!</definedName>
    <definedName name="Estado1" localSheetId="7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11">#REF!</definedName>
    <definedName name="Fto_1" localSheetId="7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11" hidden="1">{"'beneficiarios'!$A$1:$C$7"}</definedName>
    <definedName name="HTML_Control" localSheetId="7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11" hidden="1">{"'beneficiarios'!$A$1:$C$7"}</definedName>
    <definedName name="INDICADORES" localSheetId="7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11" hidden="1">{"'beneficiarios'!$A$1:$C$7"}</definedName>
    <definedName name="ingresofederales" localSheetId="7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11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11">#REF!</definedName>
    <definedName name="Notas_Fto_1" localSheetId="7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11" hidden="1">{"'beneficiarios'!$A$1:$C$7"}</definedName>
    <definedName name="SINAJUSTE" localSheetId="7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11">#REF!</definedName>
    <definedName name="t" localSheetId="7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10">'Ajuste 1er Sem'!$1:$3</definedName>
    <definedName name="_xlnm.Print_Titles" localSheetId="3">'COEF Art 14 F I'!$A:$A,'COEF Art 14 F I'!$3:$3</definedName>
    <definedName name="_xlnm.Print_Titles" localSheetId="1">'DIST MES SEPTIEMBRE'!$1:$3</definedName>
    <definedName name="TOT" localSheetId="10">#REF!</definedName>
    <definedName name="TOT" localSheetId="11">#REF!</definedName>
    <definedName name="TOT" localSheetId="7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11">#REF!</definedName>
    <definedName name="TOTAL" localSheetId="7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L56" i="46" l="1"/>
  <c r="L34" i="46"/>
  <c r="L33" i="46"/>
  <c r="H4" i="41"/>
  <c r="L6" i="46" s="1"/>
  <c r="L13" i="46" l="1"/>
  <c r="L14" i="46"/>
  <c r="L15" i="46"/>
  <c r="L35" i="46"/>
  <c r="L20" i="46"/>
  <c r="L36" i="46"/>
  <c r="L21" i="46"/>
  <c r="L37" i="46"/>
  <c r="L22" i="46"/>
  <c r="L38" i="46"/>
  <c r="L44" i="46"/>
  <c r="L23" i="46"/>
  <c r="L8" i="46"/>
  <c r="L24" i="46"/>
  <c r="L45" i="46"/>
  <c r="L9" i="46"/>
  <c r="L25" i="46"/>
  <c r="L46" i="46"/>
  <c r="L10" i="46"/>
  <c r="L26" i="46"/>
  <c r="L47" i="46"/>
  <c r="L11" i="46"/>
  <c r="L27" i="46"/>
  <c r="L48" i="46"/>
  <c r="L12" i="46"/>
  <c r="L32" i="46"/>
  <c r="L49" i="46"/>
  <c r="L50" i="46"/>
  <c r="L39" i="46"/>
  <c r="L51" i="46"/>
  <c r="L17" i="46"/>
  <c r="L29" i="46"/>
  <c r="L41" i="46"/>
  <c r="L53" i="46"/>
  <c r="L16" i="46"/>
  <c r="L40" i="46"/>
  <c r="L18" i="46"/>
  <c r="L30" i="46"/>
  <c r="L42" i="46"/>
  <c r="L54" i="46"/>
  <c r="L28" i="46"/>
  <c r="L52" i="46"/>
  <c r="L7" i="46"/>
  <c r="L19" i="46"/>
  <c r="L31" i="46"/>
  <c r="L43" i="46"/>
  <c r="L55" i="46"/>
  <c r="B13" i="43"/>
  <c r="L57" i="46" l="1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Q58" i="28" l="1"/>
  <c r="P58" i="28"/>
  <c r="R59" i="1" l="1"/>
  <c r="D9" i="43" l="1"/>
  <c r="V59" i="1" l="1"/>
  <c r="U59" i="1"/>
  <c r="T59" i="1"/>
  <c r="S59" i="1"/>
  <c r="Q59" i="1"/>
  <c r="P59" i="1"/>
  <c r="O59" i="1"/>
  <c r="N59" i="1"/>
  <c r="F56" i="55" l="1"/>
  <c r="C56" i="55"/>
  <c r="J49" i="55" s="1"/>
  <c r="B56" i="55"/>
  <c r="H55" i="55"/>
  <c r="G55" i="55"/>
  <c r="D55" i="55"/>
  <c r="G54" i="55"/>
  <c r="H54" i="55" s="1"/>
  <c r="D54" i="55"/>
  <c r="G53" i="55"/>
  <c r="H53" i="55" s="1"/>
  <c r="D53" i="55"/>
  <c r="H52" i="55"/>
  <c r="G52" i="55"/>
  <c r="D52" i="55"/>
  <c r="G51" i="55"/>
  <c r="H51" i="55" s="1"/>
  <c r="D51" i="55"/>
  <c r="G50" i="55"/>
  <c r="H50" i="55" s="1"/>
  <c r="D50" i="55"/>
  <c r="H49" i="55"/>
  <c r="G49" i="55"/>
  <c r="D49" i="55"/>
  <c r="J48" i="55"/>
  <c r="G48" i="55"/>
  <c r="H48" i="55" s="1"/>
  <c r="D48" i="55"/>
  <c r="H47" i="55"/>
  <c r="G47" i="55"/>
  <c r="D47" i="55"/>
  <c r="H46" i="55"/>
  <c r="G46" i="55"/>
  <c r="D46" i="55"/>
  <c r="G45" i="55"/>
  <c r="H45" i="55" s="1"/>
  <c r="D45" i="55"/>
  <c r="G44" i="55"/>
  <c r="H44" i="55" s="1"/>
  <c r="D44" i="55"/>
  <c r="H43" i="55"/>
  <c r="G43" i="55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H37" i="55"/>
  <c r="G37" i="55"/>
  <c r="D37" i="55"/>
  <c r="G36" i="55"/>
  <c r="H36" i="55" s="1"/>
  <c r="D36" i="55"/>
  <c r="H35" i="55"/>
  <c r="G35" i="55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H28" i="55"/>
  <c r="G28" i="55"/>
  <c r="D28" i="55"/>
  <c r="G27" i="55"/>
  <c r="H27" i="55" s="1"/>
  <c r="D27" i="55"/>
  <c r="G26" i="55"/>
  <c r="H26" i="55" s="1"/>
  <c r="D26" i="55"/>
  <c r="H25" i="55"/>
  <c r="G25" i="55"/>
  <c r="D25" i="55"/>
  <c r="J24" i="55"/>
  <c r="G24" i="55"/>
  <c r="H24" i="55" s="1"/>
  <c r="D24" i="55"/>
  <c r="H23" i="55"/>
  <c r="G23" i="55"/>
  <c r="D23" i="55"/>
  <c r="H22" i="55"/>
  <c r="G22" i="55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H16" i="55"/>
  <c r="G16" i="55"/>
  <c r="D16" i="55"/>
  <c r="G15" i="55"/>
  <c r="H15" i="55" s="1"/>
  <c r="D15" i="55"/>
  <c r="G14" i="55"/>
  <c r="H14" i="55" s="1"/>
  <c r="D14" i="55"/>
  <c r="J13" i="55"/>
  <c r="H13" i="55"/>
  <c r="G13" i="55"/>
  <c r="D13" i="55"/>
  <c r="J12" i="55"/>
  <c r="G12" i="55"/>
  <c r="H12" i="55" s="1"/>
  <c r="D12" i="55"/>
  <c r="H11" i="55"/>
  <c r="G11" i="55"/>
  <c r="D11" i="55"/>
  <c r="H10" i="55"/>
  <c r="G10" i="55"/>
  <c r="D10" i="55"/>
  <c r="G9" i="55"/>
  <c r="H9" i="55" s="1"/>
  <c r="D9" i="55"/>
  <c r="G8" i="55"/>
  <c r="H8" i="55" s="1"/>
  <c r="D8" i="55"/>
  <c r="H7" i="55"/>
  <c r="G7" i="55"/>
  <c r="D7" i="55"/>
  <c r="G6" i="55"/>
  <c r="H6" i="55" s="1"/>
  <c r="D6" i="55"/>
  <c r="G5" i="55"/>
  <c r="H5" i="55" s="1"/>
  <c r="D5" i="55"/>
  <c r="J36" i="55" l="1"/>
  <c r="I33" i="55"/>
  <c r="E34" i="55"/>
  <c r="E43" i="55"/>
  <c r="I13" i="55"/>
  <c r="I15" i="55"/>
  <c r="I30" i="55"/>
  <c r="I39" i="55"/>
  <c r="E54" i="55"/>
  <c r="I9" i="55"/>
  <c r="H56" i="55"/>
  <c r="I5" i="55" s="1"/>
  <c r="I34" i="55"/>
  <c r="I6" i="55"/>
  <c r="I53" i="55"/>
  <c r="I25" i="55"/>
  <c r="E40" i="55"/>
  <c r="I54" i="55"/>
  <c r="E12" i="55"/>
  <c r="I21" i="55"/>
  <c r="I16" i="55"/>
  <c r="I49" i="55"/>
  <c r="I18" i="55"/>
  <c r="I24" i="55"/>
  <c r="I26" i="55"/>
  <c r="I31" i="55"/>
  <c r="I8" i="55"/>
  <c r="I17" i="55"/>
  <c r="I55" i="55"/>
  <c r="I27" i="55"/>
  <c r="I32" i="55"/>
  <c r="I41" i="55"/>
  <c r="I46" i="55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50" i="55" l="1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J56" i="46" l="1"/>
  <c r="J51" i="46"/>
  <c r="J50" i="46"/>
  <c r="J49" i="46"/>
  <c r="J48" i="46"/>
  <c r="J39" i="46"/>
  <c r="J38" i="46"/>
  <c r="J37" i="46"/>
  <c r="J36" i="46"/>
  <c r="J27" i="46"/>
  <c r="J26" i="46"/>
  <c r="J25" i="46"/>
  <c r="J24" i="46"/>
  <c r="J15" i="46"/>
  <c r="J14" i="46"/>
  <c r="J13" i="46"/>
  <c r="J12" i="46"/>
  <c r="J55" i="46"/>
  <c r="J54" i="46"/>
  <c r="J53" i="46"/>
  <c r="J52" i="46"/>
  <c r="J47" i="46"/>
  <c r="J46" i="46"/>
  <c r="J45" i="46"/>
  <c r="J44" i="46"/>
  <c r="J43" i="46"/>
  <c r="J42" i="46"/>
  <c r="J41" i="46"/>
  <c r="J40" i="46"/>
  <c r="J35" i="46"/>
  <c r="J34" i="46"/>
  <c r="J33" i="46"/>
  <c r="J32" i="46"/>
  <c r="J31" i="46"/>
  <c r="J30" i="46"/>
  <c r="J29" i="46"/>
  <c r="J28" i="46"/>
  <c r="J23" i="46"/>
  <c r="J22" i="46"/>
  <c r="J21" i="46"/>
  <c r="J20" i="46"/>
  <c r="J19" i="46"/>
  <c r="J18" i="46"/>
  <c r="J17" i="46"/>
  <c r="J16" i="46"/>
  <c r="J11" i="46"/>
  <c r="J10" i="46"/>
  <c r="J9" i="46"/>
  <c r="J8" i="46"/>
  <c r="J7" i="46"/>
  <c r="J6" i="46"/>
  <c r="C12" i="41" l="1"/>
  <c r="E12" i="41" s="1"/>
  <c r="H12" i="41" s="1"/>
  <c r="C11" i="41"/>
  <c r="E11" i="41" s="1"/>
  <c r="H11" i="41" s="1"/>
  <c r="C10" i="41"/>
  <c r="E10" i="41" s="1"/>
  <c r="H10" i="41" s="1"/>
  <c r="C9" i="41"/>
  <c r="E9" i="41" s="1"/>
  <c r="H9" i="41" s="1"/>
  <c r="C8" i="41"/>
  <c r="E8" i="41" s="1"/>
  <c r="H8" i="41" s="1"/>
  <c r="C7" i="41"/>
  <c r="E7" i="41" s="1"/>
  <c r="H7" i="41" s="1"/>
  <c r="C6" i="41"/>
  <c r="E6" i="41" s="1"/>
  <c r="H6" i="41" s="1"/>
  <c r="C5" i="41"/>
  <c r="E5" i="41" s="1"/>
  <c r="C4" i="41"/>
  <c r="E4" i="41" s="1"/>
  <c r="E13" i="41" l="1"/>
  <c r="C58" i="54"/>
  <c r="B58" i="54"/>
  <c r="H5" i="41" l="1"/>
  <c r="H13" i="41" s="1"/>
  <c r="F13" i="41"/>
  <c r="D58" i="54"/>
  <c r="P3" i="55"/>
  <c r="O3" i="55" l="1"/>
  <c r="M3" i="55"/>
  <c r="N3" i="55"/>
  <c r="D59" i="53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P48" i="55" s="1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P22" i="55" s="1"/>
  <c r="M21" i="55"/>
  <c r="M15" i="55"/>
  <c r="M17" i="55"/>
  <c r="M31" i="55"/>
  <c r="M27" i="55"/>
  <c r="M24" i="55"/>
  <c r="M55" i="55"/>
  <c r="M46" i="55"/>
  <c r="M32" i="55"/>
  <c r="M53" i="55"/>
  <c r="M25" i="55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E56" i="53"/>
  <c r="E59" i="53"/>
  <c r="C55" i="53"/>
  <c r="E55" i="53"/>
  <c r="E58" i="53"/>
  <c r="E54" i="53"/>
  <c r="P52" i="55" l="1"/>
  <c r="P15" i="55"/>
  <c r="P30" i="55"/>
  <c r="P53" i="55"/>
  <c r="P39" i="55"/>
  <c r="P35" i="55"/>
  <c r="P19" i="55"/>
  <c r="P14" i="55"/>
  <c r="P43" i="55"/>
  <c r="P24" i="55"/>
  <c r="P28" i="55"/>
  <c r="P54" i="55"/>
  <c r="P26" i="55"/>
  <c r="P36" i="55"/>
  <c r="P16" i="55"/>
  <c r="P50" i="55"/>
  <c r="P13" i="55"/>
  <c r="P27" i="55"/>
  <c r="P38" i="55"/>
  <c r="P17" i="55"/>
  <c r="P21" i="55"/>
  <c r="P7" i="55"/>
  <c r="P10" i="55"/>
  <c r="P34" i="55"/>
  <c r="P41" i="55"/>
  <c r="O56" i="55"/>
  <c r="P5" i="55"/>
  <c r="M56" i="55"/>
  <c r="P44" i="55"/>
  <c r="P8" i="55"/>
  <c r="P46" i="55"/>
  <c r="P9" i="55"/>
  <c r="P37" i="55"/>
  <c r="P33" i="55"/>
  <c r="N56" i="55"/>
  <c r="P25" i="55"/>
  <c r="P32" i="55"/>
  <c r="P55" i="55"/>
  <c r="P20" i="55"/>
  <c r="P51" i="55"/>
  <c r="P11" i="55"/>
  <c r="P12" i="55"/>
  <c r="P49" i="55"/>
  <c r="P42" i="55"/>
  <c r="P31" i="55"/>
  <c r="P18" i="55"/>
  <c r="P6" i="55"/>
  <c r="P29" i="55"/>
  <c r="P40" i="55"/>
  <c r="P47" i="55"/>
  <c r="P45" i="55"/>
  <c r="P23" i="55"/>
  <c r="C59" i="53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55" i="47"/>
  <c r="C50" i="47" s="1"/>
  <c r="B13" i="41"/>
  <c r="D12" i="43"/>
  <c r="K6" i="53" s="1"/>
  <c r="D11" i="43"/>
  <c r="D10" i="43"/>
  <c r="D8" i="43"/>
  <c r="D7" i="43"/>
  <c r="D6" i="43"/>
  <c r="D5" i="43"/>
  <c r="H58" i="28"/>
  <c r="G58" i="28"/>
  <c r="F58" i="28"/>
  <c r="E58" i="28"/>
  <c r="D58" i="28"/>
  <c r="C58" i="28"/>
  <c r="B58" i="28"/>
  <c r="D4" i="43"/>
  <c r="W58" i="1"/>
  <c r="X58" i="1" s="1"/>
  <c r="W57" i="1"/>
  <c r="X57" i="1" s="1"/>
  <c r="W56" i="1"/>
  <c r="W55" i="1"/>
  <c r="X55" i="1" s="1"/>
  <c r="W54" i="1"/>
  <c r="X54" i="1" s="1"/>
  <c r="W53" i="1"/>
  <c r="W52" i="1"/>
  <c r="X52" i="1" s="1"/>
  <c r="W51" i="1"/>
  <c r="W50" i="1"/>
  <c r="X50" i="1" s="1"/>
  <c r="W49" i="1"/>
  <c r="W48" i="1"/>
  <c r="X48" i="1" s="1"/>
  <c r="W47" i="1"/>
  <c r="W46" i="1"/>
  <c r="X46" i="1" s="1"/>
  <c r="W45" i="1"/>
  <c r="Y45" i="1" s="1"/>
  <c r="Z45" i="1" s="1"/>
  <c r="W44" i="1"/>
  <c r="X44" i="1" s="1"/>
  <c r="W43" i="1"/>
  <c r="W42" i="1"/>
  <c r="X42" i="1" s="1"/>
  <c r="W41" i="1"/>
  <c r="W40" i="1"/>
  <c r="X40" i="1" s="1"/>
  <c r="W39" i="1"/>
  <c r="W38" i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W28" i="1"/>
  <c r="X28" i="1" s="1"/>
  <c r="W27" i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W16" i="1"/>
  <c r="X16" i="1" s="1"/>
  <c r="W15" i="1"/>
  <c r="W14" i="1"/>
  <c r="X14" i="1" s="1"/>
  <c r="W13" i="1"/>
  <c r="W12" i="1"/>
  <c r="W11" i="1"/>
  <c r="X11" i="1" s="1"/>
  <c r="W10" i="1"/>
  <c r="X10" i="1" s="1"/>
  <c r="W9" i="1"/>
  <c r="W59" i="1" s="1"/>
  <c r="W8" i="1"/>
  <c r="X8" i="1" s="1"/>
  <c r="R58" i="1"/>
  <c r="R57" i="1"/>
  <c r="R56" i="1"/>
  <c r="R55" i="1"/>
  <c r="R54" i="1"/>
  <c r="R53" i="1"/>
  <c r="R52" i="1"/>
  <c r="R51" i="1"/>
  <c r="R50" i="1"/>
  <c r="R49" i="1"/>
  <c r="R48" i="1"/>
  <c r="Y48" i="1" s="1"/>
  <c r="Z48" i="1" s="1"/>
  <c r="R47" i="1"/>
  <c r="R46" i="1"/>
  <c r="R45" i="1"/>
  <c r="R44" i="1"/>
  <c r="R43" i="1"/>
  <c r="R42" i="1"/>
  <c r="R41" i="1"/>
  <c r="Y41" i="1" s="1"/>
  <c r="Z41" i="1" s="1"/>
  <c r="R40" i="1"/>
  <c r="R39" i="1"/>
  <c r="R38" i="1"/>
  <c r="R37" i="1"/>
  <c r="R36" i="1"/>
  <c r="Y36" i="1" s="1"/>
  <c r="Z36" i="1" s="1"/>
  <c r="R35" i="1"/>
  <c r="R34" i="1"/>
  <c r="R33" i="1"/>
  <c r="R32" i="1"/>
  <c r="R31" i="1"/>
  <c r="R30" i="1"/>
  <c r="R29" i="1"/>
  <c r="Y29" i="1" s="1"/>
  <c r="Z29" i="1" s="1"/>
  <c r="R28" i="1"/>
  <c r="R27" i="1"/>
  <c r="Y27" i="1" s="1"/>
  <c r="Z27" i="1" s="1"/>
  <c r="R26" i="1"/>
  <c r="R25" i="1"/>
  <c r="R24" i="1"/>
  <c r="Y24" i="1" s="1"/>
  <c r="Z24" i="1" s="1"/>
  <c r="R23" i="1"/>
  <c r="R22" i="1"/>
  <c r="R21" i="1"/>
  <c r="R20" i="1"/>
  <c r="R19" i="1"/>
  <c r="R18" i="1"/>
  <c r="R17" i="1"/>
  <c r="Y17" i="1" s="1"/>
  <c r="Z17" i="1" s="1"/>
  <c r="R16" i="1"/>
  <c r="R15" i="1"/>
  <c r="Y15" i="1" s="1"/>
  <c r="Z15" i="1" s="1"/>
  <c r="R14" i="1"/>
  <c r="R13" i="1"/>
  <c r="R12" i="1"/>
  <c r="Y12" i="1" s="1"/>
  <c r="Z12" i="1" s="1"/>
  <c r="R11" i="1"/>
  <c r="R10" i="1"/>
  <c r="R9" i="1"/>
  <c r="R8" i="1"/>
  <c r="Y39" i="1"/>
  <c r="Z39" i="1" s="1"/>
  <c r="Y51" i="1"/>
  <c r="Z51" i="1" s="1"/>
  <c r="Y53" i="1"/>
  <c r="Z53" i="1" s="1"/>
  <c r="Y42" i="1"/>
  <c r="Z42" i="1" s="1"/>
  <c r="Y58" i="1"/>
  <c r="Z58" i="1" s="1"/>
  <c r="C59" i="1"/>
  <c r="B59" i="1"/>
  <c r="X41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6" i="1"/>
  <c r="X53" i="1"/>
  <c r="X51" i="1"/>
  <c r="X49" i="1"/>
  <c r="X47" i="1"/>
  <c r="X43" i="1"/>
  <c r="X39" i="1"/>
  <c r="X38" i="1"/>
  <c r="X29" i="1"/>
  <c r="X17" i="1"/>
  <c r="X15" i="1"/>
  <c r="X13" i="1"/>
  <c r="X12" i="1"/>
  <c r="D8" i="1"/>
  <c r="E8" i="1" s="1"/>
  <c r="J59" i="1"/>
  <c r="K11" i="1" s="1"/>
  <c r="L11" i="1" s="1"/>
  <c r="M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K25" i="1"/>
  <c r="L25" i="1" s="1"/>
  <c r="M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K22" i="1"/>
  <c r="L22" i="1" s="1"/>
  <c r="K20" i="1"/>
  <c r="L20" i="1"/>
  <c r="K18" i="1"/>
  <c r="L18" i="1" s="1"/>
  <c r="K51" i="1"/>
  <c r="L51" i="1"/>
  <c r="K43" i="1"/>
  <c r="L43" i="1" s="1"/>
  <c r="X27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H56" i="1"/>
  <c r="I56" i="1" s="1"/>
  <c r="H18" i="1"/>
  <c r="I18" i="1"/>
  <c r="H33" i="1"/>
  <c r="I33" i="1" s="1"/>
  <c r="H43" i="1"/>
  <c r="I43" i="1" s="1"/>
  <c r="H53" i="1"/>
  <c r="I53" i="1"/>
  <c r="M42" i="1"/>
  <c r="M12" i="1"/>
  <c r="M10" i="1"/>
  <c r="M33" i="1"/>
  <c r="M56" i="1"/>
  <c r="M58" i="1"/>
  <c r="I8" i="1"/>
  <c r="P56" i="55" l="1"/>
  <c r="Q10" i="55" s="1"/>
  <c r="D13" i="43"/>
  <c r="E13" i="43" s="1"/>
  <c r="AH6" i="1" s="1"/>
  <c r="AF6" i="1" s="1"/>
  <c r="AF53" i="1" s="1"/>
  <c r="I6" i="53"/>
  <c r="H6" i="53"/>
  <c r="J6" i="53"/>
  <c r="AF56" i="1"/>
  <c r="AF15" i="1"/>
  <c r="AF25" i="1"/>
  <c r="AF35" i="1"/>
  <c r="AF11" i="1"/>
  <c r="Y18" i="1"/>
  <c r="Z18" i="1" s="1"/>
  <c r="Y34" i="1"/>
  <c r="Z34" i="1" s="1"/>
  <c r="Y19" i="1"/>
  <c r="Z19" i="1" s="1"/>
  <c r="Y31" i="1"/>
  <c r="Z31" i="1" s="1"/>
  <c r="Y43" i="1"/>
  <c r="Z43" i="1" s="1"/>
  <c r="Y55" i="1"/>
  <c r="Z55" i="1" s="1"/>
  <c r="Y10" i="1"/>
  <c r="Z10" i="1" s="1"/>
  <c r="Y11" i="1"/>
  <c r="Z11" i="1" s="1"/>
  <c r="Y23" i="1"/>
  <c r="Z23" i="1" s="1"/>
  <c r="Y35" i="1"/>
  <c r="Z35" i="1" s="1"/>
  <c r="Y47" i="1"/>
  <c r="Z47" i="1" s="1"/>
  <c r="Y13" i="1"/>
  <c r="Z13" i="1" s="1"/>
  <c r="Y25" i="1"/>
  <c r="Z25" i="1" s="1"/>
  <c r="Y37" i="1"/>
  <c r="Z37" i="1" s="1"/>
  <c r="Y49" i="1"/>
  <c r="Z49" i="1" s="1"/>
  <c r="Y26" i="1"/>
  <c r="Z26" i="1" s="1"/>
  <c r="Y50" i="1"/>
  <c r="Z50" i="1" s="1"/>
  <c r="Y16" i="1"/>
  <c r="Z16" i="1" s="1"/>
  <c r="Y28" i="1"/>
  <c r="Z28" i="1" s="1"/>
  <c r="Y40" i="1"/>
  <c r="Z40" i="1" s="1"/>
  <c r="Y52" i="1"/>
  <c r="Z52" i="1" s="1"/>
  <c r="Y8" i="1"/>
  <c r="Z8" i="1" s="1"/>
  <c r="Y20" i="1"/>
  <c r="Z20" i="1" s="1"/>
  <c r="Y32" i="1"/>
  <c r="Z32" i="1" s="1"/>
  <c r="Y44" i="1"/>
  <c r="Z44" i="1" s="1"/>
  <c r="Y56" i="1"/>
  <c r="Z56" i="1" s="1"/>
  <c r="X45" i="1"/>
  <c r="X9" i="1"/>
  <c r="Y9" i="1"/>
  <c r="Z9" i="1" s="1"/>
  <c r="Y21" i="1"/>
  <c r="Z21" i="1" s="1"/>
  <c r="Y33" i="1"/>
  <c r="Z33" i="1" s="1"/>
  <c r="Y57" i="1"/>
  <c r="Z57" i="1" s="1"/>
  <c r="Y22" i="1"/>
  <c r="Z22" i="1" s="1"/>
  <c r="Y46" i="1"/>
  <c r="Z46" i="1" s="1"/>
  <c r="Y14" i="1"/>
  <c r="Z14" i="1" s="1"/>
  <c r="Y38" i="1"/>
  <c r="Z38" i="1" s="1"/>
  <c r="Y30" i="1"/>
  <c r="Z30" i="1" s="1"/>
  <c r="Y54" i="1"/>
  <c r="Z54" i="1" s="1"/>
  <c r="C54" i="47"/>
  <c r="D54" i="47" s="1"/>
  <c r="C16" i="47"/>
  <c r="D16" i="47" s="1"/>
  <c r="C33" i="47"/>
  <c r="D33" i="47" s="1"/>
  <c r="C4" i="47"/>
  <c r="D4" i="47" s="1"/>
  <c r="C24" i="47"/>
  <c r="D24" i="47" s="1"/>
  <c r="C37" i="47"/>
  <c r="D37" i="47" s="1"/>
  <c r="C12" i="47"/>
  <c r="D12" i="47" s="1"/>
  <c r="C32" i="47"/>
  <c r="D32" i="47" s="1"/>
  <c r="C41" i="47"/>
  <c r="D41" i="47" s="1"/>
  <c r="C20" i="47"/>
  <c r="D20" i="47" s="1"/>
  <c r="C40" i="47"/>
  <c r="D40" i="47" s="1"/>
  <c r="C45" i="47"/>
  <c r="D45" i="47" s="1"/>
  <c r="C28" i="47"/>
  <c r="D28" i="47" s="1"/>
  <c r="C52" i="47"/>
  <c r="D52" i="47" s="1"/>
  <c r="C49" i="47"/>
  <c r="D49" i="47" s="1"/>
  <c r="C36" i="47"/>
  <c r="D36" i="47" s="1"/>
  <c r="C7" i="47"/>
  <c r="D7" i="47" s="1"/>
  <c r="C5" i="47"/>
  <c r="D5" i="47" s="1"/>
  <c r="C53" i="47"/>
  <c r="D53" i="47" s="1"/>
  <c r="C44" i="47"/>
  <c r="D44" i="47" s="1"/>
  <c r="C15" i="47"/>
  <c r="D15" i="47" s="1"/>
  <c r="C9" i="47"/>
  <c r="D9" i="47" s="1"/>
  <c r="C11" i="47"/>
  <c r="D11" i="47" s="1"/>
  <c r="C6" i="47"/>
  <c r="D6" i="47" s="1"/>
  <c r="C10" i="47"/>
  <c r="D10" i="47" s="1"/>
  <c r="C23" i="47"/>
  <c r="D23" i="47" s="1"/>
  <c r="C31" i="47"/>
  <c r="D31" i="47" s="1"/>
  <c r="C17" i="47"/>
  <c r="D17" i="47" s="1"/>
  <c r="C27" i="47"/>
  <c r="D27" i="47" s="1"/>
  <c r="C22" i="47"/>
  <c r="D22" i="47" s="1"/>
  <c r="C19" i="47"/>
  <c r="D19" i="47" s="1"/>
  <c r="C43" i="47"/>
  <c r="D43" i="47" s="1"/>
  <c r="C21" i="47"/>
  <c r="D21" i="47" s="1"/>
  <c r="C35" i="47"/>
  <c r="D35" i="47" s="1"/>
  <c r="C26" i="47"/>
  <c r="D26" i="47" s="1"/>
  <c r="C51" i="47"/>
  <c r="D51" i="47" s="1"/>
  <c r="C25" i="47"/>
  <c r="D25" i="47" s="1"/>
  <c r="C39" i="47"/>
  <c r="D39" i="47" s="1"/>
  <c r="C38" i="47"/>
  <c r="D38" i="47" s="1"/>
  <c r="C13" i="47"/>
  <c r="D13" i="47" s="1"/>
  <c r="C8" i="47"/>
  <c r="D8" i="47" s="1"/>
  <c r="C29" i="47"/>
  <c r="D29" i="47" s="1"/>
  <c r="C47" i="47"/>
  <c r="D47" i="47" s="1"/>
  <c r="C42" i="47"/>
  <c r="D42" i="47" s="1"/>
  <c r="D59" i="1"/>
  <c r="M18" i="1"/>
  <c r="M8" i="1"/>
  <c r="L59" i="1"/>
  <c r="M43" i="1"/>
  <c r="AF43" i="1" s="1"/>
  <c r="M30" i="1"/>
  <c r="M36" i="1"/>
  <c r="AF36" i="1" s="1"/>
  <c r="M37" i="1"/>
  <c r="AF37" i="1" s="1"/>
  <c r="M31" i="1"/>
  <c r="AF31" i="1" s="1"/>
  <c r="M14" i="1"/>
  <c r="AF14" i="1" s="1"/>
  <c r="E59" i="1"/>
  <c r="F40" i="1" s="1"/>
  <c r="H40" i="1"/>
  <c r="I40" i="1" s="1"/>
  <c r="M40" i="1" s="1"/>
  <c r="H20" i="1"/>
  <c r="I20" i="1" s="1"/>
  <c r="M20" i="1" s="1"/>
  <c r="H51" i="1"/>
  <c r="I51" i="1" s="1"/>
  <c r="M51" i="1" s="1"/>
  <c r="H9" i="1"/>
  <c r="H19" i="1"/>
  <c r="I19" i="1" s="1"/>
  <c r="M19" i="1" s="1"/>
  <c r="H34" i="1"/>
  <c r="I34" i="1" s="1"/>
  <c r="M34" i="1" s="1"/>
  <c r="AF34" i="1" s="1"/>
  <c r="H52" i="1"/>
  <c r="I52" i="1" s="1"/>
  <c r="M52" i="1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H17" i="1"/>
  <c r="I17" i="1" s="1"/>
  <c r="M17" i="1" s="1"/>
  <c r="H39" i="1"/>
  <c r="I39" i="1" s="1"/>
  <c r="M39" i="1" s="1"/>
  <c r="H49" i="1"/>
  <c r="I49" i="1" s="1"/>
  <c r="M49" i="1" s="1"/>
  <c r="H41" i="1"/>
  <c r="I41" i="1" s="1"/>
  <c r="M41" i="1" s="1"/>
  <c r="F13" i="43"/>
  <c r="C14" i="47"/>
  <c r="D14" i="47" s="1"/>
  <c r="C30" i="47"/>
  <c r="D30" i="47" s="1"/>
  <c r="C46" i="47"/>
  <c r="D46" i="47" s="1"/>
  <c r="C48" i="47"/>
  <c r="D48" i="47" s="1"/>
  <c r="C18" i="47"/>
  <c r="D18" i="47" s="1"/>
  <c r="C34" i="47"/>
  <c r="D34" i="47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C13" i="41"/>
  <c r="D50" i="47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K6" i="49"/>
  <c r="J53" i="49"/>
  <c r="K34" i="49"/>
  <c r="Q34" i="55" l="1"/>
  <c r="AF52" i="1"/>
  <c r="AF30" i="1"/>
  <c r="AF19" i="1"/>
  <c r="AF41" i="1"/>
  <c r="AF49" i="1"/>
  <c r="AF28" i="1"/>
  <c r="AF17" i="1"/>
  <c r="AF20" i="1"/>
  <c r="AF38" i="1"/>
  <c r="AF39" i="1"/>
  <c r="AF51" i="1"/>
  <c r="AF18" i="1"/>
  <c r="AF24" i="1"/>
  <c r="AF21" i="1"/>
  <c r="AF40" i="1"/>
  <c r="AE6" i="1"/>
  <c r="AF23" i="1"/>
  <c r="AF12" i="1"/>
  <c r="AF10" i="1"/>
  <c r="AF47" i="1"/>
  <c r="AF33" i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AF42" i="1"/>
  <c r="AF22" i="1"/>
  <c r="AF26" i="1"/>
  <c r="AF16" i="1"/>
  <c r="AF27" i="1"/>
  <c r="AF50" i="1"/>
  <c r="AF13" i="1"/>
  <c r="AF29" i="1"/>
  <c r="AF58" i="1"/>
  <c r="AF57" i="1"/>
  <c r="AG6" i="1"/>
  <c r="AF46" i="1"/>
  <c r="AF54" i="1"/>
  <c r="AE40" i="1"/>
  <c r="H26" i="53"/>
  <c r="H55" i="53"/>
  <c r="H27" i="53"/>
  <c r="H10" i="53"/>
  <c r="H57" i="53"/>
  <c r="H13" i="53"/>
  <c r="H36" i="53"/>
  <c r="H52" i="53"/>
  <c r="H18" i="53"/>
  <c r="H44" i="53"/>
  <c r="H51" i="53"/>
  <c r="H32" i="53"/>
  <c r="H24" i="53"/>
  <c r="H9" i="53"/>
  <c r="H50" i="53"/>
  <c r="H14" i="53"/>
  <c r="H20" i="53"/>
  <c r="H39" i="53"/>
  <c r="H29" i="53"/>
  <c r="H53" i="53"/>
  <c r="H47" i="53"/>
  <c r="H25" i="53"/>
  <c r="H38" i="53"/>
  <c r="H37" i="53"/>
  <c r="H28" i="53"/>
  <c r="H33" i="53"/>
  <c r="H16" i="53"/>
  <c r="H45" i="53"/>
  <c r="H31" i="53"/>
  <c r="H49" i="53"/>
  <c r="H43" i="53"/>
  <c r="H11" i="53"/>
  <c r="H12" i="53"/>
  <c r="H23" i="53"/>
  <c r="H30" i="53"/>
  <c r="H40" i="53"/>
  <c r="H42" i="53"/>
  <c r="H41" i="53"/>
  <c r="H35" i="53"/>
  <c r="H15" i="53"/>
  <c r="H58" i="53"/>
  <c r="H17" i="53"/>
  <c r="H19" i="53"/>
  <c r="H46" i="53"/>
  <c r="H56" i="53"/>
  <c r="H21" i="53"/>
  <c r="H8" i="53"/>
  <c r="H34" i="53"/>
  <c r="H48" i="53"/>
  <c r="H54" i="53"/>
  <c r="H22" i="53"/>
  <c r="I19" i="53"/>
  <c r="I17" i="53"/>
  <c r="I38" i="53"/>
  <c r="I47" i="53"/>
  <c r="I40" i="53"/>
  <c r="I22" i="53"/>
  <c r="I29" i="53"/>
  <c r="I48" i="53"/>
  <c r="I33" i="53"/>
  <c r="I8" i="53"/>
  <c r="I9" i="53"/>
  <c r="I12" i="53"/>
  <c r="I23" i="53"/>
  <c r="I52" i="53"/>
  <c r="I49" i="53"/>
  <c r="I36" i="53"/>
  <c r="I15" i="53"/>
  <c r="I21" i="53"/>
  <c r="I14" i="53"/>
  <c r="I44" i="53"/>
  <c r="I11" i="53"/>
  <c r="I25" i="53"/>
  <c r="I51" i="53"/>
  <c r="I30" i="53"/>
  <c r="I57" i="53"/>
  <c r="I45" i="53"/>
  <c r="I39" i="53"/>
  <c r="I28" i="53"/>
  <c r="I13" i="53"/>
  <c r="I26" i="53"/>
  <c r="I37" i="53"/>
  <c r="I16" i="53"/>
  <c r="I31" i="53"/>
  <c r="I27" i="53"/>
  <c r="I10" i="53"/>
  <c r="I35" i="53"/>
  <c r="I34" i="53"/>
  <c r="I53" i="53"/>
  <c r="I43" i="53"/>
  <c r="I42" i="53"/>
  <c r="I18" i="53"/>
  <c r="I41" i="53"/>
  <c r="I20" i="53"/>
  <c r="I24" i="53"/>
  <c r="I46" i="53"/>
  <c r="I32" i="53"/>
  <c r="I50" i="53"/>
  <c r="I58" i="53"/>
  <c r="I55" i="53"/>
  <c r="I54" i="53"/>
  <c r="I56" i="53"/>
  <c r="X59" i="1"/>
  <c r="Z59" i="1"/>
  <c r="AA46" i="1" s="1"/>
  <c r="AB46" i="1" s="1"/>
  <c r="AC46" i="1" s="1"/>
  <c r="F13" i="1"/>
  <c r="AE13" i="1" s="1"/>
  <c r="C55" i="47"/>
  <c r="I9" i="1"/>
  <c r="H59" i="1"/>
  <c r="AF8" i="1"/>
  <c r="F16" i="1"/>
  <c r="F49" i="1"/>
  <c r="AE49" i="1" s="1"/>
  <c r="F28" i="1"/>
  <c r="AE28" i="1" s="1"/>
  <c r="F34" i="1"/>
  <c r="AE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F33" i="1"/>
  <c r="F27" i="1"/>
  <c r="F17" i="1"/>
  <c r="AE17" i="1" s="1"/>
  <c r="F10" i="1"/>
  <c r="AE10" i="1" s="1"/>
  <c r="F38" i="1"/>
  <c r="AE38" i="1" s="1"/>
  <c r="F22" i="1"/>
  <c r="AE22" i="1" s="1"/>
  <c r="F55" i="1"/>
  <c r="AE55" i="1" s="1"/>
  <c r="F24" i="1"/>
  <c r="AE24" i="1" s="1"/>
  <c r="F47" i="1"/>
  <c r="AE47" i="1" s="1"/>
  <c r="F30" i="1"/>
  <c r="AE30" i="1" s="1"/>
  <c r="F45" i="1"/>
  <c r="AE45" i="1" s="1"/>
  <c r="F21" i="1"/>
  <c r="AE21" i="1" s="1"/>
  <c r="F53" i="1"/>
  <c r="F12" i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F44" i="1"/>
  <c r="AE44" i="1" s="1"/>
  <c r="F46" i="1"/>
  <c r="AE46" i="1" s="1"/>
  <c r="F14" i="1"/>
  <c r="AE14" i="1" s="1"/>
  <c r="F58" i="1"/>
  <c r="AE58" i="1" s="1"/>
  <c r="F56" i="1"/>
  <c r="F42" i="1"/>
  <c r="AE42" i="1" s="1"/>
  <c r="F25" i="1"/>
  <c r="AE25" i="1" s="1"/>
  <c r="F35" i="1"/>
  <c r="AE35" i="1" s="1"/>
  <c r="F54" i="1"/>
  <c r="AE54" i="1" s="1"/>
  <c r="F37" i="1"/>
  <c r="AE37" i="1" s="1"/>
  <c r="F23" i="1"/>
  <c r="AE23" i="1" s="1"/>
  <c r="F39" i="1"/>
  <c r="AE39" i="1" s="1"/>
  <c r="F18" i="1"/>
  <c r="AE18" i="1" s="1"/>
  <c r="F15" i="1"/>
  <c r="AE15" i="1" s="1"/>
  <c r="F29" i="1"/>
  <c r="AE29" i="1" s="1"/>
  <c r="F57" i="1"/>
  <c r="AE57" i="1" s="1"/>
  <c r="F20" i="1"/>
  <c r="AE20" i="1" s="1"/>
  <c r="D55" i="47"/>
  <c r="K53" i="49"/>
  <c r="AE56" i="1" l="1"/>
  <c r="AE12" i="1"/>
  <c r="AE27" i="1"/>
  <c r="AE16" i="1"/>
  <c r="AE53" i="1"/>
  <c r="AE33" i="1"/>
  <c r="Q56" i="55"/>
  <c r="AG46" i="1"/>
  <c r="AH46" i="1" s="1"/>
  <c r="K45" i="28" s="1"/>
  <c r="H59" i="53"/>
  <c r="I59" i="53"/>
  <c r="AA28" i="1"/>
  <c r="AB28" i="1" s="1"/>
  <c r="AC28" i="1" s="1"/>
  <c r="AG28" i="1" s="1"/>
  <c r="AH28" i="1" s="1"/>
  <c r="AA55" i="1"/>
  <c r="AB55" i="1" s="1"/>
  <c r="AC55" i="1" s="1"/>
  <c r="AG55" i="1" s="1"/>
  <c r="AH55" i="1" s="1"/>
  <c r="AA15" i="1"/>
  <c r="AB15" i="1" s="1"/>
  <c r="AC15" i="1" s="1"/>
  <c r="AG15" i="1" s="1"/>
  <c r="AA26" i="1"/>
  <c r="AB26" i="1" s="1"/>
  <c r="AC26" i="1" s="1"/>
  <c r="AG26" i="1" s="1"/>
  <c r="AH26" i="1" s="1"/>
  <c r="AA41" i="1"/>
  <c r="AB41" i="1" s="1"/>
  <c r="AC41" i="1" s="1"/>
  <c r="AG41" i="1" s="1"/>
  <c r="AH41" i="1" s="1"/>
  <c r="K40" i="28" s="1"/>
  <c r="AA58" i="1"/>
  <c r="AB58" i="1" s="1"/>
  <c r="AC58" i="1" s="1"/>
  <c r="AG58" i="1" s="1"/>
  <c r="AH58" i="1" s="1"/>
  <c r="K57" i="28" s="1"/>
  <c r="AA32" i="1"/>
  <c r="AB32" i="1" s="1"/>
  <c r="AC32" i="1" s="1"/>
  <c r="AG32" i="1" s="1"/>
  <c r="AH32" i="1" s="1"/>
  <c r="AA50" i="1"/>
  <c r="AB50" i="1" s="1"/>
  <c r="AC50" i="1" s="1"/>
  <c r="AG50" i="1" s="1"/>
  <c r="AH50" i="1" s="1"/>
  <c r="AA36" i="1"/>
  <c r="AB36" i="1" s="1"/>
  <c r="AC36" i="1" s="1"/>
  <c r="AG36" i="1" s="1"/>
  <c r="AH36" i="1" s="1"/>
  <c r="AA38" i="1"/>
  <c r="AB38" i="1" s="1"/>
  <c r="AC38" i="1" s="1"/>
  <c r="AG38" i="1" s="1"/>
  <c r="AH38" i="1" s="1"/>
  <c r="K37" i="28" s="1"/>
  <c r="AA21" i="1"/>
  <c r="AB21" i="1" s="1"/>
  <c r="AC21" i="1" s="1"/>
  <c r="AG21" i="1" s="1"/>
  <c r="AH21" i="1" s="1"/>
  <c r="AA40" i="1"/>
  <c r="AB40" i="1" s="1"/>
  <c r="AC40" i="1" s="1"/>
  <c r="AG40" i="1" s="1"/>
  <c r="AH40" i="1" s="1"/>
  <c r="K39" i="28" s="1"/>
  <c r="AA19" i="1"/>
  <c r="AB19" i="1" s="1"/>
  <c r="AC19" i="1" s="1"/>
  <c r="AG19" i="1" s="1"/>
  <c r="AH19" i="1" s="1"/>
  <c r="AA35" i="1"/>
  <c r="AB35" i="1" s="1"/>
  <c r="AC35" i="1" s="1"/>
  <c r="AG35" i="1" s="1"/>
  <c r="AH35" i="1" s="1"/>
  <c r="K34" i="28" s="1"/>
  <c r="AA13" i="1"/>
  <c r="AB13" i="1" s="1"/>
  <c r="AC13" i="1" s="1"/>
  <c r="AG13" i="1" s="1"/>
  <c r="AH13" i="1" s="1"/>
  <c r="K12" i="28" s="1"/>
  <c r="AA49" i="1"/>
  <c r="AB49" i="1" s="1"/>
  <c r="AC49" i="1" s="1"/>
  <c r="AG49" i="1" s="1"/>
  <c r="AH49" i="1" s="1"/>
  <c r="AA17" i="1"/>
  <c r="AB17" i="1" s="1"/>
  <c r="AC17" i="1" s="1"/>
  <c r="AG17" i="1" s="1"/>
  <c r="AH17" i="1" s="1"/>
  <c r="AA44" i="1"/>
  <c r="AB44" i="1" s="1"/>
  <c r="AC44" i="1" s="1"/>
  <c r="AG44" i="1" s="1"/>
  <c r="AH44" i="1" s="1"/>
  <c r="AA33" i="1"/>
  <c r="AB33" i="1" s="1"/>
  <c r="AC33" i="1" s="1"/>
  <c r="AG33" i="1" s="1"/>
  <c r="AA20" i="1"/>
  <c r="AB20" i="1" s="1"/>
  <c r="AC20" i="1" s="1"/>
  <c r="AG20" i="1" s="1"/>
  <c r="AH20" i="1" s="1"/>
  <c r="AA24" i="1"/>
  <c r="AB24" i="1" s="1"/>
  <c r="AC24" i="1" s="1"/>
  <c r="AG24" i="1" s="1"/>
  <c r="AH24" i="1" s="1"/>
  <c r="AA12" i="1"/>
  <c r="AB12" i="1" s="1"/>
  <c r="AC12" i="1" s="1"/>
  <c r="AG12" i="1" s="1"/>
  <c r="AH12" i="1" s="1"/>
  <c r="AA56" i="1"/>
  <c r="AB56" i="1" s="1"/>
  <c r="AC56" i="1" s="1"/>
  <c r="AG56" i="1" s="1"/>
  <c r="AH56" i="1" s="1"/>
  <c r="AA16" i="1"/>
  <c r="AB16" i="1" s="1"/>
  <c r="AC16" i="1" s="1"/>
  <c r="AG16" i="1" s="1"/>
  <c r="AH16" i="1" s="1"/>
  <c r="K15" i="28" s="1"/>
  <c r="AA25" i="1"/>
  <c r="AB25" i="1" s="1"/>
  <c r="AC25" i="1" s="1"/>
  <c r="AG25" i="1" s="1"/>
  <c r="AH25" i="1" s="1"/>
  <c r="K24" i="28" s="1"/>
  <c r="AA9" i="1"/>
  <c r="AB9" i="1" s="1"/>
  <c r="AC9" i="1" s="1"/>
  <c r="AG9" i="1" s="1"/>
  <c r="AA29" i="1"/>
  <c r="AB29" i="1" s="1"/>
  <c r="AC29" i="1" s="1"/>
  <c r="AG29" i="1" s="1"/>
  <c r="AH29" i="1" s="1"/>
  <c r="AA10" i="1"/>
  <c r="AB10" i="1" s="1"/>
  <c r="AC10" i="1" s="1"/>
  <c r="AG10" i="1" s="1"/>
  <c r="AH10" i="1" s="1"/>
  <c r="AA51" i="1"/>
  <c r="AB51" i="1" s="1"/>
  <c r="AC51" i="1" s="1"/>
  <c r="AG51" i="1" s="1"/>
  <c r="AH51" i="1" s="1"/>
  <c r="AA11" i="1"/>
  <c r="AB11" i="1" s="1"/>
  <c r="AC11" i="1" s="1"/>
  <c r="AG11" i="1" s="1"/>
  <c r="AH11" i="1" s="1"/>
  <c r="AA39" i="1"/>
  <c r="AB39" i="1" s="1"/>
  <c r="AC39" i="1" s="1"/>
  <c r="AG39" i="1" s="1"/>
  <c r="AH39" i="1" s="1"/>
  <c r="K38" i="28" s="1"/>
  <c r="AA57" i="1"/>
  <c r="AB57" i="1" s="1"/>
  <c r="AC57" i="1" s="1"/>
  <c r="AG57" i="1" s="1"/>
  <c r="AH57" i="1" s="1"/>
  <c r="K56" i="28" s="1"/>
  <c r="AA42" i="1"/>
  <c r="AB42" i="1" s="1"/>
  <c r="AC42" i="1" s="1"/>
  <c r="AG42" i="1" s="1"/>
  <c r="AH42" i="1" s="1"/>
  <c r="AA43" i="1"/>
  <c r="AB43" i="1" s="1"/>
  <c r="AC43" i="1" s="1"/>
  <c r="AG43" i="1" s="1"/>
  <c r="AH43" i="1" s="1"/>
  <c r="AA27" i="1"/>
  <c r="AB27" i="1" s="1"/>
  <c r="AC27" i="1" s="1"/>
  <c r="AG27" i="1" s="1"/>
  <c r="AH27" i="1" s="1"/>
  <c r="AA54" i="1"/>
  <c r="AB54" i="1" s="1"/>
  <c r="AC54" i="1" s="1"/>
  <c r="AG54" i="1" s="1"/>
  <c r="AH54" i="1" s="1"/>
  <c r="K53" i="28" s="1"/>
  <c r="AA52" i="1"/>
  <c r="AB52" i="1" s="1"/>
  <c r="AC52" i="1" s="1"/>
  <c r="AG52" i="1" s="1"/>
  <c r="AH52" i="1" s="1"/>
  <c r="AA23" i="1"/>
  <c r="AB23" i="1" s="1"/>
  <c r="AC23" i="1" s="1"/>
  <c r="AG23" i="1" s="1"/>
  <c r="AH23" i="1" s="1"/>
  <c r="AA18" i="1"/>
  <c r="AB18" i="1" s="1"/>
  <c r="AC18" i="1" s="1"/>
  <c r="AG18" i="1" s="1"/>
  <c r="AH18" i="1" s="1"/>
  <c r="AA30" i="1"/>
  <c r="AB30" i="1" s="1"/>
  <c r="AC30" i="1" s="1"/>
  <c r="AG30" i="1" s="1"/>
  <c r="AH30" i="1" s="1"/>
  <c r="K29" i="28" s="1"/>
  <c r="AA47" i="1"/>
  <c r="AB47" i="1" s="1"/>
  <c r="AC47" i="1" s="1"/>
  <c r="AG47" i="1" s="1"/>
  <c r="AH47" i="1" s="1"/>
  <c r="K46" i="28" s="1"/>
  <c r="AA37" i="1"/>
  <c r="AB37" i="1" s="1"/>
  <c r="AC37" i="1" s="1"/>
  <c r="AG37" i="1" s="1"/>
  <c r="AH37" i="1" s="1"/>
  <c r="AA8" i="1"/>
  <c r="AB8" i="1" s="1"/>
  <c r="AA48" i="1"/>
  <c r="AB48" i="1" s="1"/>
  <c r="AC48" i="1" s="1"/>
  <c r="AG48" i="1" s="1"/>
  <c r="AH48" i="1" s="1"/>
  <c r="K47" i="28" s="1"/>
  <c r="AA53" i="1"/>
  <c r="AB53" i="1" s="1"/>
  <c r="AC53" i="1" s="1"/>
  <c r="AG53" i="1" s="1"/>
  <c r="AH53" i="1" s="1"/>
  <c r="K52" i="28" s="1"/>
  <c r="AA22" i="1"/>
  <c r="AB22" i="1" s="1"/>
  <c r="AC22" i="1" s="1"/>
  <c r="AG22" i="1" s="1"/>
  <c r="AH22" i="1" s="1"/>
  <c r="AA14" i="1"/>
  <c r="AB14" i="1" s="1"/>
  <c r="AC14" i="1" s="1"/>
  <c r="AG14" i="1" s="1"/>
  <c r="AH14" i="1" s="1"/>
  <c r="K13" i="28" s="1"/>
  <c r="AA45" i="1"/>
  <c r="AB45" i="1" s="1"/>
  <c r="AC45" i="1" s="1"/>
  <c r="AG45" i="1" s="1"/>
  <c r="AH45" i="1" s="1"/>
  <c r="AA31" i="1"/>
  <c r="AB31" i="1" s="1"/>
  <c r="AC31" i="1" s="1"/>
  <c r="AG31" i="1" s="1"/>
  <c r="AH31" i="1" s="1"/>
  <c r="AA34" i="1"/>
  <c r="AB34" i="1" s="1"/>
  <c r="AC34" i="1" s="1"/>
  <c r="AG34" i="1" s="1"/>
  <c r="AH34" i="1" s="1"/>
  <c r="K33" i="28" s="1"/>
  <c r="AE8" i="1"/>
  <c r="F59" i="1"/>
  <c r="AH15" i="1"/>
  <c r="I59" i="1"/>
  <c r="M9" i="1"/>
  <c r="AH33" i="1" l="1"/>
  <c r="K32" i="28" s="1"/>
  <c r="AA59" i="1"/>
  <c r="K26" i="28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AG8" i="1" l="1"/>
  <c r="AC59" i="1"/>
  <c r="AF59" i="1"/>
  <c r="AH9" i="1"/>
  <c r="K8" i="28" l="1"/>
  <c r="AG59" i="1"/>
  <c r="AH8" i="1"/>
  <c r="K7" i="28" l="1"/>
  <c r="AH59" i="1"/>
  <c r="AI8" i="1" s="1"/>
  <c r="G8" i="53" s="1"/>
  <c r="J8" i="53" l="1"/>
  <c r="AI47" i="1"/>
  <c r="G47" i="53" s="1"/>
  <c r="J47" i="53" s="1"/>
  <c r="K47" i="53" s="1"/>
  <c r="AI57" i="1"/>
  <c r="G57" i="53" s="1"/>
  <c r="J57" i="53" s="1"/>
  <c r="K57" i="53" s="1"/>
  <c r="AI38" i="1"/>
  <c r="G38" i="53" s="1"/>
  <c r="J38" i="53" s="1"/>
  <c r="K38" i="53" s="1"/>
  <c r="AI48" i="1"/>
  <c r="G48" i="53" s="1"/>
  <c r="J48" i="53" s="1"/>
  <c r="K48" i="53" s="1"/>
  <c r="AI40" i="1"/>
  <c r="G40" i="53" s="1"/>
  <c r="J40" i="53" s="1"/>
  <c r="K40" i="53" s="1"/>
  <c r="AI35" i="1"/>
  <c r="G35" i="53" s="1"/>
  <c r="J35" i="53" s="1"/>
  <c r="K35" i="53" s="1"/>
  <c r="AI25" i="1"/>
  <c r="G25" i="53" s="1"/>
  <c r="J25" i="53" s="1"/>
  <c r="K25" i="53" s="1"/>
  <c r="AI46" i="1"/>
  <c r="G46" i="53" s="1"/>
  <c r="J46" i="53" s="1"/>
  <c r="K46" i="53" s="1"/>
  <c r="AI39" i="1"/>
  <c r="G39" i="53" s="1"/>
  <c r="J39" i="53" s="1"/>
  <c r="K39" i="53" s="1"/>
  <c r="AI53" i="1"/>
  <c r="G53" i="53" s="1"/>
  <c r="J53" i="53" s="1"/>
  <c r="K53" i="53" s="1"/>
  <c r="AI34" i="1"/>
  <c r="G34" i="53" s="1"/>
  <c r="J34" i="53" s="1"/>
  <c r="K34" i="53" s="1"/>
  <c r="AI30" i="1"/>
  <c r="G30" i="53" s="1"/>
  <c r="J30" i="53" s="1"/>
  <c r="K30" i="53" s="1"/>
  <c r="AI33" i="1"/>
  <c r="G33" i="53" s="1"/>
  <c r="J33" i="53" s="1"/>
  <c r="K33" i="53" s="1"/>
  <c r="AI58" i="1"/>
  <c r="G58" i="53" s="1"/>
  <c r="J58" i="53" s="1"/>
  <c r="K58" i="53" s="1"/>
  <c r="AI13" i="1"/>
  <c r="G13" i="53" s="1"/>
  <c r="J13" i="53" s="1"/>
  <c r="K13" i="53" s="1"/>
  <c r="AI14" i="1"/>
  <c r="G14" i="53" s="1"/>
  <c r="J14" i="53" s="1"/>
  <c r="K14" i="53" s="1"/>
  <c r="AI41" i="1"/>
  <c r="G41" i="53" s="1"/>
  <c r="J41" i="53" s="1"/>
  <c r="K41" i="53" s="1"/>
  <c r="AI16" i="1"/>
  <c r="G16" i="53" s="1"/>
  <c r="J16" i="53" s="1"/>
  <c r="K16" i="53" s="1"/>
  <c r="AI54" i="1"/>
  <c r="G54" i="53" s="1"/>
  <c r="J54" i="53" s="1"/>
  <c r="K54" i="53" s="1"/>
  <c r="AI19" i="1"/>
  <c r="G19" i="53" s="1"/>
  <c r="J19" i="53" s="1"/>
  <c r="K19" i="53" s="1"/>
  <c r="AI17" i="1"/>
  <c r="G17" i="53" s="1"/>
  <c r="J17" i="53" s="1"/>
  <c r="K17" i="53" s="1"/>
  <c r="AI37" i="1"/>
  <c r="G37" i="53" s="1"/>
  <c r="J37" i="53" s="1"/>
  <c r="K37" i="53" s="1"/>
  <c r="AI36" i="1"/>
  <c r="G36" i="53" s="1"/>
  <c r="J36" i="53" s="1"/>
  <c r="K36" i="53" s="1"/>
  <c r="AI56" i="1"/>
  <c r="G56" i="53" s="1"/>
  <c r="J56" i="53" s="1"/>
  <c r="K56" i="53" s="1"/>
  <c r="AI45" i="1"/>
  <c r="G45" i="53" s="1"/>
  <c r="J45" i="53" s="1"/>
  <c r="K45" i="53" s="1"/>
  <c r="AI23" i="1"/>
  <c r="G23" i="53" s="1"/>
  <c r="J23" i="53" s="1"/>
  <c r="K23" i="53" s="1"/>
  <c r="AI12" i="1"/>
  <c r="G12" i="53" s="1"/>
  <c r="J12" i="53" s="1"/>
  <c r="K12" i="53" s="1"/>
  <c r="AI26" i="1"/>
  <c r="G26" i="53" s="1"/>
  <c r="J26" i="53" s="1"/>
  <c r="K26" i="53" s="1"/>
  <c r="AI18" i="1"/>
  <c r="G18" i="53" s="1"/>
  <c r="J18" i="53" s="1"/>
  <c r="K18" i="53" s="1"/>
  <c r="AI55" i="1"/>
  <c r="G55" i="53" s="1"/>
  <c r="J55" i="53" s="1"/>
  <c r="K55" i="53" s="1"/>
  <c r="AI10" i="1"/>
  <c r="G10" i="53" s="1"/>
  <c r="J10" i="53" s="1"/>
  <c r="K10" i="53" s="1"/>
  <c r="AI32" i="1"/>
  <c r="G32" i="53" s="1"/>
  <c r="J32" i="53" s="1"/>
  <c r="K32" i="53" s="1"/>
  <c r="AI20" i="1"/>
  <c r="G20" i="53" s="1"/>
  <c r="J20" i="53" s="1"/>
  <c r="K20" i="53" s="1"/>
  <c r="AI51" i="1"/>
  <c r="G51" i="53" s="1"/>
  <c r="J51" i="53" s="1"/>
  <c r="K51" i="53" s="1"/>
  <c r="AI24" i="1"/>
  <c r="G24" i="53" s="1"/>
  <c r="J24" i="53" s="1"/>
  <c r="K24" i="53" s="1"/>
  <c r="AI42" i="1"/>
  <c r="G42" i="53" s="1"/>
  <c r="J42" i="53" s="1"/>
  <c r="K42" i="53" s="1"/>
  <c r="AI49" i="1"/>
  <c r="G49" i="53" s="1"/>
  <c r="J49" i="53" s="1"/>
  <c r="K49" i="53" s="1"/>
  <c r="AI28" i="1"/>
  <c r="G28" i="53" s="1"/>
  <c r="J28" i="53" s="1"/>
  <c r="K28" i="53" s="1"/>
  <c r="AI11" i="1"/>
  <c r="G11" i="53" s="1"/>
  <c r="J11" i="53" s="1"/>
  <c r="K11" i="53" s="1"/>
  <c r="AI31" i="1"/>
  <c r="G31" i="53" s="1"/>
  <c r="J31" i="53" s="1"/>
  <c r="K31" i="53" s="1"/>
  <c r="AI22" i="1"/>
  <c r="G22" i="53" s="1"/>
  <c r="J22" i="53" s="1"/>
  <c r="K22" i="53" s="1"/>
  <c r="AI43" i="1"/>
  <c r="G43" i="53" s="1"/>
  <c r="J43" i="53" s="1"/>
  <c r="K43" i="53" s="1"/>
  <c r="AI29" i="1"/>
  <c r="G29" i="53" s="1"/>
  <c r="J29" i="53" s="1"/>
  <c r="K29" i="53" s="1"/>
  <c r="AI27" i="1"/>
  <c r="G27" i="53" s="1"/>
  <c r="J27" i="53" s="1"/>
  <c r="K27" i="53" s="1"/>
  <c r="AI21" i="1"/>
  <c r="G21" i="53" s="1"/>
  <c r="J21" i="53" s="1"/>
  <c r="K21" i="53" s="1"/>
  <c r="AI50" i="1"/>
  <c r="G50" i="53" s="1"/>
  <c r="J50" i="53" s="1"/>
  <c r="K50" i="53" s="1"/>
  <c r="AI44" i="1"/>
  <c r="G44" i="53" s="1"/>
  <c r="J44" i="53" s="1"/>
  <c r="K44" i="53" s="1"/>
  <c r="AI15" i="1"/>
  <c r="G15" i="53" s="1"/>
  <c r="J15" i="53" s="1"/>
  <c r="K15" i="53" s="1"/>
  <c r="AI52" i="1"/>
  <c r="G52" i="53" s="1"/>
  <c r="J52" i="53" s="1"/>
  <c r="K52" i="53" s="1"/>
  <c r="AI9" i="1"/>
  <c r="G9" i="53" s="1"/>
  <c r="J9" i="53" s="1"/>
  <c r="K9" i="53" s="1"/>
  <c r="K58" i="28"/>
  <c r="I61" i="28" s="1"/>
  <c r="J4" i="28" s="1"/>
  <c r="J59" i="53" l="1"/>
  <c r="K8" i="53"/>
  <c r="G59" i="53"/>
  <c r="AI59" i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K59" i="53" l="1"/>
  <c r="M52" i="28"/>
  <c r="L52" i="28"/>
  <c r="M30" i="28"/>
  <c r="L30" i="28"/>
  <c r="L37" i="28"/>
  <c r="M37" i="28"/>
  <c r="L56" i="28"/>
  <c r="M56" i="28"/>
  <c r="L24" i="28"/>
  <c r="M24" i="28"/>
  <c r="L53" i="28"/>
  <c r="M53" i="28"/>
  <c r="L35" i="28"/>
  <c r="O35" i="28" s="1"/>
  <c r="M35" i="28"/>
  <c r="L42" i="28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L54" i="28"/>
  <c r="M54" i="28"/>
  <c r="L48" i="28"/>
  <c r="M48" i="28"/>
  <c r="M40" i="28"/>
  <c r="L40" i="28"/>
  <c r="L25" i="28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L51" i="53" l="1"/>
  <c r="L21" i="53"/>
  <c r="L47" i="53"/>
  <c r="L50" i="53"/>
  <c r="L18" i="53"/>
  <c r="L32" i="53"/>
  <c r="L54" i="53"/>
  <c r="L53" i="53"/>
  <c r="L40" i="53"/>
  <c r="L43" i="53"/>
  <c r="L27" i="53"/>
  <c r="L46" i="53"/>
  <c r="L15" i="53"/>
  <c r="L37" i="53"/>
  <c r="L41" i="53"/>
  <c r="L10" i="53"/>
  <c r="L42" i="53"/>
  <c r="L55" i="53"/>
  <c r="L56" i="53"/>
  <c r="L31" i="53"/>
  <c r="L28" i="53"/>
  <c r="L9" i="53"/>
  <c r="L30" i="53"/>
  <c r="L29" i="53"/>
  <c r="L26" i="53"/>
  <c r="L23" i="53"/>
  <c r="L16" i="53"/>
  <c r="L14" i="53"/>
  <c r="L58" i="53"/>
  <c r="L35" i="53"/>
  <c r="L57" i="53"/>
  <c r="L44" i="53"/>
  <c r="L39" i="53"/>
  <c r="L11" i="53"/>
  <c r="L36" i="53"/>
  <c r="L13" i="53"/>
  <c r="L45" i="53"/>
  <c r="L34" i="53"/>
  <c r="L38" i="53"/>
  <c r="L52" i="53"/>
  <c r="L24" i="53"/>
  <c r="L20" i="53"/>
  <c r="L12" i="53"/>
  <c r="L49" i="53"/>
  <c r="L19" i="53"/>
  <c r="L25" i="53"/>
  <c r="L33" i="53"/>
  <c r="L22" i="53"/>
  <c r="L17" i="53"/>
  <c r="L48" i="53"/>
  <c r="L8" i="53"/>
  <c r="M58" i="28"/>
  <c r="P38" i="28"/>
  <c r="P18" i="28"/>
  <c r="P33" i="28"/>
  <c r="P32" i="28"/>
  <c r="L58" i="28"/>
  <c r="P23" i="28"/>
  <c r="P50" i="28"/>
  <c r="P57" i="28"/>
  <c r="P35" i="28"/>
  <c r="L59" i="53" l="1"/>
  <c r="N4" i="28"/>
  <c r="N50" i="28" s="1"/>
  <c r="N31" i="28" l="1"/>
  <c r="O31" i="28" s="1"/>
  <c r="P31" i="28" s="1"/>
  <c r="N44" i="28"/>
  <c r="O44" i="28" s="1"/>
  <c r="P44" i="28" s="1"/>
  <c r="N48" i="28"/>
  <c r="O48" i="28" s="1"/>
  <c r="P48" i="28" s="1"/>
  <c r="N22" i="28"/>
  <c r="O22" i="28" s="1"/>
  <c r="P22" i="28" s="1"/>
  <c r="N15" i="28"/>
  <c r="O15" i="28" s="1"/>
  <c r="P15" i="28" s="1"/>
  <c r="N28" i="28"/>
  <c r="O28" i="28" s="1"/>
  <c r="P28" i="28" s="1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O42" i="28" s="1"/>
  <c r="P42" i="28" s="1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O52" i="28" s="1"/>
  <c r="P52" i="28" s="1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O56" i="28" s="1"/>
  <c r="P56" i="28" s="1"/>
  <c r="N11" i="28"/>
  <c r="O11" i="28" s="1"/>
  <c r="P11" i="28" s="1"/>
  <c r="N25" i="28"/>
  <c r="O25" i="28" s="1"/>
  <c r="P25" i="28" s="1"/>
  <c r="N12" i="28"/>
  <c r="O12" i="28" s="1"/>
  <c r="P12" i="28" s="1"/>
  <c r="N8" i="28"/>
  <c r="O8" i="28" s="1"/>
  <c r="P8" i="28" s="1"/>
  <c r="N46" i="28"/>
  <c r="O46" i="28" s="1"/>
  <c r="P46" i="28" s="1"/>
  <c r="N27" i="28"/>
  <c r="O27" i="28" s="1"/>
  <c r="P27" i="28" s="1"/>
  <c r="N33" i="28"/>
  <c r="N53" i="28"/>
  <c r="O53" i="28" s="1"/>
  <c r="P53" i="28" s="1"/>
  <c r="N58" i="28" l="1"/>
  <c r="O58" i="28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J34" i="56" l="1"/>
  <c r="W34" i="56" s="1"/>
  <c r="I34" i="46" s="1"/>
  <c r="J14" i="56"/>
  <c r="W14" i="56" s="1"/>
  <c r="I14" i="46" s="1"/>
  <c r="J31" i="56"/>
  <c r="W31" i="56" s="1"/>
  <c r="I31" i="46" s="1"/>
  <c r="J41" i="56"/>
  <c r="W41" i="56" s="1"/>
  <c r="I41" i="46" s="1"/>
  <c r="J27" i="56"/>
  <c r="W27" i="56" s="1"/>
  <c r="I27" i="46" s="1"/>
  <c r="J35" i="56"/>
  <c r="W35" i="56" s="1"/>
  <c r="I35" i="46" s="1"/>
  <c r="J11" i="56"/>
  <c r="W11" i="56" s="1"/>
  <c r="I11" i="46" s="1"/>
  <c r="J30" i="56"/>
  <c r="W30" i="56" s="1"/>
  <c r="I30" i="46" s="1"/>
  <c r="J39" i="56"/>
  <c r="W39" i="56" s="1"/>
  <c r="I39" i="46" s="1"/>
  <c r="J9" i="56"/>
  <c r="W9" i="56" s="1"/>
  <c r="I9" i="46" s="1"/>
  <c r="J38" i="56"/>
  <c r="W38" i="56" s="1"/>
  <c r="I38" i="46" s="1"/>
  <c r="J8" i="56"/>
  <c r="W8" i="56" s="1"/>
  <c r="I8" i="46" s="1"/>
  <c r="J56" i="56"/>
  <c r="W56" i="56" s="1"/>
  <c r="I56" i="46" s="1"/>
  <c r="J53" i="56"/>
  <c r="W53" i="56" s="1"/>
  <c r="I53" i="46" s="1"/>
  <c r="J45" i="56"/>
  <c r="W45" i="56" s="1"/>
  <c r="I45" i="46" s="1"/>
  <c r="J50" i="56"/>
  <c r="W50" i="56" s="1"/>
  <c r="I50" i="46" s="1"/>
  <c r="J36" i="56"/>
  <c r="W36" i="56" s="1"/>
  <c r="I36" i="46" s="1"/>
  <c r="J12" i="56"/>
  <c r="W12" i="56" s="1"/>
  <c r="I12" i="46" s="1"/>
  <c r="J17" i="56"/>
  <c r="W17" i="56" s="1"/>
  <c r="I17" i="46" s="1"/>
  <c r="J23" i="56"/>
  <c r="W23" i="56" s="1"/>
  <c r="I23" i="46" s="1"/>
  <c r="J15" i="56"/>
  <c r="W15" i="56" s="1"/>
  <c r="I15" i="46" s="1"/>
  <c r="J29" i="56"/>
  <c r="W29" i="56" s="1"/>
  <c r="I29" i="46" s="1"/>
  <c r="J47" i="56"/>
  <c r="W47" i="56" s="1"/>
  <c r="I47" i="46" s="1"/>
  <c r="J28" i="56"/>
  <c r="W28" i="56" s="1"/>
  <c r="I28" i="46" s="1"/>
  <c r="J42" i="56"/>
  <c r="W42" i="56" s="1"/>
  <c r="I42" i="46" s="1"/>
  <c r="J20" i="56"/>
  <c r="W20" i="56" s="1"/>
  <c r="I20" i="46" s="1"/>
  <c r="J10" i="56"/>
  <c r="W10" i="56" s="1"/>
  <c r="I10" i="46" s="1"/>
  <c r="J40" i="56"/>
  <c r="W40" i="56" s="1"/>
  <c r="I40" i="46" s="1"/>
  <c r="J13" i="56"/>
  <c r="W13" i="56" s="1"/>
  <c r="I13" i="46" s="1"/>
  <c r="J21" i="56"/>
  <c r="W21" i="56" s="1"/>
  <c r="I21" i="46" s="1"/>
  <c r="J46" i="56"/>
  <c r="W46" i="56" s="1"/>
  <c r="I46" i="46" s="1"/>
  <c r="J54" i="56"/>
  <c r="W54" i="56" s="1"/>
  <c r="I54" i="46" s="1"/>
  <c r="J22" i="56"/>
  <c r="W22" i="56" s="1"/>
  <c r="I22" i="46" s="1"/>
  <c r="J52" i="56"/>
  <c r="W52" i="56" s="1"/>
  <c r="I52" i="46" s="1"/>
  <c r="J26" i="56"/>
  <c r="W26" i="56" s="1"/>
  <c r="I26" i="46" s="1"/>
  <c r="J48" i="56"/>
  <c r="W48" i="56" s="1"/>
  <c r="I48" i="46" s="1"/>
  <c r="J24" i="56"/>
  <c r="W24" i="56" s="1"/>
  <c r="I24" i="46" s="1"/>
  <c r="J49" i="56"/>
  <c r="W49" i="56" s="1"/>
  <c r="I49" i="46" s="1"/>
  <c r="J18" i="56"/>
  <c r="W18" i="56" s="1"/>
  <c r="I18" i="46" s="1"/>
  <c r="J25" i="56"/>
  <c r="W25" i="56" s="1"/>
  <c r="I25" i="46" s="1"/>
  <c r="J55" i="56"/>
  <c r="W55" i="56" s="1"/>
  <c r="I55" i="46" s="1"/>
  <c r="J51" i="56"/>
  <c r="W51" i="56" s="1"/>
  <c r="I51" i="46" s="1"/>
  <c r="J16" i="56"/>
  <c r="W16" i="56" s="1"/>
  <c r="I16" i="46" s="1"/>
  <c r="J33" i="56"/>
  <c r="W33" i="56" s="1"/>
  <c r="I33" i="46" s="1"/>
  <c r="J44" i="56"/>
  <c r="W44" i="56" s="1"/>
  <c r="I44" i="46" s="1"/>
  <c r="J32" i="56"/>
  <c r="W32" i="56" s="1"/>
  <c r="I32" i="46" s="1"/>
  <c r="J7" i="56"/>
  <c r="W7" i="56" s="1"/>
  <c r="I7" i="46" s="1"/>
  <c r="J43" i="56"/>
  <c r="W43" i="56" s="1"/>
  <c r="I43" i="46" s="1"/>
  <c r="J19" i="56"/>
  <c r="W19" i="56" s="1"/>
  <c r="I19" i="46" s="1"/>
  <c r="J37" i="56"/>
  <c r="W37" i="56" s="1"/>
  <c r="I37" i="46" s="1"/>
  <c r="J6" i="56" l="1"/>
  <c r="W6" i="56" l="1"/>
  <c r="J57" i="56"/>
  <c r="W57" i="56" l="1"/>
  <c r="I6" i="46"/>
  <c r="I57" i="46" l="1"/>
  <c r="K16" i="56" l="1"/>
  <c r="X16" i="56" s="1"/>
  <c r="K16" i="46" s="1"/>
  <c r="K42" i="56"/>
  <c r="X42" i="56" s="1"/>
  <c r="K42" i="46" s="1"/>
  <c r="K36" i="56"/>
  <c r="X36" i="56" s="1"/>
  <c r="K36" i="46" s="1"/>
  <c r="K44" i="56"/>
  <c r="X44" i="56" s="1"/>
  <c r="K44" i="46" s="1"/>
  <c r="K47" i="56"/>
  <c r="X47" i="56" s="1"/>
  <c r="K47" i="46" s="1"/>
  <c r="K56" i="56"/>
  <c r="X56" i="56" s="1"/>
  <c r="K56" i="46" s="1"/>
  <c r="K15" i="56"/>
  <c r="X15" i="56" s="1"/>
  <c r="K15" i="46" s="1"/>
  <c r="K20" i="56"/>
  <c r="X20" i="56" s="1"/>
  <c r="K20" i="46" s="1"/>
  <c r="K14" i="56"/>
  <c r="X14" i="56" s="1"/>
  <c r="K14" i="46" s="1"/>
  <c r="K38" i="56"/>
  <c r="X38" i="56" s="1"/>
  <c r="K38" i="46" s="1"/>
  <c r="K46" i="56"/>
  <c r="X46" i="56" s="1"/>
  <c r="K46" i="46" s="1"/>
  <c r="K21" i="56"/>
  <c r="X21" i="56" s="1"/>
  <c r="K21" i="46" s="1"/>
  <c r="K22" i="56"/>
  <c r="X22" i="56" s="1"/>
  <c r="K22" i="46" s="1"/>
  <c r="K35" i="56"/>
  <c r="X35" i="56" s="1"/>
  <c r="K35" i="46" s="1"/>
  <c r="K29" i="56"/>
  <c r="X29" i="56" s="1"/>
  <c r="K29" i="46" s="1"/>
  <c r="K8" i="56"/>
  <c r="X8" i="56" s="1"/>
  <c r="K8" i="46" s="1"/>
  <c r="K12" i="56"/>
  <c r="X12" i="56" s="1"/>
  <c r="K12" i="46" s="1"/>
  <c r="K39" i="56"/>
  <c r="X39" i="56" s="1"/>
  <c r="K39" i="46" s="1"/>
  <c r="K11" i="56"/>
  <c r="X11" i="56" s="1"/>
  <c r="K11" i="46" s="1"/>
  <c r="K23" i="56"/>
  <c r="X23" i="56" s="1"/>
  <c r="K23" i="46" s="1"/>
  <c r="K28" i="56"/>
  <c r="X28" i="56" s="1"/>
  <c r="K28" i="46" s="1"/>
  <c r="K19" i="56"/>
  <c r="X19" i="56" s="1"/>
  <c r="K19" i="46" s="1"/>
  <c r="K33" i="56"/>
  <c r="X33" i="56" s="1"/>
  <c r="K33" i="46" s="1"/>
  <c r="K18" i="56"/>
  <c r="X18" i="56" s="1"/>
  <c r="K18" i="46" s="1"/>
  <c r="K25" i="56"/>
  <c r="X25" i="56" s="1"/>
  <c r="K25" i="46" s="1"/>
  <c r="K54" i="56"/>
  <c r="X54" i="56" s="1"/>
  <c r="K54" i="46" s="1"/>
  <c r="K30" i="56"/>
  <c r="X30" i="56" s="1"/>
  <c r="K30" i="46" s="1"/>
  <c r="K34" i="56"/>
  <c r="X34" i="56" s="1"/>
  <c r="K34" i="46" s="1"/>
  <c r="K50" i="56"/>
  <c r="X50" i="56" s="1"/>
  <c r="K50" i="46" s="1"/>
  <c r="K51" i="56"/>
  <c r="X51" i="56" s="1"/>
  <c r="K51" i="46" s="1"/>
  <c r="K6" i="56"/>
  <c r="K43" i="56"/>
  <c r="X43" i="56" s="1"/>
  <c r="K43" i="46" s="1"/>
  <c r="K53" i="56"/>
  <c r="X53" i="56" s="1"/>
  <c r="K53" i="46" s="1"/>
  <c r="K45" i="56"/>
  <c r="X45" i="56" s="1"/>
  <c r="K45" i="46" s="1"/>
  <c r="K13" i="56"/>
  <c r="X13" i="56" s="1"/>
  <c r="K13" i="46" s="1"/>
  <c r="K37" i="56"/>
  <c r="X37" i="56" s="1"/>
  <c r="K37" i="46" s="1"/>
  <c r="K41" i="56"/>
  <c r="X41" i="56" s="1"/>
  <c r="K41" i="46" s="1"/>
  <c r="K32" i="56"/>
  <c r="X32" i="56" s="1"/>
  <c r="K32" i="46" s="1"/>
  <c r="K26" i="56"/>
  <c r="X26" i="56" s="1"/>
  <c r="K26" i="46" s="1"/>
  <c r="K52" i="56"/>
  <c r="X52" i="56" s="1"/>
  <c r="K52" i="46" s="1"/>
  <c r="K55" i="56"/>
  <c r="X55" i="56" s="1"/>
  <c r="K55" i="46" s="1"/>
  <c r="K40" i="56"/>
  <c r="X40" i="56" s="1"/>
  <c r="K40" i="46" s="1"/>
  <c r="K7" i="56"/>
  <c r="X7" i="56" s="1"/>
  <c r="K7" i="46" s="1"/>
  <c r="K10" i="56"/>
  <c r="X10" i="56" s="1"/>
  <c r="K10" i="46" s="1"/>
  <c r="K24" i="56"/>
  <c r="X24" i="56" s="1"/>
  <c r="K24" i="46" s="1"/>
  <c r="K27" i="56"/>
  <c r="X27" i="56" s="1"/>
  <c r="K27" i="46" s="1"/>
  <c r="K49" i="56"/>
  <c r="X49" i="56" s="1"/>
  <c r="K49" i="46" s="1"/>
  <c r="K48" i="56"/>
  <c r="X48" i="56" s="1"/>
  <c r="K48" i="46" s="1"/>
  <c r="K17" i="56"/>
  <c r="X17" i="56" s="1"/>
  <c r="K17" i="46" s="1"/>
  <c r="K31" i="56"/>
  <c r="X31" i="56" s="1"/>
  <c r="K31" i="46" s="1"/>
  <c r="X6" i="56" l="1"/>
  <c r="K6" i="46" s="1"/>
  <c r="K9" i="56"/>
  <c r="X9" i="56" s="1"/>
  <c r="K9" i="46" s="1"/>
  <c r="K57" i="46" l="1"/>
  <c r="X57" i="56"/>
  <c r="K57" i="56"/>
  <c r="I19" i="56" l="1"/>
  <c r="V19" i="56" s="1"/>
  <c r="H19" i="46" s="1"/>
  <c r="I12" i="56"/>
  <c r="V12" i="56" s="1"/>
  <c r="H12" i="46" s="1"/>
  <c r="I8" i="56"/>
  <c r="V8" i="56" s="1"/>
  <c r="H8" i="46" s="1"/>
  <c r="I11" i="56"/>
  <c r="V11" i="56" s="1"/>
  <c r="H11" i="46" s="1"/>
  <c r="I29" i="56"/>
  <c r="V29" i="56" s="1"/>
  <c r="H29" i="46" s="1"/>
  <c r="I46" i="56"/>
  <c r="V46" i="56" s="1"/>
  <c r="H46" i="46" s="1"/>
  <c r="I39" i="56"/>
  <c r="V39" i="56" s="1"/>
  <c r="H39" i="46" s="1"/>
  <c r="I23" i="56"/>
  <c r="V23" i="56" s="1"/>
  <c r="H23" i="46" s="1"/>
  <c r="I7" i="56"/>
  <c r="V7" i="56" s="1"/>
  <c r="H7" i="46" s="1"/>
  <c r="I53" i="56"/>
  <c r="V53" i="56" s="1"/>
  <c r="H53" i="46" s="1"/>
  <c r="I26" i="56"/>
  <c r="V26" i="56" s="1"/>
  <c r="H26" i="46" s="1"/>
  <c r="I21" i="56"/>
  <c r="V21" i="56" s="1"/>
  <c r="H21" i="46" s="1"/>
  <c r="I41" i="56"/>
  <c r="V41" i="56" s="1"/>
  <c r="H41" i="46" s="1"/>
  <c r="I28" i="56"/>
  <c r="V28" i="56" s="1"/>
  <c r="H28" i="46" s="1"/>
  <c r="I10" i="56"/>
  <c r="V10" i="56" s="1"/>
  <c r="H10" i="46" s="1"/>
  <c r="I35" i="56"/>
  <c r="V35" i="56" s="1"/>
  <c r="H35" i="46" s="1"/>
  <c r="I47" i="56"/>
  <c r="V47" i="56" s="1"/>
  <c r="H47" i="46" s="1"/>
  <c r="I14" i="56"/>
  <c r="V14" i="56" s="1"/>
  <c r="H14" i="46" s="1"/>
  <c r="I54" i="56"/>
  <c r="V54" i="56" s="1"/>
  <c r="H54" i="46" s="1"/>
  <c r="I16" i="56"/>
  <c r="V16" i="56" s="1"/>
  <c r="H16" i="46" s="1"/>
  <c r="I33" i="56"/>
  <c r="V33" i="56" s="1"/>
  <c r="H33" i="46" s="1"/>
  <c r="I13" i="56"/>
  <c r="V13" i="56" s="1"/>
  <c r="H13" i="46" s="1"/>
  <c r="I32" i="56"/>
  <c r="V32" i="56" s="1"/>
  <c r="H32" i="46" s="1"/>
  <c r="I52" i="56"/>
  <c r="V52" i="56" s="1"/>
  <c r="H52" i="46" s="1"/>
  <c r="I24" i="56"/>
  <c r="V24" i="56" s="1"/>
  <c r="H24" i="46" s="1"/>
  <c r="I56" i="56"/>
  <c r="V56" i="56" s="1"/>
  <c r="H56" i="46" s="1"/>
  <c r="I48" i="56"/>
  <c r="V48" i="56" s="1"/>
  <c r="H48" i="46" s="1"/>
  <c r="I49" i="56"/>
  <c r="V49" i="56" s="1"/>
  <c r="H49" i="46" s="1"/>
  <c r="I31" i="56"/>
  <c r="V31" i="56" s="1"/>
  <c r="H31" i="46" s="1"/>
  <c r="I38" i="56"/>
  <c r="V38" i="56" s="1"/>
  <c r="H38" i="46" s="1"/>
  <c r="I34" i="56"/>
  <c r="V34" i="56" s="1"/>
  <c r="H34" i="46" s="1"/>
  <c r="I9" i="56"/>
  <c r="V9" i="56" s="1"/>
  <c r="H9" i="46" s="1"/>
  <c r="I40" i="56"/>
  <c r="V40" i="56" s="1"/>
  <c r="H40" i="46" s="1"/>
  <c r="I30" i="56"/>
  <c r="V30" i="56" s="1"/>
  <c r="H30" i="46" s="1"/>
  <c r="I44" i="56"/>
  <c r="V44" i="56" s="1"/>
  <c r="H44" i="46" s="1"/>
  <c r="I25" i="56"/>
  <c r="V25" i="56" s="1"/>
  <c r="H25" i="46" s="1"/>
  <c r="I55" i="56"/>
  <c r="V55" i="56" s="1"/>
  <c r="H55" i="46" s="1"/>
  <c r="I45" i="56"/>
  <c r="V45" i="56" s="1"/>
  <c r="H45" i="46" s="1"/>
  <c r="I27" i="56"/>
  <c r="V27" i="56" s="1"/>
  <c r="H27" i="46" s="1"/>
  <c r="I15" i="56"/>
  <c r="V15" i="56" s="1"/>
  <c r="H15" i="46" s="1"/>
  <c r="I20" i="56"/>
  <c r="V20" i="56" s="1"/>
  <c r="H20" i="46" s="1"/>
  <c r="I18" i="56"/>
  <c r="V18" i="56" s="1"/>
  <c r="H18" i="46" s="1"/>
  <c r="I50" i="56"/>
  <c r="V50" i="56" s="1"/>
  <c r="H50" i="46" s="1"/>
  <c r="I36" i="56"/>
  <c r="V36" i="56" s="1"/>
  <c r="H36" i="46" s="1"/>
  <c r="I43" i="56"/>
  <c r="V43" i="56" s="1"/>
  <c r="H43" i="46" s="1"/>
  <c r="I42" i="56"/>
  <c r="V42" i="56" s="1"/>
  <c r="H42" i="46" s="1"/>
  <c r="I22" i="56"/>
  <c r="V22" i="56" s="1"/>
  <c r="H22" i="46" s="1"/>
  <c r="I6" i="56"/>
  <c r="I51" i="56"/>
  <c r="V51" i="56" s="1"/>
  <c r="H51" i="46" s="1"/>
  <c r="I37" i="56"/>
  <c r="V37" i="56" s="1"/>
  <c r="H37" i="46" s="1"/>
  <c r="I17" i="56"/>
  <c r="V17" i="56" s="1"/>
  <c r="H17" i="46" s="1"/>
  <c r="B20" i="56"/>
  <c r="B19" i="56"/>
  <c r="B11" i="56"/>
  <c r="B8" i="56"/>
  <c r="B44" i="56"/>
  <c r="B39" i="56"/>
  <c r="B23" i="56"/>
  <c r="B29" i="56"/>
  <c r="B12" i="56"/>
  <c r="B42" i="56"/>
  <c r="B24" i="56"/>
  <c r="B48" i="56"/>
  <c r="B27" i="56"/>
  <c r="B17" i="56"/>
  <c r="B56" i="56"/>
  <c r="B47" i="56"/>
  <c r="B33" i="56"/>
  <c r="B21" i="56"/>
  <c r="B37" i="56"/>
  <c r="B49" i="56"/>
  <c r="B38" i="56"/>
  <c r="B22" i="56"/>
  <c r="B53" i="56"/>
  <c r="B45" i="56"/>
  <c r="B7" i="56"/>
  <c r="B15" i="56"/>
  <c r="B30" i="56"/>
  <c r="B50" i="56"/>
  <c r="B36" i="56"/>
  <c r="B6" i="56"/>
  <c r="B40" i="56"/>
  <c r="B25" i="56"/>
  <c r="B26" i="56"/>
  <c r="B51" i="56"/>
  <c r="B13" i="56"/>
  <c r="B41" i="56"/>
  <c r="B35" i="56"/>
  <c r="B10" i="56"/>
  <c r="B31" i="56"/>
  <c r="B16" i="56"/>
  <c r="B9" i="56"/>
  <c r="B52" i="56"/>
  <c r="B46" i="56"/>
  <c r="B14" i="56"/>
  <c r="B54" i="56"/>
  <c r="B55" i="56"/>
  <c r="B32" i="56"/>
  <c r="B28" i="56"/>
  <c r="B43" i="56"/>
  <c r="B34" i="56"/>
  <c r="B18" i="56"/>
  <c r="H11" i="56"/>
  <c r="U11" i="56" s="1"/>
  <c r="G11" i="46" s="1"/>
  <c r="H8" i="56"/>
  <c r="U8" i="56" s="1"/>
  <c r="G8" i="46" s="1"/>
  <c r="H23" i="56"/>
  <c r="U23" i="56" s="1"/>
  <c r="G23" i="46" s="1"/>
  <c r="H19" i="56"/>
  <c r="U19" i="56" s="1"/>
  <c r="G19" i="46" s="1"/>
  <c r="H12" i="56"/>
  <c r="U12" i="56" s="1"/>
  <c r="G12" i="46" s="1"/>
  <c r="H46" i="56"/>
  <c r="U46" i="56" s="1"/>
  <c r="G46" i="46" s="1"/>
  <c r="H29" i="56"/>
  <c r="U29" i="56" s="1"/>
  <c r="G29" i="46" s="1"/>
  <c r="H39" i="56"/>
  <c r="U39" i="56" s="1"/>
  <c r="G39" i="46" s="1"/>
  <c r="H25" i="56"/>
  <c r="U25" i="56" s="1"/>
  <c r="G25" i="46" s="1"/>
  <c r="H30" i="56"/>
  <c r="U30" i="56" s="1"/>
  <c r="G30" i="46" s="1"/>
  <c r="H50" i="56"/>
  <c r="U50" i="56" s="1"/>
  <c r="G50" i="46" s="1"/>
  <c r="H36" i="56"/>
  <c r="U36" i="56" s="1"/>
  <c r="G36" i="46" s="1"/>
  <c r="H6" i="56"/>
  <c r="H13" i="56"/>
  <c r="U13" i="56" s="1"/>
  <c r="G13" i="46" s="1"/>
  <c r="H26" i="56"/>
  <c r="U26" i="56" s="1"/>
  <c r="G26" i="46" s="1"/>
  <c r="H47" i="56"/>
  <c r="U47" i="56" s="1"/>
  <c r="G47" i="46" s="1"/>
  <c r="H37" i="56"/>
  <c r="U37" i="56" s="1"/>
  <c r="G37" i="46" s="1"/>
  <c r="H49" i="56"/>
  <c r="U49" i="56" s="1"/>
  <c r="G49" i="46" s="1"/>
  <c r="H17" i="56"/>
  <c r="U17" i="56" s="1"/>
  <c r="G17" i="46" s="1"/>
  <c r="H7" i="56"/>
  <c r="U7" i="56" s="1"/>
  <c r="G7" i="46" s="1"/>
  <c r="H52" i="56"/>
  <c r="U52" i="56" s="1"/>
  <c r="G52" i="46" s="1"/>
  <c r="H21" i="56"/>
  <c r="U21" i="56" s="1"/>
  <c r="G21" i="46" s="1"/>
  <c r="H10" i="56"/>
  <c r="U10" i="56" s="1"/>
  <c r="G10" i="46" s="1"/>
  <c r="H35" i="56"/>
  <c r="U35" i="56" s="1"/>
  <c r="G35" i="46" s="1"/>
  <c r="H32" i="56"/>
  <c r="U32" i="56" s="1"/>
  <c r="G32" i="46" s="1"/>
  <c r="H38" i="56"/>
  <c r="U38" i="56" s="1"/>
  <c r="G38" i="46" s="1"/>
  <c r="H56" i="56"/>
  <c r="U56" i="56" s="1"/>
  <c r="G56" i="46" s="1"/>
  <c r="H15" i="56"/>
  <c r="U15" i="56" s="1"/>
  <c r="G15" i="46" s="1"/>
  <c r="H14" i="56"/>
  <c r="U14" i="56" s="1"/>
  <c r="G14" i="46" s="1"/>
  <c r="H54" i="56"/>
  <c r="U54" i="56" s="1"/>
  <c r="G54" i="46" s="1"/>
  <c r="H40" i="56"/>
  <c r="U40" i="56" s="1"/>
  <c r="G40" i="46" s="1"/>
  <c r="H27" i="56"/>
  <c r="U27" i="56" s="1"/>
  <c r="G27" i="46" s="1"/>
  <c r="H18" i="56"/>
  <c r="U18" i="56" s="1"/>
  <c r="G18" i="46" s="1"/>
  <c r="H22" i="56"/>
  <c r="U22" i="56" s="1"/>
  <c r="G22" i="46" s="1"/>
  <c r="H55" i="56"/>
  <c r="U55" i="56" s="1"/>
  <c r="G55" i="46" s="1"/>
  <c r="H31" i="56"/>
  <c r="U31" i="56" s="1"/>
  <c r="G31" i="46" s="1"/>
  <c r="H42" i="56"/>
  <c r="U42" i="56" s="1"/>
  <c r="G42" i="46" s="1"/>
  <c r="H24" i="56"/>
  <c r="U24" i="56" s="1"/>
  <c r="G24" i="46" s="1"/>
  <c r="H51" i="56"/>
  <c r="U51" i="56" s="1"/>
  <c r="G51" i="46" s="1"/>
  <c r="H34" i="56"/>
  <c r="U34" i="56" s="1"/>
  <c r="G34" i="46" s="1"/>
  <c r="H53" i="56"/>
  <c r="U53" i="56" s="1"/>
  <c r="G53" i="46" s="1"/>
  <c r="H9" i="56"/>
  <c r="U9" i="56" s="1"/>
  <c r="G9" i="46" s="1"/>
  <c r="H16" i="56"/>
  <c r="U16" i="56" s="1"/>
  <c r="G16" i="46" s="1"/>
  <c r="H20" i="56"/>
  <c r="U20" i="56" s="1"/>
  <c r="G20" i="46" s="1"/>
  <c r="H48" i="56"/>
  <c r="U48" i="56" s="1"/>
  <c r="G48" i="46" s="1"/>
  <c r="H43" i="56"/>
  <c r="U43" i="56" s="1"/>
  <c r="G43" i="46" s="1"/>
  <c r="H41" i="56"/>
  <c r="U41" i="56" s="1"/>
  <c r="G41" i="46" s="1"/>
  <c r="H44" i="56"/>
  <c r="U44" i="56" s="1"/>
  <c r="G44" i="46" s="1"/>
  <c r="H33" i="56"/>
  <c r="U33" i="56" s="1"/>
  <c r="G33" i="46" s="1"/>
  <c r="H28" i="56"/>
  <c r="U28" i="56" s="1"/>
  <c r="G28" i="46" s="1"/>
  <c r="H45" i="56"/>
  <c r="U45" i="56" s="1"/>
  <c r="G45" i="46" s="1"/>
  <c r="E23" i="56"/>
  <c r="R23" i="56" s="1"/>
  <c r="E23" i="46" s="1"/>
  <c r="E19" i="56"/>
  <c r="R19" i="56" s="1"/>
  <c r="E19" i="46" s="1"/>
  <c r="E12" i="56"/>
  <c r="R12" i="56" s="1"/>
  <c r="E12" i="46" s="1"/>
  <c r="E39" i="56"/>
  <c r="R39" i="56" s="1"/>
  <c r="E39" i="46" s="1"/>
  <c r="E29" i="56"/>
  <c r="R29" i="56" s="1"/>
  <c r="E29" i="46" s="1"/>
  <c r="E46" i="56"/>
  <c r="R46" i="56" s="1"/>
  <c r="E46" i="46" s="1"/>
  <c r="E8" i="56"/>
  <c r="R8" i="56" s="1"/>
  <c r="E8" i="46" s="1"/>
  <c r="E38" i="56"/>
  <c r="R38" i="56" s="1"/>
  <c r="E38" i="46" s="1"/>
  <c r="E31" i="56"/>
  <c r="R31" i="56" s="1"/>
  <c r="E31" i="46" s="1"/>
  <c r="E40" i="56"/>
  <c r="R40" i="56" s="1"/>
  <c r="E40" i="46" s="1"/>
  <c r="E45" i="56"/>
  <c r="R45" i="56" s="1"/>
  <c r="E45" i="46" s="1"/>
  <c r="E49" i="56"/>
  <c r="R49" i="56" s="1"/>
  <c r="E49" i="46" s="1"/>
  <c r="E20" i="56"/>
  <c r="R20" i="56" s="1"/>
  <c r="E20" i="46" s="1"/>
  <c r="E7" i="56"/>
  <c r="R7" i="56" s="1"/>
  <c r="E7" i="46" s="1"/>
  <c r="E42" i="56"/>
  <c r="R42" i="56" s="1"/>
  <c r="E42" i="46" s="1"/>
  <c r="E22" i="56"/>
  <c r="R22" i="56" s="1"/>
  <c r="E22" i="46" s="1"/>
  <c r="E41" i="56"/>
  <c r="R41" i="56" s="1"/>
  <c r="E41" i="46" s="1"/>
  <c r="E25" i="56"/>
  <c r="R25" i="56" s="1"/>
  <c r="E25" i="46" s="1"/>
  <c r="E37" i="56"/>
  <c r="R37" i="56" s="1"/>
  <c r="E37" i="46" s="1"/>
  <c r="E10" i="56"/>
  <c r="R10" i="56" s="1"/>
  <c r="E10" i="46" s="1"/>
  <c r="E35" i="56"/>
  <c r="R35" i="56" s="1"/>
  <c r="E35" i="46" s="1"/>
  <c r="E48" i="56"/>
  <c r="R48" i="56" s="1"/>
  <c r="E48" i="46" s="1"/>
  <c r="E13" i="56"/>
  <c r="R13" i="56" s="1"/>
  <c r="E13" i="46" s="1"/>
  <c r="E21" i="56"/>
  <c r="R21" i="56" s="1"/>
  <c r="E21" i="46" s="1"/>
  <c r="E54" i="56"/>
  <c r="R54" i="56" s="1"/>
  <c r="E54" i="46" s="1"/>
  <c r="E16" i="56"/>
  <c r="R16" i="56" s="1"/>
  <c r="E16" i="46" s="1"/>
  <c r="E26" i="56"/>
  <c r="R26" i="56" s="1"/>
  <c r="E26" i="46" s="1"/>
  <c r="E55" i="56"/>
  <c r="R55" i="56" s="1"/>
  <c r="E55" i="46" s="1"/>
  <c r="E17" i="56"/>
  <c r="R17" i="56" s="1"/>
  <c r="E17" i="46" s="1"/>
  <c r="E28" i="56"/>
  <c r="R28" i="56" s="1"/>
  <c r="E28" i="46" s="1"/>
  <c r="E32" i="56"/>
  <c r="R32" i="56" s="1"/>
  <c r="E32" i="46" s="1"/>
  <c r="E52" i="56"/>
  <c r="R52" i="56" s="1"/>
  <c r="E52" i="46" s="1"/>
  <c r="E24" i="56"/>
  <c r="R24" i="56" s="1"/>
  <c r="E24" i="46" s="1"/>
  <c r="E56" i="56"/>
  <c r="R56" i="56" s="1"/>
  <c r="E56" i="46" s="1"/>
  <c r="E9" i="56"/>
  <c r="R9" i="56" s="1"/>
  <c r="E9" i="46" s="1"/>
  <c r="E51" i="56"/>
  <c r="R51" i="56" s="1"/>
  <c r="E51" i="46" s="1"/>
  <c r="E11" i="56"/>
  <c r="R11" i="56" s="1"/>
  <c r="E11" i="46" s="1"/>
  <c r="E34" i="56"/>
  <c r="R34" i="56" s="1"/>
  <c r="E34" i="46" s="1"/>
  <c r="E53" i="56"/>
  <c r="R53" i="56" s="1"/>
  <c r="E53" i="46" s="1"/>
  <c r="E47" i="56"/>
  <c r="R47" i="56" s="1"/>
  <c r="E47" i="46" s="1"/>
  <c r="E43" i="56"/>
  <c r="R43" i="56" s="1"/>
  <c r="E43" i="46" s="1"/>
  <c r="E18" i="56"/>
  <c r="R18" i="56" s="1"/>
  <c r="E18" i="46" s="1"/>
  <c r="E50" i="56"/>
  <c r="R50" i="56" s="1"/>
  <c r="E50" i="46" s="1"/>
  <c r="E36" i="56"/>
  <c r="R36" i="56" s="1"/>
  <c r="E36" i="46" s="1"/>
  <c r="E44" i="56"/>
  <c r="R44" i="56" s="1"/>
  <c r="E44" i="46" s="1"/>
  <c r="E33" i="56"/>
  <c r="R33" i="56" s="1"/>
  <c r="E33" i="46" s="1"/>
  <c r="E27" i="56"/>
  <c r="R27" i="56" s="1"/>
  <c r="E27" i="46" s="1"/>
  <c r="E15" i="56"/>
  <c r="R15" i="56" s="1"/>
  <c r="E15" i="46" s="1"/>
  <c r="E14" i="56"/>
  <c r="R14" i="56" s="1"/>
  <c r="E14" i="46" s="1"/>
  <c r="E30" i="56"/>
  <c r="R30" i="56" s="1"/>
  <c r="E30" i="46" s="1"/>
  <c r="E6" i="56"/>
  <c r="C11" i="56"/>
  <c r="P11" i="56" s="1"/>
  <c r="C11" i="46" s="1"/>
  <c r="C8" i="56"/>
  <c r="P8" i="56" s="1"/>
  <c r="C8" i="46" s="1"/>
  <c r="C29" i="56"/>
  <c r="P29" i="56" s="1"/>
  <c r="C29" i="46" s="1"/>
  <c r="C23" i="56"/>
  <c r="P23" i="56" s="1"/>
  <c r="C23" i="46" s="1"/>
  <c r="C28" i="56"/>
  <c r="P28" i="56" s="1"/>
  <c r="C28" i="46" s="1"/>
  <c r="C12" i="56"/>
  <c r="P12" i="56" s="1"/>
  <c r="C12" i="46" s="1"/>
  <c r="C46" i="56"/>
  <c r="P46" i="56" s="1"/>
  <c r="C46" i="46" s="1"/>
  <c r="C19" i="56"/>
  <c r="P19" i="56" s="1"/>
  <c r="C19" i="46" s="1"/>
  <c r="C39" i="56"/>
  <c r="P39" i="56" s="1"/>
  <c r="C39" i="46" s="1"/>
  <c r="C45" i="56"/>
  <c r="P45" i="56" s="1"/>
  <c r="C45" i="46" s="1"/>
  <c r="C41" i="56"/>
  <c r="P41" i="56" s="1"/>
  <c r="C41" i="46" s="1"/>
  <c r="C52" i="56"/>
  <c r="P52" i="56" s="1"/>
  <c r="C52" i="46" s="1"/>
  <c r="C55" i="56"/>
  <c r="P55" i="56" s="1"/>
  <c r="C55" i="46" s="1"/>
  <c r="C27" i="56"/>
  <c r="P27" i="56" s="1"/>
  <c r="C27" i="46" s="1"/>
  <c r="C17" i="56"/>
  <c r="P17" i="56" s="1"/>
  <c r="C17" i="46" s="1"/>
  <c r="C53" i="56"/>
  <c r="P53" i="56" s="1"/>
  <c r="C53" i="46" s="1"/>
  <c r="C48" i="56"/>
  <c r="P48" i="56" s="1"/>
  <c r="C48" i="46" s="1"/>
  <c r="C20" i="56"/>
  <c r="P20" i="56" s="1"/>
  <c r="C20" i="46" s="1"/>
  <c r="C25" i="56"/>
  <c r="P25" i="56" s="1"/>
  <c r="C25" i="46" s="1"/>
  <c r="C30" i="56"/>
  <c r="P30" i="56" s="1"/>
  <c r="C30" i="46" s="1"/>
  <c r="C50" i="56"/>
  <c r="P50" i="56" s="1"/>
  <c r="C50" i="46" s="1"/>
  <c r="C36" i="56"/>
  <c r="P36" i="56" s="1"/>
  <c r="C36" i="46" s="1"/>
  <c r="C6" i="56"/>
  <c r="C40" i="56"/>
  <c r="P40" i="56" s="1"/>
  <c r="C40" i="46" s="1"/>
  <c r="C56" i="56"/>
  <c r="P56" i="56" s="1"/>
  <c r="C56" i="46" s="1"/>
  <c r="C31" i="56"/>
  <c r="P31" i="56" s="1"/>
  <c r="C31" i="46" s="1"/>
  <c r="C34" i="56"/>
  <c r="P34" i="56" s="1"/>
  <c r="C34" i="46" s="1"/>
  <c r="C13" i="56"/>
  <c r="P13" i="56" s="1"/>
  <c r="C13" i="46" s="1"/>
  <c r="C26" i="56"/>
  <c r="P26" i="56" s="1"/>
  <c r="C26" i="46" s="1"/>
  <c r="C35" i="56"/>
  <c r="P35" i="56" s="1"/>
  <c r="C35" i="46" s="1"/>
  <c r="C9" i="56"/>
  <c r="P9" i="56" s="1"/>
  <c r="C9" i="46" s="1"/>
  <c r="C15" i="56"/>
  <c r="P15" i="56" s="1"/>
  <c r="C15" i="46" s="1"/>
  <c r="C7" i="56"/>
  <c r="P7" i="56" s="1"/>
  <c r="C7" i="46" s="1"/>
  <c r="C37" i="56"/>
  <c r="P37" i="56" s="1"/>
  <c r="C37" i="46" s="1"/>
  <c r="C16" i="56"/>
  <c r="P16" i="56" s="1"/>
  <c r="C16" i="46" s="1"/>
  <c r="C10" i="56"/>
  <c r="P10" i="56" s="1"/>
  <c r="C10" i="46" s="1"/>
  <c r="C38" i="56"/>
  <c r="P38" i="56" s="1"/>
  <c r="C38" i="46" s="1"/>
  <c r="C49" i="56"/>
  <c r="P49" i="56" s="1"/>
  <c r="C49" i="46" s="1"/>
  <c r="C14" i="56"/>
  <c r="P14" i="56" s="1"/>
  <c r="C14" i="46" s="1"/>
  <c r="C54" i="56"/>
  <c r="P54" i="56" s="1"/>
  <c r="C54" i="46" s="1"/>
  <c r="C24" i="56"/>
  <c r="P24" i="56" s="1"/>
  <c r="C24" i="46" s="1"/>
  <c r="C32" i="56"/>
  <c r="P32" i="56" s="1"/>
  <c r="C32" i="46" s="1"/>
  <c r="C47" i="56"/>
  <c r="P47" i="56" s="1"/>
  <c r="C47" i="46" s="1"/>
  <c r="C18" i="56"/>
  <c r="P18" i="56" s="1"/>
  <c r="C18" i="46" s="1"/>
  <c r="C44" i="56"/>
  <c r="P44" i="56" s="1"/>
  <c r="C44" i="46" s="1"/>
  <c r="C42" i="56"/>
  <c r="P42" i="56" s="1"/>
  <c r="C42" i="46" s="1"/>
  <c r="C33" i="56"/>
  <c r="P33" i="56" s="1"/>
  <c r="C33" i="46" s="1"/>
  <c r="C21" i="56"/>
  <c r="P21" i="56" s="1"/>
  <c r="C21" i="46" s="1"/>
  <c r="C22" i="56"/>
  <c r="P22" i="56" s="1"/>
  <c r="C22" i="46" s="1"/>
  <c r="C51" i="56"/>
  <c r="P51" i="56" s="1"/>
  <c r="C51" i="46" s="1"/>
  <c r="C43" i="56"/>
  <c r="P43" i="56" s="1"/>
  <c r="C43" i="46" s="1"/>
  <c r="F12" i="56"/>
  <c r="S12" i="56" s="1"/>
  <c r="F12" i="46" s="1"/>
  <c r="F11" i="56"/>
  <c r="S11" i="56" s="1"/>
  <c r="F11" i="46" s="1"/>
  <c r="F28" i="56"/>
  <c r="S28" i="56" s="1"/>
  <c r="F28" i="46" s="1"/>
  <c r="F39" i="56"/>
  <c r="S39" i="56" s="1"/>
  <c r="F39" i="46" s="1"/>
  <c r="F19" i="56"/>
  <c r="S19" i="56" s="1"/>
  <c r="F19" i="46" s="1"/>
  <c r="F29" i="56"/>
  <c r="S29" i="56" s="1"/>
  <c r="F29" i="46" s="1"/>
  <c r="F8" i="56"/>
  <c r="S8" i="56" s="1"/>
  <c r="F8" i="46" s="1"/>
  <c r="F46" i="56"/>
  <c r="S46" i="56" s="1"/>
  <c r="F46" i="46" s="1"/>
  <c r="F20" i="56"/>
  <c r="S20" i="56" s="1"/>
  <c r="F20" i="46" s="1"/>
  <c r="F44" i="56"/>
  <c r="S44" i="56" s="1"/>
  <c r="F44" i="46" s="1"/>
  <c r="F15" i="56"/>
  <c r="S15" i="56" s="1"/>
  <c r="F15" i="46" s="1"/>
  <c r="F47" i="56"/>
  <c r="S47" i="56" s="1"/>
  <c r="F47" i="46" s="1"/>
  <c r="F9" i="56"/>
  <c r="S9" i="56" s="1"/>
  <c r="F9" i="46" s="1"/>
  <c r="F14" i="56"/>
  <c r="S14" i="56" s="1"/>
  <c r="F14" i="46" s="1"/>
  <c r="F54" i="56"/>
  <c r="S54" i="56" s="1"/>
  <c r="F54" i="46" s="1"/>
  <c r="F16" i="56"/>
  <c r="S16" i="56" s="1"/>
  <c r="F16" i="46" s="1"/>
  <c r="F10" i="56"/>
  <c r="S10" i="56" s="1"/>
  <c r="F10" i="46" s="1"/>
  <c r="F17" i="56"/>
  <c r="S17" i="56" s="1"/>
  <c r="F17" i="46" s="1"/>
  <c r="F32" i="56"/>
  <c r="S32" i="56" s="1"/>
  <c r="F32" i="46" s="1"/>
  <c r="F52" i="56"/>
  <c r="S52" i="56" s="1"/>
  <c r="F52" i="46" s="1"/>
  <c r="F24" i="56"/>
  <c r="S24" i="56" s="1"/>
  <c r="F24" i="46" s="1"/>
  <c r="F56" i="56"/>
  <c r="S56" i="56" s="1"/>
  <c r="F56" i="46" s="1"/>
  <c r="F48" i="56"/>
  <c r="S48" i="56" s="1"/>
  <c r="F48" i="46" s="1"/>
  <c r="F31" i="56"/>
  <c r="S31" i="56" s="1"/>
  <c r="F31" i="46" s="1"/>
  <c r="F36" i="56"/>
  <c r="S36" i="56" s="1"/>
  <c r="F36" i="46" s="1"/>
  <c r="F38" i="56"/>
  <c r="S38" i="56" s="1"/>
  <c r="F38" i="46" s="1"/>
  <c r="F23" i="56"/>
  <c r="S23" i="56" s="1"/>
  <c r="F23" i="46" s="1"/>
  <c r="F33" i="56"/>
  <c r="S33" i="56" s="1"/>
  <c r="F33" i="46" s="1"/>
  <c r="F21" i="56"/>
  <c r="S21" i="56" s="1"/>
  <c r="F21" i="46" s="1"/>
  <c r="F22" i="56"/>
  <c r="S22" i="56" s="1"/>
  <c r="F22" i="46" s="1"/>
  <c r="F49" i="56"/>
  <c r="S49" i="56" s="1"/>
  <c r="F49" i="46" s="1"/>
  <c r="F50" i="56"/>
  <c r="S50" i="56" s="1"/>
  <c r="F50" i="46" s="1"/>
  <c r="F6" i="56"/>
  <c r="F53" i="56"/>
  <c r="S53" i="56" s="1"/>
  <c r="F53" i="46" s="1"/>
  <c r="F45" i="56"/>
  <c r="S45" i="56" s="1"/>
  <c r="F45" i="46" s="1"/>
  <c r="F37" i="56"/>
  <c r="S37" i="56" s="1"/>
  <c r="F37" i="46" s="1"/>
  <c r="F13" i="56"/>
  <c r="S13" i="56" s="1"/>
  <c r="F13" i="46" s="1"/>
  <c r="F18" i="56"/>
  <c r="S18" i="56" s="1"/>
  <c r="F18" i="46" s="1"/>
  <c r="F34" i="56"/>
  <c r="S34" i="56" s="1"/>
  <c r="F34" i="46" s="1"/>
  <c r="F43" i="56"/>
  <c r="S43" i="56" s="1"/>
  <c r="F43" i="46" s="1"/>
  <c r="F42" i="56"/>
  <c r="S42" i="56" s="1"/>
  <c r="F42" i="46" s="1"/>
  <c r="F26" i="56"/>
  <c r="S26" i="56" s="1"/>
  <c r="F26" i="46" s="1"/>
  <c r="F55" i="56"/>
  <c r="S55" i="56" s="1"/>
  <c r="F55" i="46" s="1"/>
  <c r="F40" i="56"/>
  <c r="S40" i="56" s="1"/>
  <c r="F40" i="46" s="1"/>
  <c r="F30" i="56"/>
  <c r="S30" i="56" s="1"/>
  <c r="F30" i="46" s="1"/>
  <c r="F25" i="56"/>
  <c r="S25" i="56" s="1"/>
  <c r="F25" i="46" s="1"/>
  <c r="F51" i="56"/>
  <c r="S51" i="56" s="1"/>
  <c r="F51" i="46" s="1"/>
  <c r="F27" i="56"/>
  <c r="S27" i="56" s="1"/>
  <c r="F27" i="46" s="1"/>
  <c r="F41" i="56"/>
  <c r="S41" i="56" s="1"/>
  <c r="F41" i="46" s="1"/>
  <c r="F35" i="56"/>
  <c r="S35" i="56" s="1"/>
  <c r="F35" i="46" s="1"/>
  <c r="F7" i="56"/>
  <c r="S7" i="56" s="1"/>
  <c r="F7" i="46" s="1"/>
  <c r="G11" i="56"/>
  <c r="T11" i="56" s="1"/>
  <c r="G8" i="56"/>
  <c r="T8" i="56" s="1"/>
  <c r="G39" i="56"/>
  <c r="T39" i="56" s="1"/>
  <c r="G23" i="56"/>
  <c r="T23" i="56" s="1"/>
  <c r="G15" i="56"/>
  <c r="T15" i="56" s="1"/>
  <c r="G29" i="56"/>
  <c r="T29" i="56" s="1"/>
  <c r="G20" i="56"/>
  <c r="T20" i="56" s="1"/>
  <c r="G12" i="56"/>
  <c r="T12" i="56" s="1"/>
  <c r="G33" i="56"/>
  <c r="T33" i="56" s="1"/>
  <c r="G21" i="56"/>
  <c r="T21" i="56" s="1"/>
  <c r="G43" i="56"/>
  <c r="T43" i="56" s="1"/>
  <c r="G37" i="56"/>
  <c r="T37" i="56" s="1"/>
  <c r="G49" i="56"/>
  <c r="T49" i="56" s="1"/>
  <c r="G35" i="56"/>
  <c r="T35" i="56" s="1"/>
  <c r="G38" i="56"/>
  <c r="T38" i="56" s="1"/>
  <c r="G9" i="56"/>
  <c r="T9" i="56" s="1"/>
  <c r="G22" i="56"/>
  <c r="T22" i="56" s="1"/>
  <c r="G53" i="56"/>
  <c r="T53" i="56" s="1"/>
  <c r="G45" i="56"/>
  <c r="T45" i="56" s="1"/>
  <c r="G27" i="56"/>
  <c r="T27" i="56" s="1"/>
  <c r="G42" i="56"/>
  <c r="T42" i="56" s="1"/>
  <c r="G19" i="56"/>
  <c r="T19" i="56" s="1"/>
  <c r="G30" i="56"/>
  <c r="T30" i="56" s="1"/>
  <c r="G50" i="56"/>
  <c r="T50" i="56" s="1"/>
  <c r="G36" i="56"/>
  <c r="T36" i="56" s="1"/>
  <c r="G6" i="56"/>
  <c r="G40" i="56"/>
  <c r="T40" i="56" s="1"/>
  <c r="G25" i="56"/>
  <c r="T25" i="56" s="1"/>
  <c r="G26" i="56"/>
  <c r="T26" i="56" s="1"/>
  <c r="G31" i="56"/>
  <c r="T31" i="56" s="1"/>
  <c r="G18" i="56"/>
  <c r="T18" i="56" s="1"/>
  <c r="G46" i="56"/>
  <c r="T46" i="56" s="1"/>
  <c r="G51" i="56"/>
  <c r="T51" i="56" s="1"/>
  <c r="G13" i="56"/>
  <c r="T13" i="56" s="1"/>
  <c r="G7" i="56"/>
  <c r="T7" i="56" s="1"/>
  <c r="G41" i="56"/>
  <c r="T41" i="56" s="1"/>
  <c r="G17" i="56"/>
  <c r="T17" i="56" s="1"/>
  <c r="G56" i="56"/>
  <c r="T56" i="56" s="1"/>
  <c r="G44" i="56"/>
  <c r="T44" i="56" s="1"/>
  <c r="G14" i="56"/>
  <c r="T14" i="56" s="1"/>
  <c r="G54" i="56"/>
  <c r="T54" i="56" s="1"/>
  <c r="G32" i="56"/>
  <c r="T32" i="56" s="1"/>
  <c r="G10" i="56"/>
  <c r="T10" i="56" s="1"/>
  <c r="G47" i="56"/>
  <c r="T47" i="56" s="1"/>
  <c r="G55" i="56"/>
  <c r="T55" i="56" s="1"/>
  <c r="G34" i="56"/>
  <c r="T34" i="56" s="1"/>
  <c r="G16" i="56"/>
  <c r="T16" i="56" s="1"/>
  <c r="G52" i="56"/>
  <c r="T52" i="56" s="1"/>
  <c r="G48" i="56"/>
  <c r="T48" i="56" s="1"/>
  <c r="G28" i="56"/>
  <c r="T28" i="56" s="1"/>
  <c r="G24" i="56"/>
  <c r="T24" i="56" s="1"/>
  <c r="S6" i="56" l="1"/>
  <c r="F57" i="56"/>
  <c r="R6" i="56"/>
  <c r="E57" i="56"/>
  <c r="O54" i="56"/>
  <c r="B54" i="46" s="1"/>
  <c r="O26" i="56"/>
  <c r="B26" i="46" s="1"/>
  <c r="O38" i="56"/>
  <c r="B38" i="46" s="1"/>
  <c r="O12" i="56"/>
  <c r="B12" i="46" s="1"/>
  <c r="I57" i="56"/>
  <c r="V6" i="56"/>
  <c r="O52" i="56"/>
  <c r="B52" i="46" s="1"/>
  <c r="B57" i="56"/>
  <c r="O6" i="56"/>
  <c r="B6" i="46" s="1"/>
  <c r="O21" i="56"/>
  <c r="B21" i="46" s="1"/>
  <c r="O39" i="56"/>
  <c r="B39" i="46" s="1"/>
  <c r="O29" i="56"/>
  <c r="B29" i="46" s="1"/>
  <c r="T6" i="56"/>
  <c r="T57" i="56" s="1"/>
  <c r="G57" i="56"/>
  <c r="O9" i="56"/>
  <c r="B9" i="46" s="1"/>
  <c r="O36" i="56"/>
  <c r="B36" i="46" s="1"/>
  <c r="O33" i="56"/>
  <c r="B33" i="46" s="1"/>
  <c r="O44" i="56"/>
  <c r="B44" i="46" s="1"/>
  <c r="U6" i="56"/>
  <c r="H57" i="56"/>
  <c r="O16" i="56"/>
  <c r="B16" i="46" s="1"/>
  <c r="O50" i="56"/>
  <c r="B50" i="46" s="1"/>
  <c r="O47" i="56"/>
  <c r="B47" i="46" s="1"/>
  <c r="O8" i="56"/>
  <c r="B8" i="46" s="1"/>
  <c r="O40" i="56"/>
  <c r="B40" i="46" s="1"/>
  <c r="O18" i="56"/>
  <c r="B18" i="46" s="1"/>
  <c r="O31" i="56"/>
  <c r="B31" i="46" s="1"/>
  <c r="O30" i="56"/>
  <c r="B30" i="46" s="1"/>
  <c r="O56" i="56"/>
  <c r="B56" i="46" s="1"/>
  <c r="O11" i="56"/>
  <c r="B11" i="46" s="1"/>
  <c r="O49" i="56"/>
  <c r="B49" i="46" s="1"/>
  <c r="O46" i="56"/>
  <c r="B46" i="46" s="1"/>
  <c r="O34" i="56"/>
  <c r="B34" i="46" s="1"/>
  <c r="O10" i="56"/>
  <c r="B10" i="46" s="1"/>
  <c r="O15" i="56"/>
  <c r="B15" i="46" s="1"/>
  <c r="O17" i="56"/>
  <c r="B17" i="46" s="1"/>
  <c r="O19" i="56"/>
  <c r="B19" i="46" s="1"/>
  <c r="P6" i="56"/>
  <c r="C57" i="56"/>
  <c r="O25" i="56"/>
  <c r="B25" i="46" s="1"/>
  <c r="O37" i="56"/>
  <c r="B37" i="46" s="1"/>
  <c r="O43" i="56"/>
  <c r="B43" i="46" s="1"/>
  <c r="O35" i="56"/>
  <c r="B35" i="46" s="1"/>
  <c r="O7" i="56"/>
  <c r="B7" i="46" s="1"/>
  <c r="O27" i="56"/>
  <c r="B27" i="46" s="1"/>
  <c r="O20" i="56"/>
  <c r="B20" i="46" s="1"/>
  <c r="O14" i="56"/>
  <c r="B14" i="46" s="1"/>
  <c r="O28" i="56"/>
  <c r="B28" i="46" s="1"/>
  <c r="O41" i="56"/>
  <c r="B41" i="46" s="1"/>
  <c r="O45" i="56"/>
  <c r="B45" i="46" s="1"/>
  <c r="O48" i="56"/>
  <c r="B48" i="46" s="1"/>
  <c r="O23" i="56"/>
  <c r="B23" i="46" s="1"/>
  <c r="O32" i="56"/>
  <c r="B32" i="46" s="1"/>
  <c r="O13" i="56"/>
  <c r="B13" i="46" s="1"/>
  <c r="O53" i="56"/>
  <c r="B53" i="46" s="1"/>
  <c r="O24" i="56"/>
  <c r="B24" i="46" s="1"/>
  <c r="O55" i="56"/>
  <c r="B55" i="46" s="1"/>
  <c r="O51" i="56"/>
  <c r="B51" i="46" s="1"/>
  <c r="O22" i="56"/>
  <c r="B22" i="46" s="1"/>
  <c r="O42" i="56"/>
  <c r="B42" i="46" s="1"/>
  <c r="D19" i="56"/>
  <c r="Q19" i="56" s="1"/>
  <c r="D19" i="46" s="1"/>
  <c r="M19" i="46" l="1"/>
  <c r="U57" i="56"/>
  <c r="G6" i="46"/>
  <c r="G57" i="46" s="1"/>
  <c r="R57" i="56"/>
  <c r="E6" i="46"/>
  <c r="E57" i="46" s="1"/>
  <c r="V57" i="56"/>
  <c r="H6" i="46"/>
  <c r="H57" i="46" s="1"/>
  <c r="S57" i="56"/>
  <c r="F6" i="46"/>
  <c r="F57" i="46" s="1"/>
  <c r="P57" i="56"/>
  <c r="C6" i="46"/>
  <c r="C57" i="46" s="1"/>
  <c r="B57" i="46"/>
  <c r="D37" i="56"/>
  <c r="Q37" i="56" s="1"/>
  <c r="D37" i="46" s="1"/>
  <c r="M37" i="46" s="1"/>
  <c r="D35" i="56"/>
  <c r="D42" i="56"/>
  <c r="D51" i="56"/>
  <c r="D52" i="56"/>
  <c r="D6" i="56"/>
  <c r="L19" i="56"/>
  <c r="D36" i="56"/>
  <c r="Y19" i="56"/>
  <c r="D10" i="56"/>
  <c r="D31" i="56"/>
  <c r="D21" i="56"/>
  <c r="D40" i="56"/>
  <c r="D27" i="56"/>
  <c r="D28" i="56"/>
  <c r="D47" i="56"/>
  <c r="D50" i="56"/>
  <c r="D49" i="56"/>
  <c r="D17" i="56"/>
  <c r="D34" i="56"/>
  <c r="D45" i="56"/>
  <c r="O57" i="56"/>
  <c r="D12" i="56"/>
  <c r="D43" i="56"/>
  <c r="D33" i="56"/>
  <c r="D20" i="56"/>
  <c r="D7" i="56"/>
  <c r="L37" i="56" l="1"/>
  <c r="Y37" i="56"/>
  <c r="D30" i="56"/>
  <c r="Q6" i="56"/>
  <c r="L6" i="56"/>
  <c r="Q31" i="56"/>
  <c r="L31" i="56"/>
  <c r="D29" i="56"/>
  <c r="D13" i="56"/>
  <c r="Q27" i="56"/>
  <c r="L27" i="56"/>
  <c r="Q10" i="56"/>
  <c r="L10" i="56"/>
  <c r="D53" i="56"/>
  <c r="D25" i="56"/>
  <c r="D56" i="56"/>
  <c r="Q45" i="56"/>
  <c r="L45" i="56"/>
  <c r="Q52" i="56"/>
  <c r="L52" i="56"/>
  <c r="D48" i="56"/>
  <c r="Q49" i="56"/>
  <c r="L49" i="56"/>
  <c r="Q20" i="56"/>
  <c r="L20" i="56"/>
  <c r="D16" i="56"/>
  <c r="D22" i="56"/>
  <c r="Q34" i="56"/>
  <c r="L34" i="56"/>
  <c r="Q51" i="56"/>
  <c r="L51" i="56"/>
  <c r="D14" i="56"/>
  <c r="D46" i="56"/>
  <c r="D18" i="56"/>
  <c r="D39" i="56"/>
  <c r="Q33" i="56"/>
  <c r="L33" i="56"/>
  <c r="Q50" i="56"/>
  <c r="L50" i="56"/>
  <c r="D24" i="56"/>
  <c r="D54" i="56"/>
  <c r="D26" i="56"/>
  <c r="Q17" i="56"/>
  <c r="L17" i="56"/>
  <c r="Q36" i="56"/>
  <c r="L36" i="56"/>
  <c r="Q42" i="56"/>
  <c r="L42" i="56"/>
  <c r="D8" i="56"/>
  <c r="D15" i="56"/>
  <c r="D32" i="56"/>
  <c r="Q43" i="56"/>
  <c r="L43" i="56"/>
  <c r="Q47" i="56"/>
  <c r="L47" i="56"/>
  <c r="Q40" i="56"/>
  <c r="L40" i="56"/>
  <c r="D11" i="56"/>
  <c r="D9" i="56"/>
  <c r="D55" i="56"/>
  <c r="D38" i="56"/>
  <c r="D23" i="56"/>
  <c r="D44" i="56"/>
  <c r="Q7" i="56"/>
  <c r="L7" i="56"/>
  <c r="D41" i="56"/>
  <c r="Q12" i="56"/>
  <c r="L12" i="56"/>
  <c r="Q28" i="56"/>
  <c r="L28" i="56"/>
  <c r="Q21" i="56"/>
  <c r="L21" i="56"/>
  <c r="Q35" i="56"/>
  <c r="L35" i="56"/>
  <c r="D57" i="56" l="1"/>
  <c r="D43" i="46"/>
  <c r="M43" i="46" s="1"/>
  <c r="Y43" i="56"/>
  <c r="Q55" i="56"/>
  <c r="L55" i="56"/>
  <c r="Q32" i="56"/>
  <c r="L32" i="56"/>
  <c r="Q26" i="56"/>
  <c r="L26" i="56"/>
  <c r="Q16" i="56"/>
  <c r="L16" i="56"/>
  <c r="Q56" i="56"/>
  <c r="L56" i="56"/>
  <c r="Q29" i="56"/>
  <c r="L29" i="56"/>
  <c r="Q46" i="56"/>
  <c r="L46" i="56"/>
  <c r="Q38" i="56"/>
  <c r="L38" i="56"/>
  <c r="Q15" i="56"/>
  <c r="L15" i="56"/>
  <c r="Q54" i="56"/>
  <c r="L54" i="56"/>
  <c r="D20" i="46"/>
  <c r="M20" i="46" s="1"/>
  <c r="Y20" i="56"/>
  <c r="Q25" i="56"/>
  <c r="L25" i="56"/>
  <c r="Q53" i="56"/>
  <c r="L53" i="56"/>
  <c r="D31" i="46"/>
  <c r="M31" i="46" s="1"/>
  <c r="Y31" i="56"/>
  <c r="D28" i="46"/>
  <c r="M28" i="46" s="1"/>
  <c r="Y28" i="56"/>
  <c r="Q11" i="56"/>
  <c r="L11" i="56"/>
  <c r="D7" i="46"/>
  <c r="M7" i="46" s="1"/>
  <c r="Y7" i="56"/>
  <c r="D49" i="46"/>
  <c r="M49" i="46" s="1"/>
  <c r="Y49" i="56"/>
  <c r="D17" i="46"/>
  <c r="M17" i="46" s="1"/>
  <c r="Y17" i="56"/>
  <c r="Q44" i="56"/>
  <c r="L44" i="56"/>
  <c r="Q48" i="56"/>
  <c r="L48" i="56"/>
  <c r="D45" i="46"/>
  <c r="M45" i="46" s="1"/>
  <c r="Y45" i="56"/>
  <c r="Q8" i="56"/>
  <c r="L8" i="56"/>
  <c r="D40" i="46"/>
  <c r="M40" i="46" s="1"/>
  <c r="Y40" i="56"/>
  <c r="D42" i="46"/>
  <c r="M42" i="46" s="1"/>
  <c r="Y42" i="56"/>
  <c r="D50" i="46"/>
  <c r="M50" i="46" s="1"/>
  <c r="Y50" i="56"/>
  <c r="D51" i="46"/>
  <c r="M51" i="46" s="1"/>
  <c r="Y51" i="56"/>
  <c r="D6" i="46"/>
  <c r="M6" i="46" s="1"/>
  <c r="Y6" i="56"/>
  <c r="Q18" i="56"/>
  <c r="L18" i="56"/>
  <c r="Q9" i="56"/>
  <c r="L9" i="56"/>
  <c r="D10" i="46"/>
  <c r="M10" i="46" s="1"/>
  <c r="Y10" i="56"/>
  <c r="Q30" i="56"/>
  <c r="L30" i="56"/>
  <c r="Q13" i="56"/>
  <c r="L13" i="56"/>
  <c r="D12" i="46"/>
  <c r="M12" i="46" s="1"/>
  <c r="Y12" i="56"/>
  <c r="Q41" i="56"/>
  <c r="L41" i="56"/>
  <c r="Q24" i="56"/>
  <c r="L24" i="56"/>
  <c r="D35" i="46"/>
  <c r="M35" i="46" s="1"/>
  <c r="Y35" i="56"/>
  <c r="D21" i="46"/>
  <c r="M21" i="46" s="1"/>
  <c r="Y21" i="56"/>
  <c r="Q23" i="56"/>
  <c r="L23" i="56"/>
  <c r="D47" i="46"/>
  <c r="M47" i="46" s="1"/>
  <c r="Y47" i="56"/>
  <c r="D36" i="46"/>
  <c r="M36" i="46" s="1"/>
  <c r="Y36" i="56"/>
  <c r="D33" i="46"/>
  <c r="M33" i="46" s="1"/>
  <c r="Y33" i="56"/>
  <c r="D34" i="46"/>
  <c r="M34" i="46" s="1"/>
  <c r="Y34" i="56"/>
  <c r="D52" i="46"/>
  <c r="M52" i="46" s="1"/>
  <c r="Y52" i="56"/>
  <c r="Q14" i="56"/>
  <c r="L14" i="56"/>
  <c r="Q39" i="56"/>
  <c r="L39" i="56"/>
  <c r="Q22" i="56"/>
  <c r="L22" i="56"/>
  <c r="D27" i="46"/>
  <c r="M27" i="46" s="1"/>
  <c r="Y27" i="56"/>
  <c r="L57" i="56" l="1"/>
  <c r="Q57" i="56"/>
  <c r="D16" i="46"/>
  <c r="M16" i="46" s="1"/>
  <c r="Y16" i="56"/>
  <c r="D13" i="46"/>
  <c r="M13" i="46" s="1"/>
  <c r="Y13" i="56"/>
  <c r="D23" i="46"/>
  <c r="M23" i="46" s="1"/>
  <c r="Y23" i="56"/>
  <c r="D54" i="46"/>
  <c r="M54" i="46" s="1"/>
  <c r="Y54" i="56"/>
  <c r="D15" i="46"/>
  <c r="M15" i="46" s="1"/>
  <c r="Y15" i="56"/>
  <c r="D26" i="46"/>
  <c r="M26" i="46" s="1"/>
  <c r="Y26" i="56"/>
  <c r="D39" i="46"/>
  <c r="M39" i="46" s="1"/>
  <c r="Y39" i="56"/>
  <c r="D38" i="46"/>
  <c r="M38" i="46" s="1"/>
  <c r="Y38" i="56"/>
  <c r="D32" i="46"/>
  <c r="M32" i="46" s="1"/>
  <c r="Y32" i="56"/>
  <c r="D14" i="46"/>
  <c r="M14" i="46" s="1"/>
  <c r="Y14" i="56"/>
  <c r="D11" i="46"/>
  <c r="M11" i="46" s="1"/>
  <c r="Y11" i="56"/>
  <c r="D48" i="46"/>
  <c r="M48" i="46" s="1"/>
  <c r="Y48" i="56"/>
  <c r="D44" i="46"/>
  <c r="M44" i="46" s="1"/>
  <c r="Y44" i="56"/>
  <c r="D53" i="46"/>
  <c r="M53" i="46" s="1"/>
  <c r="Y53" i="56"/>
  <c r="D46" i="46"/>
  <c r="M46" i="46" s="1"/>
  <c r="Y46" i="56"/>
  <c r="D55" i="46"/>
  <c r="M55" i="46" s="1"/>
  <c r="Y55" i="56"/>
  <c r="D24" i="46"/>
  <c r="M24" i="46" s="1"/>
  <c r="Y24" i="56"/>
  <c r="D9" i="46"/>
  <c r="M9" i="46" s="1"/>
  <c r="Y9" i="56"/>
  <c r="D22" i="46"/>
  <c r="M22" i="46" s="1"/>
  <c r="Y22" i="56"/>
  <c r="D41" i="46"/>
  <c r="M41" i="46" s="1"/>
  <c r="Y41" i="56"/>
  <c r="D18" i="46"/>
  <c r="M18" i="46" s="1"/>
  <c r="Y18" i="56"/>
  <c r="D56" i="46"/>
  <c r="M56" i="46" s="1"/>
  <c r="Y56" i="56"/>
  <c r="D30" i="46"/>
  <c r="M30" i="46" s="1"/>
  <c r="Y30" i="56"/>
  <c r="D8" i="46"/>
  <c r="M8" i="46" s="1"/>
  <c r="Y8" i="56"/>
  <c r="D25" i="46"/>
  <c r="M25" i="46" s="1"/>
  <c r="Y25" i="56"/>
  <c r="D29" i="46"/>
  <c r="M29" i="46" s="1"/>
  <c r="Y29" i="56"/>
  <c r="Y57" i="56" l="1"/>
  <c r="M57" i="46"/>
  <c r="D57" i="46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<sst xmlns="http://schemas.openxmlformats.org/spreadsheetml/2006/main" count="1046" uniqueCount="356">
  <si>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</si>
  <si>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</si>
  <si>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</si>
  <si>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</si>
  <si>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</si>
  <si>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</si>
  <si>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</si>
  <si>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</si>
  <si>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</si>
  <si>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</si>
  <si>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</si>
  <si>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</si>
  <si>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</si>
  <si>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</si>
  <si>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</si>
  <si>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</si>
  <si>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</si>
  <si>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</si>
  <si>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</si>
  <si>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</si>
  <si>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</si>
  <si>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</si>
  <si>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</si>
  <si>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</si>
  <si>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</si>
  <si>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</si>
  <si>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</si>
  <si>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</si>
  <si>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</si>
  <si>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</si>
  <si>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</si>
  <si>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</si>
  <si>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</si>
  <si>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</si>
  <si>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</si>
  <si>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</si>
  <si>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</si>
  <si>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</si>
  <si>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</si>
  <si>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</si>
  <si>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</si>
  <si>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</si>
  <si>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</si>
  <si>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</si>
  <si>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</si>
  <si>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</si>
  <si>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</si>
  <si>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</si>
  <si>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</si>
  <si>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</si>
  <si>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</si>
  <si>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</si>
  <si>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</si>
  <si>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</si>
  <si>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</si>
  <si>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</si>
  <si>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</si>
  <si>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</si>
  <si>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</si>
  <si>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</si>
  <si>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</si>
  <si>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</si>
  <si>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</si>
  <si>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</si>
  <si>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</si>
  <si>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</si>
  <si>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</si>
  <si>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</si>
  <si>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</si>
  <si>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</si>
  <si>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</si>
  <si>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</si>
  <si>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</si>
  <si>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</si>
  <si>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</si>
  <si>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</si>
  <si>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</si>
  <si>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</si>
  <si>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</si>
  <si>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</si>
  <si>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</si>
  <si>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</si>
  <si>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R1</t>
  </si>
  <si>
    <t>R2</t>
  </si>
  <si>
    <t>R3</t>
  </si>
  <si>
    <t>R4</t>
  </si>
  <si>
    <t>POB ING &lt; A 2 SALARIOS MIN
2010</t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</si>
  <si>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</si>
  <si>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</si>
  <si>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</si>
  <si>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</si>
  <si>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</si>
  <si>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</si>
  <si>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</si>
  <si>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</si>
  <si>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</si>
  <si>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</si>
  <si>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</si>
  <si>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</si>
  <si>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</si>
  <si>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</si>
  <si>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</si>
  <si>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</si>
  <si>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</si>
  <si>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</si>
  <si>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</si>
  <si>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</si>
  <si>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</si>
  <si>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</si>
  <si>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</si>
  <si>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</si>
  <si>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</si>
  <si>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</si>
  <si>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</si>
  <si>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</si>
  <si>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</si>
  <si>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</si>
  <si>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</si>
  <si>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</si>
  <si>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</si>
  <si>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</si>
  <si>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</si>
  <si>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</si>
  <si>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</si>
  <si>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</si>
  <si>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</si>
  <si>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</si>
  <si>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</si>
  <si>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</si>
  <si>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</si>
  <si>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</si>
  <si>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</si>
  <si>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</si>
  <si>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</si>
  <si>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</si>
  <si>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</si>
  <si>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</si>
  <si>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</si>
  <si>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</si>
  <si>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</si>
  <si>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</si>
  <si>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</si>
  <si>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</si>
  <si>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</si>
  <si>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</si>
  <si>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</si>
  <si>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</si>
  <si>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</si>
  <si>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</si>
  <si>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</si>
  <si>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</si>
  <si>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</si>
  <si>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</si>
  <si>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</si>
  <si>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</si>
  <si>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</si>
  <si>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</si>
  <si>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</si>
  <si>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</si>
  <si>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</si>
  <si>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</si>
  <si>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</si>
  <si>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</si>
  <si>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</si>
  <si>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</si>
  <si>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</si>
  <si>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</si>
  <si>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</si>
  <si>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</si>
  <si>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</si>
  <si>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</si>
  <si>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</si>
  <si>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</si>
  <si>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</si>
  <si>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</si>
  <si>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</si>
  <si>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</si>
  <si>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</si>
  <si>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</si>
  <si>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</si>
  <si>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</si>
  <si>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</si>
  <si>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</si>
  <si>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</si>
  <si>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</si>
  <si>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</si>
  <si>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</si>
  <si>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</si>
  <si>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</si>
  <si>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</si>
  <si>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</si>
  <si>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</si>
  <si>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</si>
  <si>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</si>
  <si>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</si>
  <si>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</si>
  <si>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</si>
  <si>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</si>
  <si>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</si>
  <si>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</si>
  <si>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</si>
  <si>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</si>
  <si>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</si>
  <si>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</si>
  <si>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</si>
  <si>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</si>
  <si>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</si>
  <si>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</si>
  <si>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</si>
  <si>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</si>
  <si>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</si>
  <si>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</si>
  <si>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</si>
  <si>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</si>
  <si>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</si>
  <si>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</si>
  <si>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</si>
  <si>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</si>
  <si>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</si>
  <si>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</si>
  <si>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</si>
  <si>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</si>
  <si>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</si>
  <si>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</si>
  <si>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</si>
  <si>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</si>
  <si>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</si>
  <si>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</si>
  <si>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</si>
  <si>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</si>
  <si>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</si>
  <si>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</si>
  <si>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</si>
  <si>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</si>
  <si>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</si>
  <si>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</si>
  <si>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</si>
  <si>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</si>
  <si>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</si>
  <si>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</si>
  <si>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</si>
  <si>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</si>
  <si>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</si>
  <si>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</si>
  <si>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</si>
  <si>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</si>
  <si>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</si>
  <si>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</si>
  <si>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</si>
  <si>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</si>
  <si>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</si>
  <si>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</si>
  <si>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</si>
  <si>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</si>
  <si>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</si>
  <si>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</si>
  <si>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</si>
  <si>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</si>
  <si>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</si>
  <si>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</si>
  <si>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</si>
  <si>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</si>
  <si>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</si>
  <si>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</si>
  <si>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</si>
  <si>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</si>
  <si>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</si>
  <si>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</si>
  <si>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</si>
  <si>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</si>
  <si>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</si>
  <si>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</si>
  <si>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</si>
  <si>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</si>
  <si>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</si>
  <si>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</si>
  <si>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</si>
  <si>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</si>
  <si>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</si>
  <si>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</si>
  <si>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</si>
  <si>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</si>
  <si>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</si>
  <si>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</si>
  <si>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</si>
  <si>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</si>
  <si>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</si>
  <si>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</si>
  <si>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</si>
  <si>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</si>
  <si>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</si>
  <si>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</si>
  <si>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</si>
  <si>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</si>
  <si>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</si>
  <si>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</si>
  <si>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</si>
  <si>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</si>
  <si>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</si>
  <si>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</si>
  <si>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</si>
  <si>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</si>
  <si>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</si>
  <si>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</si>
  <si>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</si>
  <si>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</si>
  <si>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</si>
  <si>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</si>
  <si>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</si>
  <si>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</si>
  <si>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</si>
  <si>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</si>
  <si>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</si>
  <si>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</si>
  <si>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</si>
  <si>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</si>
  <si>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</si>
  <si>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</si>
  <si>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</si>
  <si>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</si>
  <si>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</si>
  <si>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</si>
  <si>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</si>
  <si>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</si>
  <si>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</si>
  <si>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</si>
  <si>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</si>
  <si>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</si>
  <si>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</si>
  <si>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</si>
  <si>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>POB 15 AÑOS O + NO SABE LEER NI ESCRIBIR 2010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</si>
  <si>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</si>
  <si>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</si>
  <si>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</si>
  <si>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</si>
  <si>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</si>
  <si>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</si>
  <si>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</si>
  <si>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Fondo sobre Extracción de Hidrocarburos (FEXHI)</t>
  </si>
  <si>
    <t>SALDOS DE PARTICIPACIONES DISTRIBUIDAS ENERO - JUNIO 2020</t>
  </si>
  <si>
    <t>DIFERENCIAS POR CALCULO CON COEFICIENTE DE 1er SEMESTRE Vs CALCULO CON COEFICIENTE ACTUALIZADO</t>
  </si>
  <si>
    <t>FFM (70%)</t>
  </si>
  <si>
    <t>FFM (30%)</t>
  </si>
  <si>
    <t>IEPS GYD</t>
  </si>
  <si>
    <t>ISR ENAJENACION</t>
  </si>
  <si>
    <t>CS1</t>
  </si>
  <si>
    <t>MEJORA SOCIAL 2020 vs 2010</t>
  </si>
  <si>
    <t>AJUSTE MENSUAL PARA APLICAR DE JULIO A DICIEMBRE 2021</t>
  </si>
  <si>
    <t>POR DISTRIBUCIÓN DE PARTICIPACIONES EN EL 1er SEMESTRE DE 2021</t>
  </si>
  <si>
    <t>FEIEF AJUSTE</t>
  </si>
  <si>
    <t>FEIEF FGP COMPENSACION</t>
  </si>
  <si>
    <t xml:space="preserve">CÁLCULO DE DISTRIBUCIÓN DE PARTICIPACIONES SEPTIEMBRE 2021 </t>
  </si>
  <si>
    <t>Participaciones SEPTIEMBRE 2021</t>
  </si>
  <si>
    <t>CÁLCULO  DE PARTICIPACIONES DE ISR MES DE SEPTIEMBRE 2021</t>
  </si>
  <si>
    <t>CORRESPONDIENTE AL PERIODO SEPTIEMBRE</t>
  </si>
  <si>
    <t>DISTRIBUCIÓN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</si>
</sst>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  <numFmt numFmtId="193" formatCode="_-* #,##0.000000_-;\-* #,##0.000000_-;_-* &quot;-&quot;????_-;_-@_-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9" fontId="8" fillId="0" borderId="0" applyFont="0" applyFill="0" applyBorder="0" applyAlignment="0" applyProtection="0"/>
    <xf numFmtId="0" fontId="22" fillId="3" borderId="0" applyNumberFormat="0" applyBorder="0" applyAlignment="0" applyProtection="0"/>
    <xf numFmtId="164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33" fillId="0" borderId="0"/>
    <xf numFmtId="0" fontId="10" fillId="0" borderId="0"/>
    <xf numFmtId="37" fontId="9" fillId="0" borderId="0"/>
    <xf numFmtId="0" fontId="14" fillId="23" borderId="4" applyNumberFormat="0" applyFont="0" applyAlignment="0" applyProtection="0"/>
    <xf numFmtId="170" fontId="10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1" fontId="11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1" fontId="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82" fontId="8" fillId="0" borderId="0" applyFont="0" applyFill="0" applyBorder="0" applyAlignment="0" applyProtection="0"/>
    <xf numFmtId="0" fontId="22" fillId="3" borderId="0" applyNumberFormat="0" applyBorder="0" applyAlignment="0" applyProtection="0"/>
    <xf numFmtId="41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8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7" fillId="0" borderId="0"/>
    <xf numFmtId="43" fontId="8" fillId="0" borderId="0" applyFont="0" applyFill="0" applyBorder="0" applyAlignment="0" applyProtection="0"/>
    <xf numFmtId="0" fontId="49" fillId="0" borderId="0"/>
    <xf numFmtId="0" fontId="6" fillId="0" borderId="0"/>
    <xf numFmtId="43" fontId="50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55" fillId="2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70" fontId="8" fillId="0" borderId="0" applyFont="0" applyFill="0" applyBorder="0" applyAlignment="0" applyProtection="0">
      <alignment horizontal="right"/>
    </xf>
    <xf numFmtId="0" fontId="2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0">
    <xf numFmtId="0" fontId="0" fillId="0" borderId="0" xfId="0"/>
    <xf numFmtId="37" fontId="8" fillId="0" borderId="0" xfId="37" applyFont="1" applyFill="1" applyProtection="1">
      <protection hidden="1"/>
    </xf>
    <xf numFmtId="37" fontId="8" fillId="0" borderId="0" xfId="37" applyFont="1" applyProtection="1">
      <protection hidden="1"/>
    </xf>
    <xf numFmtId="37" fontId="35" fillId="0" borderId="0" xfId="37" applyFont="1" applyProtection="1">
      <protection hidden="1"/>
    </xf>
    <xf numFmtId="37" fontId="40" fillId="0" borderId="0" xfId="37" applyFont="1" applyProtection="1">
      <protection hidden="1"/>
    </xf>
    <xf numFmtId="174" fontId="8" fillId="0" borderId="0" xfId="37" applyNumberFormat="1" applyFont="1" applyProtection="1">
      <protection hidden="1"/>
    </xf>
    <xf numFmtId="175" fontId="8" fillId="0" borderId="0" xfId="37" applyNumberFormat="1" applyFont="1" applyProtection="1">
      <protection hidden="1"/>
    </xf>
    <xf numFmtId="37" fontId="44" fillId="0" borderId="0" xfId="37" applyFont="1" applyAlignment="1" applyProtection="1">
      <alignment horizontal="center"/>
      <protection hidden="1"/>
    </xf>
    <xf numFmtId="37" fontId="8" fillId="0" borderId="0" xfId="37" applyFont="1" applyAlignment="1" applyProtection="1">
      <alignment wrapText="1"/>
      <protection hidden="1"/>
    </xf>
    <xf numFmtId="37" fontId="44" fillId="0" borderId="0" xfId="37" applyFont="1" applyAlignment="1" applyProtection="1">
      <protection hidden="1"/>
    </xf>
    <xf numFmtId="0" fontId="0" fillId="0" borderId="28" xfId="0" applyBorder="1" applyAlignment="1"/>
    <xf numFmtId="0" fontId="8" fillId="0" borderId="0" xfId="53"/>
    <xf numFmtId="0" fontId="8" fillId="0" borderId="0" xfId="53" applyFont="1" applyBorder="1" applyAlignment="1">
      <alignment vertical="center"/>
    </xf>
    <xf numFmtId="3" fontId="8" fillId="0" borderId="0" xfId="53" applyNumberFormat="1" applyBorder="1" applyAlignment="1">
      <alignment horizontal="center" vertical="center"/>
    </xf>
    <xf numFmtId="0" fontId="8" fillId="0" borderId="0" xfId="53" applyBorder="1" applyAlignment="1">
      <alignment horizontal="center" vertical="center"/>
    </xf>
    <xf numFmtId="0" fontId="8" fillId="0" borderId="0" xfId="53" applyFont="1"/>
    <xf numFmtId="183" fontId="0" fillId="0" borderId="0" xfId="51" applyNumberFormat="1" applyFont="1"/>
    <xf numFmtId="183" fontId="8" fillId="0" borderId="0" xfId="51" applyNumberFormat="1" applyFont="1"/>
    <xf numFmtId="183" fontId="12" fillId="0" borderId="34" xfId="51" applyNumberFormat="1" applyFont="1" applyFill="1" applyBorder="1" applyAlignment="1">
      <alignment horizontal="center" vertical="center" wrapText="1"/>
    </xf>
    <xf numFmtId="183" fontId="12" fillId="0" borderId="37" xfId="51" applyNumberFormat="1" applyFont="1" applyFill="1" applyBorder="1"/>
    <xf numFmtId="183" fontId="12" fillId="0" borderId="34" xfId="51" applyNumberFormat="1" applyFont="1" applyFill="1" applyBorder="1"/>
    <xf numFmtId="183" fontId="12" fillId="0" borderId="0" xfId="51" applyNumberFormat="1" applyFont="1" applyFill="1" applyBorder="1"/>
    <xf numFmtId="167" fontId="51" fillId="0" borderId="0" xfId="40" applyNumberFormat="1" applyFont="1" applyProtection="1">
      <protection hidden="1"/>
    </xf>
    <xf numFmtId="37" fontId="12" fillId="0" borderId="0" xfId="37" applyFont="1" applyProtection="1">
      <protection hidden="1"/>
    </xf>
    <xf numFmtId="3" fontId="8" fillId="0" borderId="0" xfId="53" applyNumberFormat="1"/>
    <xf numFmtId="0" fontId="8" fillId="24" borderId="0" xfId="106" applyFill="1"/>
    <xf numFmtId="183" fontId="0" fillId="24" borderId="0" xfId="51" applyNumberFormat="1" applyFont="1" applyFill="1"/>
    <xf numFmtId="184" fontId="8" fillId="24" borderId="38" xfId="106" applyNumberFormat="1" applyFill="1" applyBorder="1"/>
    <xf numFmtId="183" fontId="0" fillId="24" borderId="42" xfId="51" applyNumberFormat="1" applyFont="1" applyFill="1" applyBorder="1"/>
    <xf numFmtId="183" fontId="0" fillId="24" borderId="0" xfId="51" applyNumberFormat="1" applyFont="1" applyFill="1" applyBorder="1"/>
    <xf numFmtId="183" fontId="0" fillId="24" borderId="43" xfId="51" applyNumberFormat="1" applyFont="1" applyFill="1" applyBorder="1"/>
    <xf numFmtId="0" fontId="12" fillId="24" borderId="37" xfId="106" applyFont="1" applyFill="1" applyBorder="1"/>
    <xf numFmtId="185" fontId="8" fillId="24" borderId="41" xfId="106" applyNumberFormat="1" applyFill="1" applyBorder="1"/>
    <xf numFmtId="186" fontId="0" fillId="24" borderId="0" xfId="51" applyNumberFormat="1" applyFont="1" applyFill="1" applyBorder="1"/>
    <xf numFmtId="186" fontId="8" fillId="24" borderId="0" xfId="106" applyNumberFormat="1" applyFill="1" applyBorder="1"/>
    <xf numFmtId="186" fontId="0" fillId="24" borderId="42" xfId="51" applyNumberFormat="1" applyFont="1" applyFill="1" applyBorder="1"/>
    <xf numFmtId="184" fontId="8" fillId="24" borderId="44" xfId="106" applyNumberFormat="1" applyFill="1" applyBorder="1"/>
    <xf numFmtId="41" fontId="0" fillId="24" borderId="45" xfId="51" applyNumberFormat="1" applyFont="1" applyFill="1" applyBorder="1"/>
    <xf numFmtId="183" fontId="0" fillId="24" borderId="46" xfId="51" applyNumberFormat="1" applyFont="1" applyFill="1" applyBorder="1"/>
    <xf numFmtId="183" fontId="0" fillId="24" borderId="47" xfId="51" applyNumberFormat="1" applyFont="1" applyFill="1" applyBorder="1"/>
    <xf numFmtId="183" fontId="0" fillId="24" borderId="48" xfId="51" applyNumberFormat="1" applyFont="1" applyFill="1" applyBorder="1"/>
    <xf numFmtId="0" fontId="12" fillId="24" borderId="49" xfId="106" applyFont="1" applyFill="1" applyBorder="1"/>
    <xf numFmtId="185" fontId="8" fillId="24" borderId="45" xfId="106" applyNumberFormat="1" applyFill="1" applyBorder="1"/>
    <xf numFmtId="186" fontId="0" fillId="24" borderId="47" xfId="51" applyNumberFormat="1" applyFont="1" applyFill="1" applyBorder="1"/>
    <xf numFmtId="186" fontId="0" fillId="24" borderId="46" xfId="51" applyNumberFormat="1" applyFont="1" applyFill="1" applyBorder="1"/>
    <xf numFmtId="0" fontId="53" fillId="24" borderId="0" xfId="106" applyFont="1" applyFill="1"/>
    <xf numFmtId="0" fontId="12" fillId="24" borderId="0" xfId="106" applyFont="1" applyFill="1"/>
    <xf numFmtId="0" fontId="12" fillId="0" borderId="0" xfId="106" applyFont="1"/>
    <xf numFmtId="183" fontId="53" fillId="24" borderId="0" xfId="51" applyNumberFormat="1" applyFont="1" applyFill="1" applyAlignment="1">
      <alignment horizontal="center" vertical="center"/>
    </xf>
    <xf numFmtId="0" fontId="35" fillId="24" borderId="0" xfId="106" applyFont="1" applyFill="1" applyAlignment="1">
      <alignment horizontal="center" vertical="center" wrapText="1"/>
    </xf>
    <xf numFmtId="0" fontId="12" fillId="24" borderId="36" xfId="106" applyFont="1" applyFill="1" applyBorder="1" applyAlignment="1">
      <alignment horizontal="center" vertical="center" wrapText="1"/>
    </xf>
    <xf numFmtId="0" fontId="12" fillId="24" borderId="50" xfId="106" applyFont="1" applyFill="1" applyBorder="1" applyAlignment="1">
      <alignment horizontal="center" vertical="center" wrapText="1"/>
    </xf>
    <xf numFmtId="0" fontId="12" fillId="24" borderId="51" xfId="106" applyFont="1" applyFill="1" applyBorder="1" applyAlignment="1">
      <alignment horizontal="center" vertical="center" wrapText="1"/>
    </xf>
    <xf numFmtId="0" fontId="12" fillId="24" borderId="35" xfId="106" applyFont="1" applyFill="1" applyBorder="1" applyAlignment="1">
      <alignment horizontal="center" vertical="center" wrapText="1"/>
    </xf>
    <xf numFmtId="0" fontId="12" fillId="24" borderId="52" xfId="106" applyFont="1" applyFill="1" applyBorder="1" applyAlignment="1">
      <alignment horizontal="center" vertical="center" wrapText="1"/>
    </xf>
    <xf numFmtId="0" fontId="12" fillId="24" borderId="34" xfId="106" applyFont="1" applyFill="1" applyBorder="1" applyAlignment="1">
      <alignment horizontal="center" vertical="center"/>
    </xf>
    <xf numFmtId="0" fontId="12" fillId="24" borderId="0" xfId="106" applyFont="1" applyFill="1" applyAlignment="1"/>
    <xf numFmtId="0" fontId="12" fillId="24" borderId="0" xfId="106" applyFont="1" applyFill="1" applyAlignment="1">
      <alignment horizontal="center" vertical="center" wrapText="1"/>
    </xf>
    <xf numFmtId="0" fontId="8" fillId="0" borderId="54" xfId="53" applyFont="1" applyBorder="1" applyAlignment="1">
      <alignment vertical="center" wrapText="1"/>
    </xf>
    <xf numFmtId="43" fontId="12" fillId="0" borderId="35" xfId="51" applyNumberFormat="1" applyFont="1" applyFill="1" applyBorder="1" applyAlignment="1">
      <alignment horizontal="center" vertical="center" wrapText="1"/>
    </xf>
    <xf numFmtId="43" fontId="12" fillId="0" borderId="36" xfId="51" applyNumberFormat="1" applyFont="1" applyFill="1" applyBorder="1" applyAlignment="1">
      <alignment horizontal="center" vertical="center"/>
    </xf>
    <xf numFmtId="43" fontId="12" fillId="0" borderId="0" xfId="51" applyNumberFormat="1" applyFont="1" applyFill="1" applyBorder="1"/>
    <xf numFmtId="43" fontId="8" fillId="0" borderId="0" xfId="53" applyNumberFormat="1" applyFont="1"/>
    <xf numFmtId="43" fontId="0" fillId="0" borderId="0" xfId="51" applyNumberFormat="1" applyFont="1"/>
    <xf numFmtId="0" fontId="12" fillId="0" borderId="54" xfId="53" applyFont="1" applyBorder="1" applyAlignment="1">
      <alignment horizontal="center" vertical="center" wrapText="1"/>
    </xf>
    <xf numFmtId="0" fontId="12" fillId="0" borderId="54" xfId="53" applyFont="1" applyBorder="1" applyAlignment="1">
      <alignment horizontal="center" vertical="center"/>
    </xf>
    <xf numFmtId="3" fontId="54" fillId="0" borderId="0" xfId="53" applyNumberFormat="1" applyFont="1"/>
    <xf numFmtId="0" fontId="34" fillId="0" borderId="0" xfId="109" applyFont="1"/>
    <xf numFmtId="43" fontId="34" fillId="0" borderId="0" xfId="110" applyFont="1"/>
    <xf numFmtId="38" fontId="8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8" fillId="24" borderId="11" xfId="37" applyFont="1" applyFill="1" applyBorder="1" applyAlignment="1" applyProtection="1">
      <alignment horizontal="left"/>
      <protection hidden="1"/>
    </xf>
    <xf numFmtId="37" fontId="8" fillId="24" borderId="12" xfId="37" applyFont="1" applyFill="1" applyBorder="1" applyAlignment="1" applyProtection="1">
      <alignment horizontal="left"/>
      <protection hidden="1"/>
    </xf>
    <xf numFmtId="43" fontId="12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2" fillId="0" borderId="38" xfId="33" applyNumberFormat="1" applyFont="1" applyFill="1" applyBorder="1"/>
    <xf numFmtId="190" fontId="12" fillId="0" borderId="35" xfId="33" applyNumberFormat="1" applyFont="1" applyFill="1" applyBorder="1"/>
    <xf numFmtId="190" fontId="12" fillId="0" borderId="36" xfId="33" applyNumberFormat="1" applyFont="1" applyFill="1" applyBorder="1"/>
    <xf numFmtId="37" fontId="8" fillId="24" borderId="0" xfId="37" applyFont="1" applyFill="1" applyProtection="1">
      <protection hidden="1"/>
    </xf>
    <xf numFmtId="37" fontId="8" fillId="24" borderId="28" xfId="37" applyFont="1" applyFill="1" applyBorder="1" applyAlignment="1" applyProtection="1">
      <alignment wrapText="1"/>
      <protection hidden="1"/>
    </xf>
    <xf numFmtId="167" fontId="51" fillId="24" borderId="0" xfId="40" applyNumberFormat="1" applyFont="1" applyFill="1" applyProtection="1"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5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5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49" fontId="45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2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5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52" fillId="24" borderId="0" xfId="37" applyFont="1" applyFill="1" applyBorder="1" applyAlignment="1" applyProtection="1">
      <alignment horizontal="center" vertical="center" wrapText="1"/>
      <protection hidden="1"/>
    </xf>
    <xf numFmtId="37" fontId="8" fillId="24" borderId="20" xfId="37" applyFont="1" applyFill="1" applyBorder="1" applyAlignment="1" applyProtection="1">
      <alignment horizontal="right"/>
      <protection hidden="1"/>
    </xf>
    <xf numFmtId="189" fontId="8" fillId="24" borderId="20" xfId="40" applyNumberFormat="1" applyFont="1" applyFill="1" applyBorder="1" applyProtection="1">
      <protection hidden="1"/>
    </xf>
    <xf numFmtId="37" fontId="8" fillId="24" borderId="22" xfId="37" applyFont="1" applyFill="1" applyBorder="1" applyAlignment="1" applyProtection="1">
      <alignment horizontal="right"/>
      <protection hidden="1"/>
    </xf>
    <xf numFmtId="37" fontId="8" fillId="24" borderId="23" xfId="37" applyFont="1" applyFill="1" applyBorder="1" applyAlignment="1" applyProtection="1">
      <protection hidden="1"/>
    </xf>
    <xf numFmtId="189" fontId="8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alignment horizontal="left"/>
      <protection hidden="1"/>
    </xf>
    <xf numFmtId="37" fontId="12" fillId="24" borderId="14" xfId="37" applyFont="1" applyFill="1" applyBorder="1" applyAlignment="1" applyProtection="1">
      <alignment horizontal="right"/>
      <protection hidden="1"/>
    </xf>
    <xf numFmtId="189" fontId="12" fillId="24" borderId="14" xfId="40" applyNumberFormat="1" applyFont="1" applyFill="1" applyBorder="1" applyProtection="1">
      <protection hidden="1"/>
    </xf>
    <xf numFmtId="189" fontId="12" fillId="24" borderId="15" xfId="33" applyNumberFormat="1" applyFont="1" applyFill="1" applyBorder="1" applyProtection="1">
      <protection hidden="1"/>
    </xf>
    <xf numFmtId="37" fontId="12" fillId="24" borderId="0" xfId="37" applyFont="1" applyFill="1" applyProtection="1">
      <protection hidden="1"/>
    </xf>
    <xf numFmtId="173" fontId="8" fillId="24" borderId="0" xfId="40" applyNumberFormat="1" applyFont="1" applyFill="1" applyProtection="1">
      <protection hidden="1"/>
    </xf>
    <xf numFmtId="37" fontId="8" fillId="24" borderId="0" xfId="37" applyFont="1" applyFill="1" applyBorder="1" applyProtection="1">
      <protection hidden="1"/>
    </xf>
    <xf numFmtId="164" fontId="8" fillId="24" borderId="0" xfId="33" applyFont="1" applyFill="1" applyBorder="1" applyProtection="1">
      <protection hidden="1"/>
    </xf>
    <xf numFmtId="167" fontId="51" fillId="24" borderId="0" xfId="40" applyNumberFormat="1" applyFont="1" applyFill="1" applyBorder="1" applyProtection="1">
      <protection hidden="1"/>
    </xf>
    <xf numFmtId="37" fontId="48" fillId="24" borderId="0" xfId="37" applyFont="1" applyFill="1" applyProtection="1">
      <protection hidden="1"/>
    </xf>
    <xf numFmtId="10" fontId="8" fillId="24" borderId="0" xfId="40" applyNumberFormat="1" applyFont="1" applyFill="1" applyProtection="1">
      <protection hidden="1"/>
    </xf>
    <xf numFmtId="180" fontId="8" fillId="24" borderId="0" xfId="40" applyNumberFormat="1" applyFont="1" applyFill="1" applyProtection="1">
      <protection hidden="1"/>
    </xf>
    <xf numFmtId="179" fontId="8" fillId="24" borderId="0" xfId="37" applyNumberFormat="1" applyFont="1" applyFill="1" applyProtection="1">
      <protection hidden="1"/>
    </xf>
    <xf numFmtId="178" fontId="8" fillId="24" borderId="0" xfId="37" applyNumberFormat="1" applyFont="1" applyFill="1" applyProtection="1">
      <protection hidden="1"/>
    </xf>
    <xf numFmtId="175" fontId="8" fillId="24" borderId="0" xfId="37" applyNumberFormat="1" applyFont="1" applyFill="1" applyProtection="1">
      <protection hidden="1"/>
    </xf>
    <xf numFmtId="37" fontId="12" fillId="24" borderId="10" xfId="37" applyFont="1" applyFill="1" applyBorder="1" applyAlignment="1" applyProtection="1">
      <alignment horizontal="center" vertical="center" wrapText="1"/>
      <protection hidden="1"/>
    </xf>
    <xf numFmtId="175" fontId="4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29" xfId="0" applyFont="1" applyFill="1" applyBorder="1" applyAlignment="1" applyProtection="1">
      <alignment horizontal="center" vertical="center" wrapText="1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175" fontId="4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Protection="1">
      <protection hidden="1"/>
    </xf>
    <xf numFmtId="175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/>
      <protection hidden="1"/>
    </xf>
    <xf numFmtId="37" fontId="40" fillId="24" borderId="0" xfId="37" applyFont="1" applyFill="1" applyBorder="1" applyAlignment="1" applyProtection="1">
      <alignment horizontal="center" vertical="center" wrapText="1"/>
      <protection hidden="1"/>
    </xf>
    <xf numFmtId="37" fontId="40" fillId="24" borderId="0" xfId="37" applyFont="1" applyFill="1" applyProtection="1">
      <protection hidden="1"/>
    </xf>
    <xf numFmtId="175" fontId="41" fillId="24" borderId="0" xfId="0" applyNumberFormat="1" applyFont="1" applyFill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 wrapText="1"/>
      <protection hidden="1"/>
    </xf>
    <xf numFmtId="3" fontId="34" fillId="24" borderId="20" xfId="0" applyNumberFormat="1" applyFont="1" applyFill="1" applyBorder="1" applyProtection="1">
      <protection hidden="1"/>
    </xf>
    <xf numFmtId="37" fontId="8" fillId="24" borderId="11" xfId="37" applyFont="1" applyFill="1" applyBorder="1" applyProtection="1">
      <protection hidden="1"/>
    </xf>
    <xf numFmtId="37" fontId="8" fillId="24" borderId="20" xfId="37" applyFont="1" applyFill="1" applyBorder="1" applyProtection="1">
      <protection hidden="1"/>
    </xf>
    <xf numFmtId="3" fontId="34" fillId="24" borderId="22" xfId="0" applyNumberFormat="1" applyFont="1" applyFill="1" applyBorder="1" applyProtection="1">
      <protection hidden="1"/>
    </xf>
    <xf numFmtId="37" fontId="8" fillId="24" borderId="12" xfId="37" applyFont="1" applyFill="1" applyBorder="1" applyProtection="1">
      <protection hidden="1"/>
    </xf>
    <xf numFmtId="37" fontId="8" fillId="24" borderId="22" xfId="37" applyFont="1" applyFill="1" applyBorder="1" applyProtection="1">
      <protection hidden="1"/>
    </xf>
    <xf numFmtId="3" fontId="36" fillId="24" borderId="14" xfId="0" applyNumberFormat="1" applyFont="1" applyFill="1" applyBorder="1" applyProtection="1">
      <protection hidden="1"/>
    </xf>
    <xf numFmtId="37" fontId="12" fillId="24" borderId="13" xfId="37" applyFont="1" applyFill="1" applyBorder="1" applyProtection="1">
      <protection hidden="1"/>
    </xf>
    <xf numFmtId="37" fontId="12" fillId="24" borderId="14" xfId="37" applyFont="1" applyFill="1" applyBorder="1" applyProtection="1">
      <protection hidden="1"/>
    </xf>
    <xf numFmtId="0" fontId="1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40" applyFont="1" applyFill="1" applyBorder="1" applyAlignment="1" applyProtection="1">
      <alignment horizontal="center" vertical="center" wrapText="1"/>
      <protection hidden="1"/>
    </xf>
    <xf numFmtId="174" fontId="12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40" applyFont="1" applyFill="1" applyBorder="1" applyAlignment="1" applyProtection="1">
      <alignment horizontal="center" vertical="center" wrapText="1"/>
      <protection hidden="1"/>
    </xf>
    <xf numFmtId="174" fontId="12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5" fillId="24" borderId="0" xfId="0" applyFont="1" applyFill="1" applyBorder="1" applyAlignment="1" applyProtection="1">
      <alignment horizontal="center" vertical="center" wrapText="1"/>
      <protection hidden="1"/>
    </xf>
    <xf numFmtId="170" fontId="35" fillId="24" borderId="0" xfId="39" applyFont="1" applyFill="1" applyBorder="1" applyAlignment="1" applyProtection="1">
      <alignment horizontal="center" vertical="center" wrapText="1"/>
      <protection hidden="1"/>
    </xf>
    <xf numFmtId="174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7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1" fillId="24" borderId="0" xfId="0" applyFont="1" applyFill="1" applyAlignment="1" applyProtection="1">
      <alignment horizontal="center" vertical="center" wrapText="1"/>
      <protection hidden="1"/>
    </xf>
    <xf numFmtId="174" fontId="40" fillId="24" borderId="0" xfId="37" applyNumberFormat="1" applyFont="1" applyFill="1" applyProtection="1">
      <protection hidden="1"/>
    </xf>
    <xf numFmtId="174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8" fillId="24" borderId="20" xfId="33" applyNumberFormat="1" applyFont="1" applyFill="1" applyBorder="1" applyProtection="1">
      <protection hidden="1"/>
    </xf>
    <xf numFmtId="172" fontId="8" fillId="24" borderId="20" xfId="33" applyNumberFormat="1" applyFont="1" applyFill="1" applyBorder="1" applyProtection="1">
      <protection hidden="1"/>
    </xf>
    <xf numFmtId="165" fontId="8" fillId="24" borderId="25" xfId="33" applyNumberFormat="1" applyFont="1" applyFill="1" applyBorder="1" applyProtection="1">
      <protection hidden="1"/>
    </xf>
    <xf numFmtId="177" fontId="8" fillId="24" borderId="20" xfId="40" applyNumberFormat="1" applyFont="1" applyFill="1" applyBorder="1" applyProtection="1">
      <protection hidden="1"/>
    </xf>
    <xf numFmtId="174" fontId="8" fillId="24" borderId="20" xfId="40" applyNumberFormat="1" applyFont="1" applyFill="1" applyBorder="1" applyProtection="1">
      <protection hidden="1"/>
    </xf>
    <xf numFmtId="176" fontId="8" fillId="24" borderId="20" xfId="40" applyNumberFormat="1" applyFont="1" applyFill="1" applyBorder="1" applyProtection="1">
      <protection hidden="1"/>
    </xf>
    <xf numFmtId="174" fontId="8" fillId="24" borderId="25" xfId="40" applyNumberFormat="1" applyFont="1" applyFill="1" applyBorder="1" applyProtection="1">
      <protection hidden="1"/>
    </xf>
    <xf numFmtId="37" fontId="8" fillId="24" borderId="11" xfId="37" applyFont="1" applyFill="1" applyBorder="1" applyAlignment="1" applyProtection="1">
      <protection hidden="1"/>
    </xf>
    <xf numFmtId="37" fontId="8" fillId="24" borderId="20" xfId="37" applyFont="1" applyFill="1" applyBorder="1" applyAlignment="1" applyProtection="1">
      <protection hidden="1"/>
    </xf>
    <xf numFmtId="173" fontId="34" fillId="24" borderId="20" xfId="40" applyNumberFormat="1" applyFont="1" applyFill="1" applyBorder="1" applyProtection="1">
      <protection hidden="1"/>
    </xf>
    <xf numFmtId="174" fontId="34" fillId="24" borderId="20" xfId="40" applyNumberFormat="1" applyFont="1" applyFill="1" applyBorder="1" applyProtection="1">
      <protection hidden="1"/>
    </xf>
    <xf numFmtId="173" fontId="8" fillId="24" borderId="20" xfId="40" applyNumberFormat="1" applyFont="1" applyFill="1" applyBorder="1" applyProtection="1">
      <protection hidden="1"/>
    </xf>
    <xf numFmtId="165" fontId="8" fillId="24" borderId="22" xfId="33" applyNumberFormat="1" applyFont="1" applyFill="1" applyBorder="1" applyProtection="1">
      <protection hidden="1"/>
    </xf>
    <xf numFmtId="172" fontId="8" fillId="24" borderId="22" xfId="33" applyNumberFormat="1" applyFont="1" applyFill="1" applyBorder="1" applyProtection="1">
      <protection hidden="1"/>
    </xf>
    <xf numFmtId="165" fontId="8" fillId="24" borderId="26" xfId="33" applyNumberFormat="1" applyFont="1" applyFill="1" applyBorder="1" applyProtection="1">
      <protection hidden="1"/>
    </xf>
    <xf numFmtId="177" fontId="8" fillId="24" borderId="22" xfId="40" applyNumberFormat="1" applyFont="1" applyFill="1" applyBorder="1" applyProtection="1">
      <protection hidden="1"/>
    </xf>
    <xf numFmtId="174" fontId="8" fillId="24" borderId="22" xfId="40" applyNumberFormat="1" applyFont="1" applyFill="1" applyBorder="1" applyProtection="1">
      <protection hidden="1"/>
    </xf>
    <xf numFmtId="176" fontId="8" fillId="24" borderId="22" xfId="40" applyNumberFormat="1" applyFont="1" applyFill="1" applyBorder="1" applyProtection="1">
      <protection hidden="1"/>
    </xf>
    <xf numFmtId="174" fontId="8" fillId="24" borderId="26" xfId="40" applyNumberFormat="1" applyFont="1" applyFill="1" applyBorder="1" applyProtection="1">
      <protection hidden="1"/>
    </xf>
    <xf numFmtId="37" fontId="8" fillId="24" borderId="12" xfId="37" applyFont="1" applyFill="1" applyBorder="1" applyAlignment="1" applyProtection="1">
      <protection hidden="1"/>
    </xf>
    <xf numFmtId="37" fontId="8" fillId="24" borderId="22" xfId="37" applyFont="1" applyFill="1" applyBorder="1" applyAlignment="1" applyProtection="1">
      <protection hidden="1"/>
    </xf>
    <xf numFmtId="173" fontId="34" fillId="24" borderId="22" xfId="40" applyNumberFormat="1" applyFont="1" applyFill="1" applyBorder="1" applyProtection="1">
      <protection hidden="1"/>
    </xf>
    <xf numFmtId="174" fontId="34" fillId="24" borderId="22" xfId="40" applyNumberFormat="1" applyFont="1" applyFill="1" applyBorder="1" applyProtection="1">
      <protection hidden="1"/>
    </xf>
    <xf numFmtId="173" fontId="8" fillId="24" borderId="22" xfId="40" applyNumberFormat="1" applyFont="1" applyFill="1" applyBorder="1" applyProtection="1">
      <protection hidden="1"/>
    </xf>
    <xf numFmtId="165" fontId="36" fillId="24" borderId="14" xfId="33" applyNumberFormat="1" applyFont="1" applyFill="1" applyBorder="1" applyProtection="1">
      <protection hidden="1"/>
    </xf>
    <xf numFmtId="172" fontId="12" fillId="24" borderId="14" xfId="33" applyNumberFormat="1" applyFont="1" applyFill="1" applyBorder="1" applyProtection="1">
      <protection hidden="1"/>
    </xf>
    <xf numFmtId="165" fontId="12" fillId="24" borderId="24" xfId="40" applyNumberFormat="1" applyFont="1" applyFill="1" applyBorder="1" applyProtection="1">
      <protection hidden="1"/>
    </xf>
    <xf numFmtId="177" fontId="12" fillId="24" borderId="14" xfId="40" applyNumberFormat="1" applyFont="1" applyFill="1" applyBorder="1" applyProtection="1">
      <protection hidden="1"/>
    </xf>
    <xf numFmtId="174" fontId="12" fillId="24" borderId="14" xfId="40" applyNumberFormat="1" applyFont="1" applyFill="1" applyBorder="1" applyProtection="1">
      <protection hidden="1"/>
    </xf>
    <xf numFmtId="165" fontId="12" fillId="24" borderId="14" xfId="33" applyNumberFormat="1" applyFont="1" applyFill="1" applyBorder="1" applyProtection="1">
      <protection hidden="1"/>
    </xf>
    <xf numFmtId="176" fontId="12" fillId="24" borderId="14" xfId="40" applyNumberFormat="1" applyFont="1" applyFill="1" applyBorder="1" applyProtection="1">
      <protection hidden="1"/>
    </xf>
    <xf numFmtId="174" fontId="12" fillId="24" borderId="24" xfId="40" applyNumberFormat="1" applyFont="1" applyFill="1" applyBorder="1" applyProtection="1">
      <protection hidden="1"/>
    </xf>
    <xf numFmtId="173" fontId="36" fillId="24" borderId="14" xfId="40" applyNumberFormat="1" applyFont="1" applyFill="1" applyBorder="1" applyProtection="1">
      <protection hidden="1"/>
    </xf>
    <xf numFmtId="174" fontId="36" fillId="24" borderId="14" xfId="40" applyNumberFormat="1" applyFont="1" applyFill="1" applyBorder="1" applyProtection="1">
      <protection hidden="1"/>
    </xf>
    <xf numFmtId="168" fontId="12" fillId="24" borderId="14" xfId="40" applyNumberFormat="1" applyFont="1" applyFill="1" applyBorder="1" applyProtection="1">
      <protection hidden="1"/>
    </xf>
    <xf numFmtId="173" fontId="12" fillId="24" borderId="14" xfId="40" applyNumberFormat="1" applyFont="1" applyFill="1" applyBorder="1" applyProtection="1">
      <protection hidden="1"/>
    </xf>
    <xf numFmtId="174" fontId="12" fillId="24" borderId="14" xfId="33" applyNumberFormat="1" applyFont="1" applyFill="1" applyBorder="1" applyProtection="1">
      <protection hidden="1"/>
    </xf>
    <xf numFmtId="174" fontId="8" fillId="24" borderId="0" xfId="37" applyNumberFormat="1" applyFont="1" applyFill="1" applyProtection="1">
      <protection hidden="1"/>
    </xf>
    <xf numFmtId="39" fontId="8" fillId="24" borderId="0" xfId="37" applyNumberFormat="1" applyFont="1" applyFill="1" applyProtection="1">
      <protection hidden="1"/>
    </xf>
    <xf numFmtId="166" fontId="8" fillId="24" borderId="0" xfId="40" applyNumberFormat="1" applyFont="1" applyFill="1" applyProtection="1">
      <protection hidden="1"/>
    </xf>
    <xf numFmtId="0" fontId="8" fillId="24" borderId="0" xfId="106" applyFill="1" applyBorder="1"/>
    <xf numFmtId="0" fontId="12" fillId="24" borderId="0" xfId="106" applyFont="1" applyFill="1" applyBorder="1"/>
    <xf numFmtId="0" fontId="12" fillId="24" borderId="0" xfId="106" applyFont="1" applyFill="1" applyBorder="1" applyAlignment="1">
      <alignment horizontal="center" vertical="center" wrapText="1"/>
    </xf>
    <xf numFmtId="0" fontId="35" fillId="24" borderId="0" xfId="106" applyFont="1" applyFill="1" applyBorder="1" applyAlignment="1">
      <alignment horizontal="center" vertical="center" wrapText="1"/>
    </xf>
    <xf numFmtId="183" fontId="53" fillId="24" borderId="0" xfId="51" applyNumberFormat="1" applyFont="1" applyFill="1" applyBorder="1" applyAlignment="1">
      <alignment horizontal="center" vertical="center"/>
    </xf>
    <xf numFmtId="0" fontId="12" fillId="0" borderId="0" xfId="106" applyFont="1" applyBorder="1"/>
    <xf numFmtId="0" fontId="53" fillId="24" borderId="0" xfId="106" applyFont="1" applyFill="1" applyBorder="1"/>
    <xf numFmtId="184" fontId="8" fillId="24" borderId="0" xfId="106" applyNumberFormat="1" applyFill="1" applyBorder="1"/>
    <xf numFmtId="185" fontId="8" fillId="24" borderId="0" xfId="106" applyNumberFormat="1" applyFill="1" applyBorder="1"/>
    <xf numFmtId="38" fontId="8" fillId="24" borderId="0" xfId="106" applyNumberFormat="1" applyFill="1" applyBorder="1"/>
    <xf numFmtId="183" fontId="12" fillId="24" borderId="0" xfId="51" applyNumberFormat="1" applyFont="1" applyFill="1" applyBorder="1"/>
    <xf numFmtId="186" fontId="12" fillId="24" borderId="0" xfId="51" applyNumberFormat="1" applyFont="1" applyFill="1" applyBorder="1"/>
    <xf numFmtId="183" fontId="12" fillId="24" borderId="0" xfId="106" applyNumberFormat="1" applyFont="1" applyFill="1" applyBorder="1"/>
    <xf numFmtId="186" fontId="12" fillId="24" borderId="0" xfId="106" applyNumberFormat="1" applyFont="1" applyFill="1" applyBorder="1"/>
    <xf numFmtId="184" fontId="12" fillId="24" borderId="0" xfId="106" applyNumberFormat="1" applyFont="1" applyFill="1" applyBorder="1"/>
    <xf numFmtId="185" fontId="12" fillId="24" borderId="0" xfId="106" applyNumberFormat="1" applyFont="1" applyFill="1" applyBorder="1"/>
    <xf numFmtId="38" fontId="12" fillId="24" borderId="0" xfId="106" applyNumberFormat="1" applyFont="1" applyFill="1" applyBorder="1"/>
    <xf numFmtId="38" fontId="12" fillId="24" borderId="0" xfId="51" applyNumberFormat="1" applyFont="1" applyFill="1" applyBorder="1"/>
    <xf numFmtId="188" fontId="0" fillId="24" borderId="0" xfId="51" applyNumberFormat="1" applyFont="1" applyFill="1" applyBorder="1"/>
    <xf numFmtId="43" fontId="8" fillId="0" borderId="0" xfId="53" applyNumberFormat="1"/>
    <xf numFmtId="0" fontId="56" fillId="29" borderId="73" xfId="0" applyFont="1" applyFill="1" applyBorder="1" applyAlignment="1" applyProtection="1">
      <alignment horizontal="center" vertical="center" wrapText="1"/>
    </xf>
    <xf numFmtId="0" fontId="56" fillId="24" borderId="74" xfId="0" applyFont="1" applyFill="1" applyBorder="1" applyAlignment="1" applyProtection="1">
      <alignment horizontal="center" vertical="center" wrapText="1"/>
    </xf>
    <xf numFmtId="0" fontId="56" fillId="24" borderId="0" xfId="0" applyFont="1" applyFill="1" applyBorder="1" applyAlignment="1" applyProtection="1">
      <alignment horizontal="center" vertical="center" wrapText="1"/>
    </xf>
    <xf numFmtId="0" fontId="56" fillId="24" borderId="75" xfId="0" applyFont="1" applyFill="1" applyBorder="1" applyAlignment="1" applyProtection="1">
      <alignment horizontal="center" vertical="center" wrapText="1"/>
    </xf>
    <xf numFmtId="0" fontId="58" fillId="30" borderId="74" xfId="0" applyFont="1" applyFill="1" applyBorder="1" applyAlignment="1" applyProtection="1">
      <alignment horizontal="left" vertical="center" wrapText="1"/>
    </xf>
    <xf numFmtId="0" fontId="58" fillId="30" borderId="0" xfId="0" applyFont="1" applyFill="1" applyBorder="1" applyAlignment="1" applyProtection="1">
      <alignment horizontal="left" vertical="center" wrapText="1"/>
    </xf>
    <xf numFmtId="191" fontId="58" fillId="30" borderId="0" xfId="0" applyNumberFormat="1" applyFont="1" applyFill="1" applyBorder="1" applyAlignment="1" applyProtection="1">
      <alignment horizontal="right" vertical="center" wrapText="1"/>
    </xf>
    <xf numFmtId="0" fontId="59" fillId="31" borderId="74" xfId="0" applyFont="1" applyFill="1" applyBorder="1" applyAlignment="1" applyProtection="1">
      <alignment horizontal="left" vertical="center" wrapText="1"/>
    </xf>
    <xf numFmtId="0" fontId="59" fillId="31" borderId="0" xfId="0" applyFont="1" applyFill="1" applyBorder="1" applyAlignment="1" applyProtection="1">
      <alignment horizontal="left" vertical="center" wrapText="1"/>
    </xf>
    <xf numFmtId="191" fontId="59" fillId="31" borderId="0" xfId="0" applyNumberFormat="1" applyFont="1" applyFill="1" applyBorder="1" applyAlignment="1" applyProtection="1">
      <alignment horizontal="right" vertical="center" wrapText="1"/>
    </xf>
    <xf numFmtId="191" fontId="59" fillId="31" borderId="75" xfId="0" applyNumberFormat="1" applyFont="1" applyFill="1" applyBorder="1" applyAlignment="1" applyProtection="1">
      <alignment horizontal="right" vertical="center" wrapText="1"/>
    </xf>
    <xf numFmtId="0" fontId="59" fillId="30" borderId="74" xfId="0" applyFont="1" applyFill="1" applyBorder="1" applyAlignment="1" applyProtection="1">
      <alignment horizontal="left" vertical="center" wrapText="1"/>
    </xf>
    <xf numFmtId="0" fontId="59" fillId="30" borderId="0" xfId="0" applyFont="1" applyFill="1" applyBorder="1" applyAlignment="1" applyProtection="1">
      <alignment horizontal="left" vertical="center" wrapText="1"/>
    </xf>
    <xf numFmtId="191" fontId="59" fillId="30" borderId="0" xfId="0" applyNumberFormat="1" applyFont="1" applyFill="1" applyBorder="1" applyAlignment="1" applyProtection="1">
      <alignment horizontal="right" vertical="center" wrapText="1"/>
    </xf>
    <xf numFmtId="191" fontId="59" fillId="30" borderId="75" xfId="0" applyNumberFormat="1" applyFont="1" applyFill="1" applyBorder="1" applyAlignment="1" applyProtection="1">
      <alignment horizontal="right" vertical="center" wrapText="1"/>
    </xf>
    <xf numFmtId="0" fontId="59" fillId="31" borderId="76" xfId="0" applyFont="1" applyFill="1" applyBorder="1" applyAlignment="1" applyProtection="1">
      <alignment horizontal="left" vertical="center" wrapText="1"/>
    </xf>
    <xf numFmtId="0" fontId="59" fillId="31" borderId="77" xfId="0" applyFont="1" applyFill="1" applyBorder="1" applyAlignment="1" applyProtection="1">
      <alignment horizontal="left" vertical="center" wrapText="1"/>
    </xf>
    <xf numFmtId="191" fontId="59" fillId="31" borderId="77" xfId="0" applyNumberFormat="1" applyFont="1" applyFill="1" applyBorder="1" applyAlignment="1" applyProtection="1">
      <alignment horizontal="right" vertical="center" wrapText="1"/>
    </xf>
    <xf numFmtId="191" fontId="59" fillId="31" borderId="78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" fillId="0" borderId="43" xfId="53" applyNumberFormat="1" applyFont="1" applyBorder="1" applyAlignment="1">
      <alignment horizontal="center" vertical="center" wrapText="1"/>
    </xf>
    <xf numFmtId="0" fontId="12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1" fillId="24" borderId="0" xfId="102" applyNumberFormat="1" applyFont="1" applyFill="1"/>
    <xf numFmtId="183" fontId="60" fillId="24" borderId="52" xfId="102" applyNumberFormat="1" applyFont="1" applyFill="1" applyBorder="1" applyAlignment="1">
      <alignment horizontal="center" vertical="center" wrapText="1"/>
    </xf>
    <xf numFmtId="183" fontId="60" fillId="24" borderId="51" xfId="102" applyNumberFormat="1" applyFont="1" applyFill="1" applyBorder="1" applyAlignment="1">
      <alignment horizontal="center" vertical="center" wrapText="1"/>
    </xf>
    <xf numFmtId="183" fontId="60" fillId="24" borderId="79" xfId="102" applyNumberFormat="1" applyFont="1" applyFill="1" applyBorder="1"/>
    <xf numFmtId="38" fontId="60" fillId="24" borderId="80" xfId="102" applyNumberFormat="1" applyFont="1" applyFill="1" applyBorder="1"/>
    <xf numFmtId="38" fontId="60" fillId="24" borderId="62" xfId="102" applyNumberFormat="1" applyFont="1" applyFill="1" applyBorder="1"/>
    <xf numFmtId="183" fontId="60" fillId="24" borderId="81" xfId="102" applyNumberFormat="1" applyFont="1" applyFill="1" applyBorder="1"/>
    <xf numFmtId="183" fontId="60" fillId="24" borderId="82" xfId="102" applyNumberFormat="1" applyFont="1" applyFill="1" applyBorder="1"/>
    <xf numFmtId="183" fontId="60" fillId="24" borderId="52" xfId="102" applyNumberFormat="1" applyFont="1" applyFill="1" applyBorder="1"/>
    <xf numFmtId="38" fontId="63" fillId="24" borderId="51" xfId="102" applyNumberFormat="1" applyFont="1" applyFill="1" applyBorder="1"/>
    <xf numFmtId="38" fontId="60" fillId="24" borderId="50" xfId="102" applyNumberFormat="1" applyFont="1" applyFill="1" applyBorder="1"/>
    <xf numFmtId="183" fontId="60" fillId="24" borderId="0" xfId="102" applyNumberFormat="1" applyFont="1" applyFill="1" applyBorder="1"/>
    <xf numFmtId="14" fontId="64" fillId="24" borderId="0" xfId="102" applyNumberFormat="1" applyFont="1" applyFill="1" applyAlignment="1">
      <alignment horizontal="left"/>
    </xf>
    <xf numFmtId="183" fontId="64" fillId="24" borderId="0" xfId="102" applyNumberFormat="1" applyFont="1" applyFill="1"/>
    <xf numFmtId="183" fontId="62" fillId="24" borderId="0" xfId="102" applyNumberFormat="1" applyFont="1" applyFill="1"/>
    <xf numFmtId="37" fontId="8" fillId="24" borderId="0" xfId="37" applyFont="1" applyFill="1" applyAlignment="1" applyProtection="1">
      <alignment wrapText="1"/>
      <protection hidden="1"/>
    </xf>
    <xf numFmtId="175" fontId="43" fillId="24" borderId="0" xfId="37" applyNumberFormat="1" applyFont="1" applyFill="1" applyAlignment="1" applyProtection="1">
      <alignment horizontal="center" vertical="center"/>
      <protection hidden="1"/>
    </xf>
    <xf numFmtId="39" fontId="12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2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7" fillId="24" borderId="0" xfId="37" applyFont="1" applyFill="1" applyBorder="1" applyAlignment="1" applyProtection="1">
      <alignment horizontal="center" vertical="center" wrapText="1"/>
      <protection hidden="1"/>
    </xf>
    <xf numFmtId="39" fontId="35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Protection="1">
      <protection hidden="1"/>
    </xf>
    <xf numFmtId="175" fontId="40" fillId="24" borderId="0" xfId="37" applyNumberFormat="1" applyFont="1" applyFill="1" applyProtection="1">
      <protection hidden="1"/>
    </xf>
    <xf numFmtId="39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Alignment="1" applyProtection="1">
      <alignment horizontal="center" vertical="center" wrapText="1"/>
      <protection hidden="1"/>
    </xf>
    <xf numFmtId="37" fontId="8" fillId="24" borderId="11" xfId="37" applyNumberFormat="1" applyFont="1" applyFill="1" applyBorder="1" applyProtection="1">
      <protection hidden="1"/>
    </xf>
    <xf numFmtId="37" fontId="8" fillId="24" borderId="80" xfId="37" applyFont="1" applyFill="1" applyBorder="1" applyProtection="1">
      <protection hidden="1"/>
    </xf>
    <xf numFmtId="37" fontId="8" fillId="24" borderId="12" xfId="37" applyNumberFormat="1" applyFont="1" applyFill="1" applyBorder="1" applyProtection="1">
      <protection hidden="1"/>
    </xf>
    <xf numFmtId="37" fontId="12" fillId="24" borderId="13" xfId="37" applyNumberFormat="1" applyFont="1" applyFill="1" applyBorder="1" applyProtection="1"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175" fontId="42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54" xfId="106" applyFont="1" applyFill="1" applyBorder="1" applyAlignment="1" applyProtection="1">
      <alignment horizontal="center" vertical="center" wrapText="1"/>
      <protection hidden="1"/>
    </xf>
    <xf numFmtId="175" fontId="12" fillId="24" borderId="54" xfId="106" applyNumberFormat="1" applyFont="1" applyFill="1" applyBorder="1" applyAlignment="1" applyProtection="1">
      <alignment horizontal="center" vertical="center" wrapText="1"/>
      <protection hidden="1"/>
    </xf>
    <xf numFmtId="175" fontId="42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106" applyFont="1" applyFill="1" applyBorder="1" applyAlignment="1" applyProtection="1">
      <alignment horizontal="center" vertical="center" wrapText="1"/>
      <protection hidden="1"/>
    </xf>
    <xf numFmtId="175" fontId="12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1" fillId="24" borderId="0" xfId="106" applyNumberFormat="1" applyFont="1" applyFill="1" applyAlignment="1" applyProtection="1">
      <alignment horizontal="center" vertical="center" wrapText="1"/>
      <protection hidden="1"/>
    </xf>
    <xf numFmtId="3" fontId="34" fillId="24" borderId="80" xfId="106" applyNumberFormat="1" applyFont="1" applyFill="1" applyBorder="1" applyProtection="1">
      <protection hidden="1"/>
    </xf>
    <xf numFmtId="3" fontId="34" fillId="24" borderId="22" xfId="106" applyNumberFormat="1" applyFont="1" applyFill="1" applyBorder="1" applyProtection="1">
      <protection hidden="1"/>
    </xf>
    <xf numFmtId="3" fontId="65" fillId="24" borderId="0" xfId="106" applyNumberFormat="1" applyFont="1" applyFill="1"/>
    <xf numFmtId="3" fontId="36" fillId="24" borderId="14" xfId="106" applyNumberFormat="1" applyFont="1" applyFill="1" applyBorder="1" applyProtection="1">
      <protection hidden="1"/>
    </xf>
    <xf numFmtId="0" fontId="63" fillId="27" borderId="54" xfId="109" applyFont="1" applyFill="1" applyBorder="1"/>
    <xf numFmtId="43" fontId="63" fillId="27" borderId="54" xfId="110" applyFont="1" applyFill="1" applyBorder="1" applyAlignment="1">
      <alignment horizontal="center" vertical="center"/>
    </xf>
    <xf numFmtId="0" fontId="63" fillId="27" borderId="54" xfId="109" applyFont="1" applyFill="1" applyBorder="1" applyAlignment="1">
      <alignment horizontal="center"/>
    </xf>
    <xf numFmtId="0" fontId="64" fillId="0" borderId="70" xfId="109" applyFont="1" applyBorder="1"/>
    <xf numFmtId="43" fontId="64" fillId="0" borderId="66" xfId="110" applyFont="1" applyBorder="1" applyAlignment="1">
      <alignment horizontal="center"/>
    </xf>
    <xf numFmtId="187" fontId="64" fillId="0" borderId="56" xfId="109" applyNumberFormat="1" applyFont="1" applyBorder="1" applyAlignment="1">
      <alignment horizontal="center"/>
    </xf>
    <xf numFmtId="3" fontId="64" fillId="0" borderId="61" xfId="109" applyNumberFormat="1" applyFont="1" applyBorder="1" applyAlignment="1"/>
    <xf numFmtId="0" fontId="64" fillId="0" borderId="71" xfId="109" applyFont="1" applyBorder="1"/>
    <xf numFmtId="43" fontId="64" fillId="0" borderId="67" xfId="110" applyFont="1" applyBorder="1"/>
    <xf numFmtId="187" fontId="64" fillId="0" borderId="55" xfId="109" applyNumberFormat="1" applyFont="1" applyBorder="1" applyAlignment="1">
      <alignment horizontal="center"/>
    </xf>
    <xf numFmtId="3" fontId="64" fillId="0" borderId="62" xfId="109" applyNumberFormat="1" applyFont="1" applyBorder="1"/>
    <xf numFmtId="0" fontId="64" fillId="0" borderId="71" xfId="109" applyFont="1" applyFill="1" applyBorder="1"/>
    <xf numFmtId="43" fontId="64" fillId="0" borderId="67" xfId="110" applyFont="1" applyFill="1" applyBorder="1" applyAlignment="1" applyProtection="1"/>
    <xf numFmtId="43" fontId="67" fillId="0" borderId="67" xfId="110" applyFont="1" applyBorder="1" applyAlignment="1">
      <alignment vertical="center"/>
    </xf>
    <xf numFmtId="0" fontId="64" fillId="24" borderId="71" xfId="109" applyFont="1" applyFill="1" applyBorder="1"/>
    <xf numFmtId="43" fontId="64" fillId="24" borderId="67" xfId="110" applyFont="1" applyFill="1" applyBorder="1"/>
    <xf numFmtId="43" fontId="59" fillId="0" borderId="67" xfId="110" applyFont="1" applyBorder="1"/>
    <xf numFmtId="0" fontId="61" fillId="0" borderId="71" xfId="109" applyFont="1" applyFill="1" applyBorder="1"/>
    <xf numFmtId="0" fontId="64" fillId="0" borderId="72" xfId="109" applyFont="1" applyBorder="1"/>
    <xf numFmtId="43" fontId="64" fillId="0" borderId="68" xfId="110" applyFont="1" applyBorder="1"/>
    <xf numFmtId="3" fontId="64" fillId="0" borderId="63" xfId="109" applyNumberFormat="1" applyFont="1" applyBorder="1"/>
    <xf numFmtId="0" fontId="63" fillId="28" borderId="65" xfId="109" applyFont="1" applyFill="1" applyBorder="1"/>
    <xf numFmtId="43" fontId="63" fillId="28" borderId="69" xfId="110" applyFont="1" applyFill="1" applyBorder="1"/>
    <xf numFmtId="187" fontId="63" fillId="28" borderId="60" xfId="109" applyNumberFormat="1" applyFont="1" applyFill="1" applyBorder="1"/>
    <xf numFmtId="3" fontId="63" fillId="28" borderId="64" xfId="109" applyNumberFormat="1" applyFont="1" applyFill="1" applyBorder="1"/>
    <xf numFmtId="0" fontId="64" fillId="0" borderId="0" xfId="109" applyFont="1"/>
    <xf numFmtId="43" fontId="64" fillId="0" borderId="0" xfId="110" applyFont="1"/>
    <xf numFmtId="0" fontId="63" fillId="28" borderId="30" xfId="109" applyFont="1" applyFill="1" applyBorder="1"/>
    <xf numFmtId="43" fontId="63" fillId="0" borderId="33" xfId="110" applyFont="1" applyBorder="1"/>
    <xf numFmtId="0" fontId="63" fillId="28" borderId="59" xfId="109" applyFont="1" applyFill="1" applyBorder="1"/>
    <xf numFmtId="43" fontId="63" fillId="0" borderId="59" xfId="110" applyFont="1" applyBorder="1"/>
    <xf numFmtId="44" fontId="64" fillId="24" borderId="0" xfId="114" applyFont="1" applyFill="1" applyAlignment="1">
      <alignment horizontal="left"/>
    </xf>
    <xf numFmtId="38" fontId="60" fillId="24" borderId="22" xfId="102" applyNumberFormat="1" applyFont="1" applyFill="1" applyBorder="1"/>
    <xf numFmtId="183" fontId="8" fillId="0" borderId="0" xfId="51" applyNumberFormat="1" applyFont="1" applyBorder="1" applyAlignment="1">
      <alignment horizontal="center"/>
    </xf>
    <xf numFmtId="183" fontId="8" fillId="0" borderId="0" xfId="51" applyNumberFormat="1" applyFont="1" applyBorder="1" applyAlignment="1"/>
    <xf numFmtId="18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/>
    </xf>
    <xf numFmtId="183" fontId="12" fillId="0" borderId="83" xfId="51" applyNumberFormat="1" applyFont="1" applyFill="1" applyBorder="1"/>
    <xf numFmtId="183" fontId="12" fillId="0" borderId="84" xfId="51" applyNumberFormat="1" applyFont="1" applyFill="1" applyBorder="1"/>
    <xf numFmtId="38" fontId="12" fillId="0" borderId="84" xfId="51" applyNumberFormat="1" applyFont="1" applyFill="1" applyBorder="1"/>
    <xf numFmtId="183" fontId="12" fillId="0" borderId="85" xfId="51" applyNumberFormat="1" applyFont="1" applyFill="1" applyBorder="1"/>
    <xf numFmtId="183" fontId="12" fillId="0" borderId="30" xfId="51" applyNumberFormat="1" applyFont="1" applyFill="1" applyBorder="1"/>
    <xf numFmtId="183" fontId="12" fillId="0" borderId="86" xfId="51" applyNumberFormat="1" applyFont="1" applyFill="1" applyBorder="1"/>
    <xf numFmtId="183" fontId="12" fillId="0" borderId="31" xfId="51" applyNumberFormat="1" applyFont="1" applyFill="1" applyBorder="1"/>
    <xf numFmtId="0" fontId="12" fillId="0" borderId="10" xfId="53" applyFont="1" applyBorder="1" applyAlignment="1">
      <alignment horizontal="center" vertical="center" wrapText="1"/>
    </xf>
    <xf numFmtId="0" fontId="8" fillId="0" borderId="10" xfId="53" applyFont="1" applyBorder="1" applyAlignment="1">
      <alignment vertical="center" wrapText="1"/>
    </xf>
    <xf numFmtId="165" fontId="8" fillId="0" borderId="10" xfId="33" applyNumberFormat="1" applyFont="1" applyFill="1" applyBorder="1" applyAlignment="1">
      <alignment vertical="center" wrapText="1"/>
    </xf>
    <xf numFmtId="38" fontId="8" fillId="0" borderId="10" xfId="33" applyNumberFormat="1" applyFont="1" applyFill="1" applyBorder="1" applyAlignment="1">
      <alignment vertical="center" wrapText="1"/>
    </xf>
    <xf numFmtId="0" fontId="8" fillId="0" borderId="10" xfId="53" applyFont="1" applyBorder="1" applyAlignment="1">
      <alignment horizontal="center" vertical="center" wrapText="1"/>
    </xf>
    <xf numFmtId="38" fontId="8" fillId="0" borderId="10" xfId="53" applyNumberFormat="1" applyFont="1" applyBorder="1" applyAlignment="1">
      <alignment horizontal="center" vertical="center" wrapText="1"/>
    </xf>
    <xf numFmtId="0" fontId="12" fillId="0" borderId="10" xfId="53" applyFont="1" applyBorder="1" applyAlignment="1">
      <alignment horizontal="center" vertical="center"/>
    </xf>
    <xf numFmtId="165" fontId="12" fillId="0" borderId="10" xfId="33" applyNumberFormat="1" applyFont="1" applyBorder="1" applyAlignment="1">
      <alignment horizontal="center" vertical="center"/>
    </xf>
    <xf numFmtId="3" fontId="12" fillId="0" borderId="10" xfId="53" applyNumberFormat="1" applyFont="1" applyBorder="1" applyAlignment="1">
      <alignment horizontal="center" vertical="center"/>
    </xf>
    <xf numFmtId="38" fontId="0" fillId="24" borderId="47" xfId="51" applyNumberFormat="1" applyFont="1" applyFill="1" applyBorder="1"/>
    <xf numFmtId="192" fontId="8" fillId="24" borderId="47" xfId="106" applyNumberFormat="1" applyFill="1" applyBorder="1"/>
    <xf numFmtId="192" fontId="8" fillId="24" borderId="0" xfId="106" applyNumberFormat="1" applyFill="1" applyBorder="1"/>
    <xf numFmtId="41" fontId="0" fillId="24" borderId="41" xfId="51" applyNumberFormat="1" applyFont="1" applyFill="1" applyBorder="1"/>
    <xf numFmtId="174" fontId="8" fillId="24" borderId="21" xfId="40" applyNumberFormat="1" applyFont="1" applyFill="1" applyBorder="1" applyProtection="1">
      <protection hidden="1"/>
    </xf>
    <xf numFmtId="174" fontId="8" fillId="24" borderId="19" xfId="40" applyNumberFormat="1" applyFont="1" applyFill="1" applyBorder="1" applyProtection="1">
      <protection hidden="1"/>
    </xf>
    <xf numFmtId="174" fontId="12" fillId="24" borderId="15" xfId="40" applyNumberFormat="1" applyFont="1" applyFill="1" applyBorder="1" applyProtection="1">
      <protection hidden="1"/>
    </xf>
    <xf numFmtId="174" fontId="8" fillId="24" borderId="16" xfId="33" applyNumberFormat="1" applyFont="1" applyFill="1" applyBorder="1" applyProtection="1">
      <protection hidden="1"/>
    </xf>
    <xf numFmtId="174" fontId="8" fillId="24" borderId="17" xfId="33" applyNumberFormat="1" applyFont="1" applyFill="1" applyBorder="1" applyProtection="1">
      <protection hidden="1"/>
    </xf>
    <xf numFmtId="174" fontId="12" fillId="24" borderId="18" xfId="40" applyNumberFormat="1" applyFont="1" applyFill="1" applyBorder="1" applyProtection="1">
      <protection hidden="1"/>
    </xf>
    <xf numFmtId="174" fontId="12" fillId="24" borderId="15" xfId="37" applyNumberFormat="1" applyFont="1" applyFill="1" applyBorder="1" applyProtection="1">
      <protection hidden="1"/>
    </xf>
    <xf numFmtId="183" fontId="60" fillId="24" borderId="50" xfId="102" applyNumberFormat="1" applyFont="1" applyFill="1" applyBorder="1" applyAlignment="1">
      <alignment horizontal="center" vertical="center" wrapText="1"/>
    </xf>
    <xf numFmtId="38" fontId="60" fillId="24" borderId="14" xfId="102" applyNumberFormat="1" applyFont="1" applyFill="1" applyBorder="1"/>
    <xf numFmtId="0" fontId="12" fillId="24" borderId="0" xfId="106" applyFont="1" applyFill="1" applyBorder="1" applyAlignment="1">
      <alignment horizontal="center" vertical="center"/>
    </xf>
    <xf numFmtId="9" fontId="53" fillId="24" borderId="0" xfId="115" applyFont="1" applyFill="1" applyAlignment="1">
      <alignment horizontal="center" vertical="center"/>
    </xf>
    <xf numFmtId="186" fontId="0" fillId="24" borderId="47" xfId="115" applyNumberFormat="1" applyFont="1" applyFill="1" applyBorder="1"/>
    <xf numFmtId="186" fontId="0" fillId="24" borderId="0" xfId="115" applyNumberFormat="1" applyFont="1" applyFill="1" applyBorder="1"/>
    <xf numFmtId="0" fontId="12" fillId="24" borderId="87" xfId="106" applyFont="1" applyFill="1" applyBorder="1"/>
    <xf numFmtId="183" fontId="12" fillId="24" borderId="88" xfId="51" applyNumberFormat="1" applyFont="1" applyFill="1" applyBorder="1"/>
    <xf numFmtId="183" fontId="12" fillId="24" borderId="89" xfId="51" applyNumberFormat="1" applyFont="1" applyFill="1" applyBorder="1"/>
    <xf numFmtId="186" fontId="12" fillId="24" borderId="89" xfId="115" applyNumberFormat="1" applyFont="1" applyFill="1" applyBorder="1"/>
    <xf numFmtId="186" fontId="12" fillId="24" borderId="90" xfId="51" applyNumberFormat="1" applyFont="1" applyFill="1" applyBorder="1"/>
    <xf numFmtId="183" fontId="12" fillId="24" borderId="89" xfId="106" applyNumberFormat="1" applyFont="1" applyFill="1" applyBorder="1"/>
    <xf numFmtId="186" fontId="12" fillId="24" borderId="89" xfId="106" applyNumberFormat="1" applyFont="1" applyFill="1" applyBorder="1"/>
    <xf numFmtId="186" fontId="12" fillId="24" borderId="89" xfId="51" applyNumberFormat="1" applyFont="1" applyFill="1" applyBorder="1"/>
    <xf numFmtId="184" fontId="12" fillId="24" borderId="91" xfId="106" applyNumberFormat="1" applyFont="1" applyFill="1" applyBorder="1"/>
    <xf numFmtId="185" fontId="12" fillId="24" borderId="92" xfId="106" applyNumberFormat="1" applyFont="1" applyFill="1" applyBorder="1"/>
    <xf numFmtId="183" fontId="12" fillId="24" borderId="88" xfId="106" applyNumberFormat="1" applyFont="1" applyFill="1" applyBorder="1"/>
    <xf numFmtId="183" fontId="12" fillId="24" borderId="90" xfId="106" applyNumberFormat="1" applyFont="1" applyFill="1" applyBorder="1"/>
    <xf numFmtId="183" fontId="12" fillId="24" borderId="92" xfId="51" applyNumberFormat="1" applyFont="1" applyFill="1" applyBorder="1"/>
    <xf numFmtId="9" fontId="53" fillId="24" borderId="0" xfId="115" applyFont="1" applyFill="1" applyBorder="1" applyAlignment="1">
      <alignment horizontal="center" vertical="center"/>
    </xf>
    <xf numFmtId="186" fontId="12" fillId="24" borderId="0" xfId="115" applyNumberFormat="1" applyFont="1" applyFill="1" applyBorder="1"/>
    <xf numFmtId="174" fontId="12" fillId="24" borderId="21" xfId="37" applyNumberFormat="1" applyFont="1" applyFill="1" applyBorder="1" applyProtection="1">
      <protection hidden="1"/>
    </xf>
    <xf numFmtId="174" fontId="12" fillId="24" borderId="19" xfId="37" applyNumberFormat="1" applyFont="1" applyFill="1" applyBorder="1" applyProtection="1">
      <protection hidden="1"/>
    </xf>
    <xf numFmtId="0" fontId="8" fillId="0" borderId="93" xfId="53" applyFont="1" applyBorder="1" applyAlignment="1">
      <alignment vertical="center" wrapText="1"/>
    </xf>
    <xf numFmtId="38" fontId="8" fillId="0" borderId="54" xfId="33" applyNumberFormat="1" applyFont="1" applyFill="1" applyBorder="1" applyAlignment="1">
      <alignment vertical="center" wrapText="1"/>
    </xf>
    <xf numFmtId="38" fontId="8" fillId="0" borderId="54" xfId="53" applyNumberFormat="1" applyFont="1" applyBorder="1" applyAlignment="1">
      <alignment horizontal="center" vertical="center" wrapText="1"/>
    </xf>
    <xf numFmtId="38" fontId="8" fillId="0" borderId="93" xfId="33" applyNumberFormat="1" applyFont="1" applyFill="1" applyBorder="1" applyAlignment="1">
      <alignment vertical="center" wrapText="1"/>
    </xf>
    <xf numFmtId="38" fontId="8" fillId="0" borderId="93" xfId="53" applyNumberFormat="1" applyFont="1" applyBorder="1" applyAlignment="1">
      <alignment horizontal="center" vertical="center" wrapText="1"/>
    </xf>
    <xf numFmtId="38" fontId="12" fillId="0" borderId="54" xfId="53" applyNumberFormat="1" applyFont="1" applyBorder="1" applyAlignment="1">
      <alignment horizontal="center" vertical="center"/>
    </xf>
    <xf numFmtId="174" fontId="12" fillId="24" borderId="21" xfId="40" applyNumberFormat="1" applyFont="1" applyFill="1" applyBorder="1" applyProtection="1">
      <protection hidden="1"/>
    </xf>
    <xf numFmtId="174" fontId="12" fillId="24" borderId="19" xfId="40" applyNumberFormat="1" applyFont="1" applyFill="1" applyBorder="1" applyProtection="1">
      <protection hidden="1"/>
    </xf>
    <xf numFmtId="189" fontId="12" fillId="24" borderId="21" xfId="33" applyNumberFormat="1" applyFont="1" applyFill="1" applyBorder="1" applyProtection="1">
      <protection hidden="1"/>
    </xf>
    <xf numFmtId="189" fontId="12" fillId="24" borderId="19" xfId="33" applyNumberFormat="1" applyFont="1" applyFill="1" applyBorder="1" applyProtection="1">
      <protection hidden="1"/>
    </xf>
    <xf numFmtId="38" fontId="34" fillId="24" borderId="20" xfId="40" applyNumberFormat="1" applyFont="1" applyFill="1" applyBorder="1" applyProtection="1">
      <protection hidden="1"/>
    </xf>
    <xf numFmtId="38" fontId="34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protection hidden="1"/>
    </xf>
    <xf numFmtId="190" fontId="0" fillId="0" borderId="0" xfId="51" applyNumberFormat="1" applyFont="1"/>
    <xf numFmtId="190" fontId="12" fillId="0" borderId="34" xfId="51" applyNumberFormat="1" applyFont="1" applyFill="1" applyBorder="1" applyAlignment="1">
      <alignment horizontal="center" vertical="center" wrapText="1"/>
    </xf>
    <xf numFmtId="190" fontId="12" fillId="0" borderId="35" xfId="51" applyNumberFormat="1" applyFont="1" applyFill="1" applyBorder="1" applyAlignment="1">
      <alignment horizontal="center" vertical="center" wrapText="1"/>
    </xf>
    <xf numFmtId="190" fontId="12" fillId="0" borderId="36" xfId="51" applyNumberFormat="1" applyFont="1" applyFill="1" applyBorder="1" applyAlignment="1">
      <alignment horizontal="center" vertical="center"/>
    </xf>
    <xf numFmtId="190" fontId="12" fillId="0" borderId="37" xfId="51" applyNumberFormat="1" applyFont="1" applyFill="1" applyBorder="1"/>
    <xf numFmtId="190" fontId="0" fillId="0" borderId="0" xfId="51" applyNumberFormat="1" applyFont="1" applyFill="1" applyBorder="1"/>
    <xf numFmtId="190" fontId="12" fillId="0" borderId="38" xfId="51" applyNumberFormat="1" applyFont="1" applyFill="1" applyBorder="1"/>
    <xf numFmtId="190" fontId="12" fillId="0" borderId="34" xfId="51" applyNumberFormat="1" applyFont="1" applyFill="1" applyBorder="1"/>
    <xf numFmtId="190" fontId="12" fillId="0" borderId="35" xfId="51" applyNumberFormat="1" applyFont="1" applyFill="1" applyBorder="1"/>
    <xf numFmtId="190" fontId="12" fillId="0" borderId="36" xfId="51" applyNumberFormat="1" applyFont="1" applyFill="1" applyBorder="1"/>
    <xf numFmtId="190" fontId="12" fillId="0" borderId="0" xfId="51" applyNumberFormat="1" applyFont="1" applyFill="1" applyBorder="1"/>
    <xf numFmtId="190" fontId="8" fillId="0" borderId="0" xfId="53" applyNumberFormat="1" applyFont="1"/>
    <xf numFmtId="190" fontId="8" fillId="0" borderId="0" xfId="51" applyNumberFormat="1" applyFont="1"/>
    <xf numFmtId="193" fontId="12" fillId="24" borderId="44" xfId="106" applyNumberFormat="1" applyFont="1" applyFill="1" applyBorder="1"/>
    <xf numFmtId="193" fontId="12" fillId="24" borderId="38" xfId="106" applyNumberFormat="1" applyFont="1" applyFill="1" applyBorder="1"/>
    <xf numFmtId="193" fontId="12" fillId="24" borderId="91" xfId="106" applyNumberFormat="1" applyFont="1" applyFill="1" applyBorder="1"/>
    <xf numFmtId="183" fontId="8" fillId="0" borderId="0" xfId="51" applyNumberFormat="1" applyFont="1" applyBorder="1" applyAlignment="1">
      <alignment horizontal="center"/>
    </xf>
    <xf numFmtId="38" fontId="12" fillId="0" borderId="10" xfId="33" applyNumberFormat="1" applyFont="1" applyBorder="1" applyAlignment="1">
      <alignment horizontal="center" vertical="center"/>
    </xf>
    <xf numFmtId="38" fontId="12" fillId="0" borderId="10" xfId="53" applyNumberFormat="1" applyFont="1" applyBorder="1" applyAlignment="1">
      <alignment horizontal="center" vertical="center"/>
    </xf>
    <xf numFmtId="38" fontId="12" fillId="0" borderId="40" xfId="51" applyNumberFormat="1" applyFont="1" applyFill="1" applyBorder="1"/>
    <xf numFmtId="0" fontId="12" fillId="0" borderId="0" xfId="53" applyFont="1" applyAlignment="1">
      <alignment horizontal="center" vertical="center"/>
    </xf>
    <xf numFmtId="183" fontId="12" fillId="0" borderId="0" xfId="51" applyNumberFormat="1" applyFont="1" applyAlignment="1">
      <alignment horizontal="center"/>
    </xf>
    <xf numFmtId="183" fontId="8" fillId="0" borderId="0" xfId="51" applyNumberFormat="1" applyFont="1" applyBorder="1" applyAlignment="1">
      <alignment horizontal="center"/>
    </xf>
    <xf numFmtId="0" fontId="56" fillId="29" borderId="73" xfId="0" applyFont="1" applyFill="1" applyBorder="1" applyAlignment="1" applyProtection="1">
      <alignment horizontal="center" vertical="center" wrapText="1"/>
    </xf>
    <xf numFmtId="37" fontId="8" fillId="24" borderId="0" xfId="37" applyFont="1" applyFill="1" applyAlignment="1" applyProtection="1">
      <alignment horizontal="left" vertical="top" wrapText="1"/>
      <protection hidden="1"/>
    </xf>
    <xf numFmtId="0" fontId="43" fillId="0" borderId="28" xfId="0" applyFont="1" applyBorder="1" applyAlignment="1">
      <alignment horizontal="center"/>
    </xf>
    <xf numFmtId="37" fontId="43" fillId="0" borderId="28" xfId="37" applyFont="1" applyBorder="1" applyAlignment="1" applyProtection="1">
      <alignment horizontal="center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12" fillId="24" borderId="33" xfId="37" applyFont="1" applyFill="1" applyBorder="1" applyAlignment="1" applyProtection="1">
      <alignment horizontal="center" vertical="center" wrapText="1"/>
      <protection hidden="1"/>
    </xf>
    <xf numFmtId="37" fontId="12" fillId="24" borderId="40" xfId="37" applyFont="1" applyFill="1" applyBorder="1" applyAlignment="1" applyProtection="1">
      <alignment horizontal="center" vertical="center" wrapText="1"/>
      <protection hidden="1"/>
    </xf>
    <xf numFmtId="37" fontId="47" fillId="24" borderId="0" xfId="37" applyFont="1" applyFill="1" applyAlignment="1" applyProtection="1">
      <alignment horizontal="center" vertical="center" wrapText="1"/>
      <protection hidden="1"/>
    </xf>
    <xf numFmtId="37" fontId="8" fillId="24" borderId="0" xfId="37" applyFont="1" applyFill="1" applyAlignment="1" applyProtection="1">
      <alignment horizontal="center" vertical="center" wrapText="1"/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2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0" xfId="37" applyFont="1" applyFill="1" applyBorder="1" applyAlignment="1" applyProtection="1">
      <alignment horizontal="center" vertical="center" wrapText="1"/>
      <protection hidden="1"/>
    </xf>
    <xf numFmtId="37" fontId="12" fillId="24" borderId="31" xfId="37" applyFont="1" applyFill="1" applyBorder="1" applyAlignment="1" applyProtection="1">
      <alignment horizontal="center" vertical="center" wrapText="1"/>
      <protection hidden="1"/>
    </xf>
    <xf numFmtId="49" fontId="45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2" xfId="37" applyFont="1" applyFill="1" applyBorder="1" applyAlignment="1" applyProtection="1">
      <alignment horizontal="center" vertical="center" wrapText="1"/>
      <protection hidden="1"/>
    </xf>
    <xf numFmtId="37" fontId="12" fillId="24" borderId="39" xfId="37" applyFont="1" applyFill="1" applyBorder="1" applyAlignment="1" applyProtection="1">
      <alignment horizontal="center" vertical="center" wrapText="1"/>
      <protection hidden="1"/>
    </xf>
    <xf numFmtId="37" fontId="44" fillId="24" borderId="0" xfId="37" applyFont="1" applyFill="1" applyAlignment="1" applyProtection="1">
      <alignment horizont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3" fillId="24" borderId="28" xfId="37" applyFont="1" applyFill="1" applyBorder="1" applyAlignment="1" applyProtection="1">
      <alignment horizontal="center" vertical="center"/>
      <protection hidden="1"/>
    </xf>
    <xf numFmtId="37" fontId="8" fillId="24" borderId="28" xfId="37" applyFont="1" applyFill="1" applyBorder="1" applyAlignment="1" applyProtection="1">
      <alignment horizontal="center" vertical="center"/>
      <protection hidden="1"/>
    </xf>
    <xf numFmtId="37" fontId="43" fillId="24" borderId="28" xfId="37" applyFont="1" applyFill="1" applyBorder="1" applyAlignment="1" applyProtection="1">
      <alignment horizontal="center" vertical="center" wrapText="1"/>
      <protection hidden="1"/>
    </xf>
    <xf numFmtId="0" fontId="8" fillId="24" borderId="0" xfId="106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/>
    </xf>
    <xf numFmtId="0" fontId="8" fillId="24" borderId="0" xfId="106" applyFill="1" applyAlignment="1">
      <alignment horizontal="center" vertical="center"/>
    </xf>
    <xf numFmtId="0" fontId="12" fillId="24" borderId="0" xfId="106" applyFont="1" applyFill="1" applyBorder="1" applyAlignment="1">
      <alignment horizontal="center" vertical="center"/>
    </xf>
    <xf numFmtId="0" fontId="12" fillId="24" borderId="0" xfId="106" applyFont="1" applyFill="1" applyBorder="1" applyAlignment="1">
      <alignment horizontal="center"/>
    </xf>
    <xf numFmtId="0" fontId="63" fillId="27" borderId="54" xfId="109" applyNumberFormat="1" applyFont="1" applyFill="1" applyBorder="1" applyAlignment="1">
      <alignment horizontal="center"/>
    </xf>
    <xf numFmtId="0" fontId="66" fillId="27" borderId="57" xfId="108" applyNumberFormat="1" applyFont="1" applyFill="1" applyBorder="1" applyAlignment="1">
      <alignment horizontal="center"/>
    </xf>
    <xf numFmtId="0" fontId="66" fillId="27" borderId="58" xfId="108" applyNumberFormat="1" applyFont="1" applyFill="1" applyBorder="1" applyAlignment="1">
      <alignment horizontal="center"/>
    </xf>
    <xf numFmtId="183" fontId="68" fillId="24" borderId="0" xfId="102" applyNumberFormat="1" applyFont="1" applyFill="1" applyAlignment="1">
      <alignment horizontal="center"/>
    </xf>
    <xf numFmtId="190" fontId="8" fillId="0" borderId="53" xfId="51" applyNumberFormat="1" applyFont="1" applyBorder="1" applyAlignment="1">
      <alignment horizontal="center"/>
    </xf>
    <xf numFmtId="190" fontId="12" fillId="0" borderId="0" xfId="51" applyNumberFormat="1" applyFont="1" applyAlignment="1">
      <alignment horizontal="center"/>
    </xf>
  </cellXfs>
  <cellStyles count="116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1/Ajuste%201er%20Semetre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Ajuste 1er Sem"/>
      <sheetName val="Calculo Coef Actualizado"/>
      <sheetName val="pagado 1er Sem"/>
      <sheetName val="COEF Art 14 F I"/>
      <sheetName val="PART PEF2021"/>
      <sheetName val="CALCULO GARANTIA"/>
      <sheetName val="COEF Art 14 F II"/>
      <sheetName val="Art.14 Frac.III"/>
      <sheetName val="acumulados ffm iepsgyd"/>
    </sheetNames>
    <sheetDataSet>
      <sheetData sheetId="0"/>
      <sheetData sheetId="1"/>
      <sheetData sheetId="2">
        <row r="6">
          <cell r="B6">
            <v>4451471.1953384746</v>
          </cell>
          <cell r="C6">
            <v>606894.30952539283</v>
          </cell>
          <cell r="D6">
            <v>6339308.6026345342</v>
          </cell>
          <cell r="E6">
            <v>129702.71291290576</v>
          </cell>
          <cell r="F6">
            <v>211355.40595936243</v>
          </cell>
          <cell r="G6">
            <v>-10371.315336745822</v>
          </cell>
          <cell r="H6">
            <v>115647.40532490116</v>
          </cell>
          <cell r="I6">
            <v>24551.789594551701</v>
          </cell>
          <cell r="J6">
            <v>83337.442033436586</v>
          </cell>
          <cell r="K6">
            <v>57678.589559935768</v>
          </cell>
        </row>
        <row r="7">
          <cell r="B7">
            <v>8817373.4588332195</v>
          </cell>
          <cell r="C7">
            <v>1202122.5213654838</v>
          </cell>
          <cell r="D7">
            <v>1666429.1194887112</v>
          </cell>
          <cell r="E7">
            <v>256912.20007770072</v>
          </cell>
          <cell r="F7">
            <v>418648.00761567114</v>
          </cell>
          <cell r="G7">
            <v>-20543.266837079722</v>
          </cell>
          <cell r="H7">
            <v>229071.76471512043</v>
          </cell>
          <cell r="I7">
            <v>48631.629508139995</v>
          </cell>
          <cell r="J7">
            <v>57074.181008165666</v>
          </cell>
          <cell r="K7">
            <v>114248.4456063165</v>
          </cell>
        </row>
        <row r="8">
          <cell r="B8">
            <v>9172670.2449023426</v>
          </cell>
          <cell r="C8">
            <v>1250562.1468726227</v>
          </cell>
          <cell r="D8">
            <v>1356619.9893406371</v>
          </cell>
          <cell r="E8">
            <v>267264.49823267007</v>
          </cell>
          <cell r="F8">
            <v>435517.46338892967</v>
          </cell>
          <cell r="G8">
            <v>-21371.059457711297</v>
          </cell>
          <cell r="H8">
            <v>238302.23024575191</v>
          </cell>
          <cell r="I8">
            <v>50591.245004321208</v>
          </cell>
          <cell r="J8">
            <v>87846.732002911391</v>
          </cell>
          <cell r="K8">
            <v>118852.09608418668</v>
          </cell>
        </row>
        <row r="9">
          <cell r="B9">
            <v>25371003.878712587</v>
          </cell>
          <cell r="C9">
            <v>3458972.8216283703</v>
          </cell>
          <cell r="D9">
            <v>7024052.7935973229</v>
          </cell>
          <cell r="E9">
            <v>739236.06106647267</v>
          </cell>
          <cell r="F9">
            <v>1204612.7199468773</v>
          </cell>
          <cell r="G9">
            <v>-59110.947839329332</v>
          </cell>
          <cell r="H9">
            <v>659128.32865989499</v>
          </cell>
          <cell r="I9">
            <v>139932.0632884255</v>
          </cell>
          <cell r="J9">
            <v>525418.81244304439</v>
          </cell>
          <cell r="K9">
            <v>328737.09729408514</v>
          </cell>
        </row>
        <row r="10">
          <cell r="B10">
            <v>32042973.059732214</v>
          </cell>
          <cell r="C10">
            <v>4368600.2125749541</v>
          </cell>
          <cell r="D10">
            <v>8384237.8115329808</v>
          </cell>
          <cell r="E10">
            <v>933637.52190390346</v>
          </cell>
          <cell r="F10">
            <v>1521397.1475939567</v>
          </cell>
          <cell r="G10">
            <v>-74655.717929241786</v>
          </cell>
          <cell r="H10">
            <v>832463.36562489474</v>
          </cell>
          <cell r="I10">
            <v>176730.8599840586</v>
          </cell>
          <cell r="J10">
            <v>334603.59995535691</v>
          </cell>
          <cell r="K10">
            <v>415187.11686324707</v>
          </cell>
        </row>
        <row r="11">
          <cell r="B11">
            <v>218611177.24677381</v>
          </cell>
          <cell r="C11">
            <v>29804501.399143837</v>
          </cell>
          <cell r="D11">
            <v>7182018.2309974143</v>
          </cell>
          <cell r="E11">
            <v>6369683.5310724014</v>
          </cell>
          <cell r="F11">
            <v>10379636.773260703</v>
          </cell>
          <cell r="G11">
            <v>-509333.96081228106</v>
          </cell>
          <cell r="H11">
            <v>5679429.1851391206</v>
          </cell>
          <cell r="I11">
            <v>1205735.2257834678</v>
          </cell>
          <cell r="J11">
            <v>7664184.6422162373</v>
          </cell>
          <cell r="K11">
            <v>2832588.1067893277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364820.77005168999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2059072.2380976416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57584.93279965844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1800456.146789067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1313628.4010983615</v>
          </cell>
          <cell r="K14">
            <v>749080.98926059669</v>
          </cell>
        </row>
        <row r="15">
          <cell r="B15">
            <v>9605389.0147261471</v>
          </cell>
          <cell r="C15">
            <v>1309557.1504359168</v>
          </cell>
          <cell r="D15">
            <v>916938.01731372997</v>
          </cell>
          <cell r="E15">
            <v>279872.64414929552</v>
          </cell>
          <cell r="F15">
            <v>456062.90718695289</v>
          </cell>
          <cell r="G15">
            <v>-22379.234646774868</v>
          </cell>
          <cell r="H15">
            <v>249544.08732390401</v>
          </cell>
          <cell r="I15">
            <v>52977.876237935074</v>
          </cell>
          <cell r="J15">
            <v>833018.62711116462</v>
          </cell>
          <cell r="K15">
            <v>124458.91846364716</v>
          </cell>
        </row>
        <row r="16">
          <cell r="B16">
            <v>13955204.407174697</v>
          </cell>
          <cell r="C16">
            <v>1902592.1479278551</v>
          </cell>
          <cell r="D16">
            <v>10023973.267388474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119436.53715744597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1687275.910354913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241659.43637618722</v>
          </cell>
          <cell r="K17">
            <v>380291.61936290766</v>
          </cell>
        </row>
        <row r="18">
          <cell r="B18">
            <v>14933477.311025139</v>
          </cell>
          <cell r="C18">
            <v>2035965.6400738764</v>
          </cell>
          <cell r="D18">
            <v>1649865.1856310091</v>
          </cell>
          <cell r="E18">
            <v>435117.38826741063</v>
          </cell>
          <cell r="F18">
            <v>709040.00519240799</v>
          </cell>
          <cell r="G18">
            <v>-34792.947201134084</v>
          </cell>
          <cell r="H18">
            <v>387965.64724643197</v>
          </cell>
          <cell r="I18">
            <v>82364.588417250809</v>
          </cell>
          <cell r="J18">
            <v>657331.91996307473</v>
          </cell>
          <cell r="K18">
            <v>193496.00856166807</v>
          </cell>
        </row>
        <row r="19">
          <cell r="B19">
            <v>81796223.034549937</v>
          </cell>
          <cell r="C19">
            <v>11151742.900711644</v>
          </cell>
          <cell r="D19">
            <v>587086.03596371051</v>
          </cell>
          <cell r="E19">
            <v>2383300.1648354041</v>
          </cell>
          <cell r="F19">
            <v>3883676.4671225348</v>
          </cell>
          <cell r="G19">
            <v>-190573.94403326139</v>
          </cell>
          <cell r="H19">
            <v>2125032.4991945373</v>
          </cell>
          <cell r="I19">
            <v>451141.5595986112</v>
          </cell>
          <cell r="J19">
            <v>960982.45587106375</v>
          </cell>
          <cell r="K19">
            <v>1059849.7820009002</v>
          </cell>
        </row>
        <row r="20">
          <cell r="B20">
            <v>10442172.106353447</v>
          </cell>
          <cell r="C20">
            <v>1423640.5341827276</v>
          </cell>
          <cell r="D20">
            <v>1227208.2405971696</v>
          </cell>
          <cell r="E20">
            <v>304254.03006444278</v>
          </cell>
          <cell r="F20">
            <v>495793.28446447465</v>
          </cell>
          <cell r="G20">
            <v>-24328.824104033818</v>
          </cell>
          <cell r="H20">
            <v>271283.37061249057</v>
          </cell>
          <cell r="I20">
            <v>57593.097026834243</v>
          </cell>
          <cell r="J20">
            <v>32239.147312039477</v>
          </cell>
          <cell r="K20">
            <v>135301.28189244057</v>
          </cell>
        </row>
        <row r="21">
          <cell r="B21">
            <v>7271648.7347020349</v>
          </cell>
          <cell r="C21">
            <v>991385.10490184778</v>
          </cell>
          <cell r="D21">
            <v>1622838.5698321511</v>
          </cell>
          <cell r="E21">
            <v>211874.35049073439</v>
          </cell>
          <cell r="F21">
            <v>345257.15271981491</v>
          </cell>
          <cell r="G21">
            <v>-16941.94093058916</v>
          </cell>
          <cell r="H21">
            <v>188914.46708293213</v>
          </cell>
          <cell r="I21">
            <v>40106.288888682226</v>
          </cell>
          <cell r="J21">
            <v>85365.611936346788</v>
          </cell>
          <cell r="K21">
            <v>94220.185729184246</v>
          </cell>
        </row>
        <row r="22">
          <cell r="B22">
            <v>63773335.293920271</v>
          </cell>
          <cell r="C22">
            <v>8694580.4186860994</v>
          </cell>
          <cell r="D22">
            <v>682353.47296188411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747226.57097325602</v>
          </cell>
          <cell r="K22">
            <v>826323.67365156079</v>
          </cell>
        </row>
        <row r="23">
          <cell r="B23">
            <v>78220185.614738703</v>
          </cell>
          <cell r="C23">
            <v>10664201.441832613</v>
          </cell>
          <cell r="D23">
            <v>2560133.5798801989</v>
          </cell>
          <cell r="E23">
            <v>2279105.0045222715</v>
          </cell>
          <cell r="F23">
            <v>3713886.5690363576</v>
          </cell>
          <cell r="G23">
            <v>-182242.26892870193</v>
          </cell>
          <cell r="H23">
            <v>2032128.5061553379</v>
          </cell>
          <cell r="I23">
            <v>431418.1660370871</v>
          </cell>
          <cell r="J23">
            <v>3805197.2329213652</v>
          </cell>
          <cell r="K23">
            <v>1013514.3603982046</v>
          </cell>
        </row>
        <row r="24">
          <cell r="B24">
            <v>12257257.150513802</v>
          </cell>
          <cell r="C24">
            <v>1671101.3704471767</v>
          </cell>
          <cell r="D24">
            <v>898992.28260238271</v>
          </cell>
          <cell r="E24">
            <v>357140.2431981524</v>
          </cell>
          <cell r="F24">
            <v>581973.34034375555</v>
          </cell>
          <cell r="G24">
            <v>-28557.722490641685</v>
          </cell>
          <cell r="H24">
            <v>318438.53945217526</v>
          </cell>
          <cell r="I24">
            <v>67604.076351402051</v>
          </cell>
          <cell r="J24">
            <v>127201.09369879562</v>
          </cell>
          <cell r="K24">
            <v>158819.69652087503</v>
          </cell>
        </row>
        <row r="25">
          <cell r="B25">
            <v>167549451.18713593</v>
          </cell>
          <cell r="C25">
            <v>22842966.746827077</v>
          </cell>
          <cell r="D25">
            <v>3533119.8862253758</v>
          </cell>
          <cell r="E25">
            <v>4881895.7626406942</v>
          </cell>
          <cell r="F25">
            <v>7955231.1404393679</v>
          </cell>
          <cell r="G25">
            <v>-390367.16548456938</v>
          </cell>
          <cell r="H25">
            <v>4352866.3767822301</v>
          </cell>
          <cell r="I25">
            <v>924107.71444212052</v>
          </cell>
          <cell r="J25">
            <v>5219651.0188741358</v>
          </cell>
          <cell r="K25">
            <v>2170971.2591503104</v>
          </cell>
        </row>
        <row r="26">
          <cell r="B26">
            <v>24738043.181812171</v>
          </cell>
          <cell r="C26">
            <v>3372677.7007019771</v>
          </cell>
          <cell r="D26">
            <v>1687187.3022679202</v>
          </cell>
          <cell r="E26">
            <v>720793.45727265324</v>
          </cell>
          <cell r="F26">
            <v>1174559.809531597</v>
          </cell>
          <cell r="G26">
            <v>-57636.236514634023</v>
          </cell>
          <cell r="H26">
            <v>642684.26802083512</v>
          </cell>
          <cell r="I26">
            <v>136441.01119126863</v>
          </cell>
          <cell r="J26">
            <v>284657.50708720123</v>
          </cell>
          <cell r="K26">
            <v>320535.70080244413</v>
          </cell>
        </row>
        <row r="27">
          <cell r="B27">
            <v>3967992.6180170742</v>
          </cell>
          <cell r="C27">
            <v>540978.93357933324</v>
          </cell>
          <cell r="D27">
            <v>1541674.2690976893</v>
          </cell>
          <cell r="E27">
            <v>115615.57624233149</v>
          </cell>
          <cell r="F27">
            <v>188399.89159156705</v>
          </cell>
          <cell r="G27">
            <v>-9244.8767810583413</v>
          </cell>
          <cell r="H27">
            <v>103086.82915944242</v>
          </cell>
          <cell r="I27">
            <v>21885.196061092782</v>
          </cell>
          <cell r="J27">
            <v>51430.297038796612</v>
          </cell>
          <cell r="K27">
            <v>51414.062351145789</v>
          </cell>
        </row>
        <row r="28">
          <cell r="B28">
            <v>18375740.127104588</v>
          </cell>
          <cell r="C28">
            <v>2505268.8486753698</v>
          </cell>
          <cell r="D28">
            <v>452016.18434636405</v>
          </cell>
          <cell r="E28">
            <v>535414.7520405968</v>
          </cell>
          <cell r="F28">
            <v>872478.29850837088</v>
          </cell>
          <cell r="G28">
            <v>-42812.945887164009</v>
          </cell>
          <cell r="H28">
            <v>477394.23066461715</v>
          </cell>
          <cell r="I28">
            <v>101350.15716091321</v>
          </cell>
          <cell r="J28">
            <v>178163.42924378449</v>
          </cell>
          <cell r="K28">
            <v>238098.08625993304</v>
          </cell>
        </row>
        <row r="29">
          <cell r="B29">
            <v>17904850.038790401</v>
          </cell>
          <cell r="C29">
            <v>2441069.7328169867</v>
          </cell>
          <cell r="D29">
            <v>5464951.0752025452</v>
          </cell>
          <cell r="E29">
            <v>521694.40673046536</v>
          </cell>
          <cell r="F29">
            <v>850120.48433625931</v>
          </cell>
          <cell r="G29">
            <v>-41715.836778613855</v>
          </cell>
          <cell r="H29">
            <v>465160.69830709544</v>
          </cell>
          <cell r="I29">
            <v>98752.994590804592</v>
          </cell>
          <cell r="J29">
            <v>1077443.4402357917</v>
          </cell>
          <cell r="K29">
            <v>231996.67058410935</v>
          </cell>
        </row>
        <row r="30">
          <cell r="B30">
            <v>286562276.3987177</v>
          </cell>
          <cell r="C30">
            <v>39068660.054038785</v>
          </cell>
          <cell r="D30">
            <v>5473107.0590311503</v>
          </cell>
          <cell r="E30">
            <v>8349577.709574623</v>
          </cell>
          <cell r="F30">
            <v>13605948.146831654</v>
          </cell>
          <cell r="G30">
            <v>-667650.6713688469</v>
          </cell>
          <cell r="H30">
            <v>7444771.0150776338</v>
          </cell>
          <cell r="I30">
            <v>1580514.9370043541</v>
          </cell>
          <cell r="J30">
            <v>7600993.1628643852</v>
          </cell>
          <cell r="K30">
            <v>3713043.8900898551</v>
          </cell>
        </row>
        <row r="31">
          <cell r="B31">
            <v>7378860.9326826446</v>
          </cell>
          <cell r="C31">
            <v>1006001.9517848016</v>
          </cell>
          <cell r="D31">
            <v>1622016.298360277</v>
          </cell>
          <cell r="E31">
            <v>214998.19704061269</v>
          </cell>
          <cell r="F31">
            <v>350347.57712865225</v>
          </cell>
          <cell r="G31">
            <v>-17191.730598860391</v>
          </cell>
          <cell r="H31">
            <v>191699.79624076674</v>
          </cell>
          <cell r="I31">
            <v>40697.610546462653</v>
          </cell>
          <cell r="J31">
            <v>33965.595836071785</v>
          </cell>
          <cell r="K31">
            <v>95609.355307461607</v>
          </cell>
        </row>
        <row r="32">
          <cell r="B32">
            <v>12701568.115879538</v>
          </cell>
          <cell r="C32">
            <v>1731676.8037606783</v>
          </cell>
          <cell r="D32">
            <v>1788586.2918915837</v>
          </cell>
          <cell r="E32">
            <v>370086.15142850007</v>
          </cell>
          <cell r="F32">
            <v>603069.18042363971</v>
          </cell>
          <cell r="G32">
            <v>-29592.905900164256</v>
          </cell>
          <cell r="H32">
            <v>329981.55704055313</v>
          </cell>
          <cell r="I32">
            <v>70054.643558853611</v>
          </cell>
          <cell r="J32">
            <v>180449.64562404997</v>
          </cell>
          <cell r="K32">
            <v>164576.72126252577</v>
          </cell>
        </row>
        <row r="33">
          <cell r="B33">
            <v>7289733.0888737142</v>
          </cell>
          <cell r="C33">
            <v>993850.64745095547</v>
          </cell>
          <cell r="D33">
            <v>3810371.0891075428</v>
          </cell>
          <cell r="E33">
            <v>212401.27511731649</v>
          </cell>
          <cell r="F33">
            <v>346115.79604237998</v>
          </cell>
          <cell r="G33">
            <v>-16984.07498729659</v>
          </cell>
          <cell r="H33">
            <v>189384.29122536877</v>
          </cell>
          <cell r="I33">
            <v>40206.03192622932</v>
          </cell>
          <cell r="J33">
            <v>29682.915631273878</v>
          </cell>
          <cell r="K33">
            <v>94454.508270194317</v>
          </cell>
        </row>
        <row r="34">
          <cell r="B34">
            <v>10168372.842209097</v>
          </cell>
          <cell r="C34">
            <v>1386311.9279602603</v>
          </cell>
          <cell r="D34">
            <v>2955430.8061251831</v>
          </cell>
          <cell r="E34">
            <v>296276.32880687481</v>
          </cell>
          <cell r="F34">
            <v>482793.32285960042</v>
          </cell>
          <cell r="G34">
            <v>-23690.909494952743</v>
          </cell>
          <cell r="H34">
            <v>264170.17744810041</v>
          </cell>
          <cell r="I34">
            <v>56082.975624396633</v>
          </cell>
          <cell r="J34">
            <v>105307.90682030002</v>
          </cell>
          <cell r="K34">
            <v>131753.61086742484</v>
          </cell>
        </row>
        <row r="35">
          <cell r="B35">
            <v>9570845.230387168</v>
          </cell>
          <cell r="C35">
            <v>1304847.6004411306</v>
          </cell>
          <cell r="D35">
            <v>1868440.6238487067</v>
          </cell>
          <cell r="E35">
            <v>278866.14037864649</v>
          </cell>
          <cell r="F35">
            <v>454422.77177060267</v>
          </cell>
          <cell r="G35">
            <v>-22298.752382691197</v>
          </cell>
          <cell r="H35">
            <v>248646.65390164818</v>
          </cell>
          <cell r="I35">
            <v>52787.352321756916</v>
          </cell>
          <cell r="J35">
            <v>118892.3320710462</v>
          </cell>
          <cell r="K35">
            <v>124011.32784218671</v>
          </cell>
        </row>
        <row r="36">
          <cell r="B36">
            <v>88907558.352945775</v>
          </cell>
          <cell r="C36">
            <v>12121271.56853294</v>
          </cell>
          <cell r="D36">
            <v>0</v>
          </cell>
          <cell r="E36">
            <v>2590503.4562315578</v>
          </cell>
          <cell r="F36">
            <v>4221321.954912425</v>
          </cell>
          <cell r="G36">
            <v>-207142.37676391797</v>
          </cell>
          <cell r="H36">
            <v>2309782.0891343807</v>
          </cell>
          <cell r="I36">
            <v>490363.65063592792</v>
          </cell>
          <cell r="J36">
            <v>4696704.1674626283</v>
          </cell>
          <cell r="K36">
            <v>1151992.7552009416</v>
          </cell>
        </row>
        <row r="37">
          <cell r="B37">
            <v>17326066.08058935</v>
          </cell>
          <cell r="C37">
            <v>2362160.8338793418</v>
          </cell>
          <cell r="D37">
            <v>1781647.1762436058</v>
          </cell>
          <cell r="E37">
            <v>504830.35296600242</v>
          </cell>
          <cell r="F37">
            <v>822639.88004155981</v>
          </cell>
          <cell r="G37">
            <v>-40367.349800052922</v>
          </cell>
          <cell r="H37">
            <v>450124.12723375665</v>
          </cell>
          <cell r="I37">
            <v>95560.750647423643</v>
          </cell>
          <cell r="J37">
            <v>119518.19139559798</v>
          </cell>
          <cell r="K37">
            <v>224497.25277277717</v>
          </cell>
        </row>
        <row r="38">
          <cell r="B38">
            <v>63524415.76927577</v>
          </cell>
          <cell r="C38">
            <v>8660643.8084268421</v>
          </cell>
          <cell r="D38">
            <v>1611097.8219689024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1152544.2666758425</v>
          </cell>
          <cell r="K38">
            <v>823098.37431446533</v>
          </cell>
        </row>
        <row r="39">
          <cell r="B39">
            <v>13553966.472479468</v>
          </cell>
          <cell r="C39">
            <v>1847889.1051254545</v>
          </cell>
          <cell r="D39">
            <v>2416790.711993407</v>
          </cell>
          <cell r="E39">
            <v>394922.5200091367</v>
          </cell>
          <cell r="F39">
            <v>643540.96891615703</v>
          </cell>
          <cell r="G39">
            <v>-31578.876776057929</v>
          </cell>
          <cell r="H39">
            <v>352126.51854164543</v>
          </cell>
          <cell r="I39">
            <v>74755.989290102792</v>
          </cell>
          <cell r="J39">
            <v>103483.21522533214</v>
          </cell>
          <cell r="K39">
            <v>175621.41475697682</v>
          </cell>
        </row>
        <row r="40">
          <cell r="B40">
            <v>13028117.568279443</v>
          </cell>
          <cell r="C40">
            <v>1776197.1422608283</v>
          </cell>
          <cell r="D40">
            <v>2287283.1541490485</v>
          </cell>
          <cell r="E40">
            <v>379600.83725210925</v>
          </cell>
          <cell r="F40">
            <v>618573.71567707777</v>
          </cell>
          <cell r="G40">
            <v>-30353.721189147291</v>
          </cell>
          <cell r="H40">
            <v>338465.17857220833</v>
          </cell>
          <cell r="I40">
            <v>71855.705072165045</v>
          </cell>
          <cell r="J40">
            <v>17932.734025452028</v>
          </cell>
          <cell r="K40">
            <v>168807.88687260982</v>
          </cell>
        </row>
        <row r="41">
          <cell r="B41">
            <v>13679365.325356152</v>
          </cell>
          <cell r="C41">
            <v>1864985.4417953552</v>
          </cell>
          <cell r="D41">
            <v>431694.73486300383</v>
          </cell>
          <cell r="E41">
            <v>398576.27192632406</v>
          </cell>
          <cell r="F41">
            <v>649494.89387569495</v>
          </cell>
          <cell r="G41">
            <v>-31871.038847647251</v>
          </cell>
          <cell r="H41">
            <v>355384.32957299479</v>
          </cell>
          <cell r="I41">
            <v>75447.618218186282</v>
          </cell>
          <cell r="J41">
            <v>229199.95900508645</v>
          </cell>
          <cell r="K41">
            <v>177246.23240691135</v>
          </cell>
        </row>
        <row r="42">
          <cell r="B42">
            <v>19267979.053849619</v>
          </cell>
          <cell r="C42">
            <v>2626912.8408785881</v>
          </cell>
          <cell r="D42">
            <v>5492520.7585342834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153595.21126626947</v>
          </cell>
          <cell r="K42">
            <v>249659.00187340839</v>
          </cell>
        </row>
        <row r="43">
          <cell r="B43">
            <v>45204458.141799726</v>
          </cell>
          <cell r="C43">
            <v>6162980.1042329445</v>
          </cell>
          <cell r="D43">
            <v>3695458.1667691735</v>
          </cell>
          <cell r="E43">
            <v>1317124.2942982812</v>
          </cell>
          <cell r="F43">
            <v>2146303.1394515443</v>
          </cell>
          <cell r="G43">
            <v>-105320.1670733677</v>
          </cell>
          <cell r="H43">
            <v>1174393.3777874841</v>
          </cell>
          <cell r="I43">
            <v>249322.14459691616</v>
          </cell>
          <cell r="J43">
            <v>879785.09241748927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16093176.432151731</v>
          </cell>
          <cell r="K44">
            <v>12121662.37766212</v>
          </cell>
        </row>
        <row r="45">
          <cell r="B45">
            <v>4831566.9403561661</v>
          </cell>
          <cell r="C45">
            <v>658714.9177251301</v>
          </cell>
          <cell r="D45">
            <v>1883696.4934321058</v>
          </cell>
          <cell r="E45">
            <v>140777.57943053535</v>
          </cell>
          <cell r="F45">
            <v>229402.31381664937</v>
          </cell>
          <cell r="G45">
            <v>-11256.886119246205</v>
          </cell>
          <cell r="H45">
            <v>125522.13769031836</v>
          </cell>
          <cell r="I45">
            <v>26648.182078733364</v>
          </cell>
          <cell r="J45">
            <v>69381.68979429231</v>
          </cell>
          <cell r="K45">
            <v>62603.565036203319</v>
          </cell>
        </row>
        <row r="46">
          <cell r="B46">
            <v>20342004.441485699</v>
          </cell>
          <cell r="C46">
            <v>2773340.8120906041</v>
          </cell>
          <cell r="D46">
            <v>2571322.9349585981</v>
          </cell>
          <cell r="E46">
            <v>592705.88225079095</v>
          </cell>
          <cell r="F46">
            <v>965836.33097741578</v>
          </cell>
          <cell r="G46">
            <v>-47394.071170237141</v>
          </cell>
          <cell r="H46">
            <v>528476.97525908856</v>
          </cell>
          <cell r="I46">
            <v>112194.95556924927</v>
          </cell>
          <cell r="J46">
            <v>1390078.524397691</v>
          </cell>
          <cell r="K46">
            <v>263575.3604865527</v>
          </cell>
        </row>
        <row r="47">
          <cell r="B47">
            <v>10247606.604376556</v>
          </cell>
          <cell r="C47">
            <v>1397114.3160408742</v>
          </cell>
          <cell r="D47">
            <v>789996.78610774409</v>
          </cell>
          <cell r="E47">
            <v>298584.96643620002</v>
          </cell>
          <cell r="F47">
            <v>486555.33394171816</v>
          </cell>
          <cell r="G47">
            <v>-23875.513257775241</v>
          </cell>
          <cell r="H47">
            <v>266228.63825952669</v>
          </cell>
          <cell r="I47">
            <v>56519.984103651172</v>
          </cell>
          <cell r="J47">
            <v>106760.94373147277</v>
          </cell>
          <cell r="K47">
            <v>132780.25833896914</v>
          </cell>
        </row>
        <row r="48">
          <cell r="B48">
            <v>11483205.008738784</v>
          </cell>
          <cell r="C48">
            <v>1565570.4528010881</v>
          </cell>
          <cell r="D48">
            <v>1330139.7641830356</v>
          </cell>
          <cell r="E48">
            <v>334586.65174070367</v>
          </cell>
          <cell r="F48">
            <v>545221.42227453552</v>
          </cell>
          <cell r="G48">
            <v>-26754.287514394069</v>
          </cell>
          <cell r="H48">
            <v>298328.98064469505</v>
          </cell>
          <cell r="I48">
            <v>63334.843891811288</v>
          </cell>
          <cell r="J48">
            <v>61067.058584709026</v>
          </cell>
          <cell r="K48">
            <v>148790.15037213586</v>
          </cell>
        </row>
        <row r="49">
          <cell r="B49">
            <v>33038981.374004856</v>
          </cell>
          <cell r="C49">
            <v>4504391.6737900777</v>
          </cell>
          <cell r="D49">
            <v>2399766.1057866868</v>
          </cell>
          <cell r="E49">
            <v>962658.2601668518</v>
          </cell>
          <cell r="F49">
            <v>1568687.5224755104</v>
          </cell>
          <cell r="G49">
            <v>-76976.280244945316</v>
          </cell>
          <cell r="H49">
            <v>858339.25522927556</v>
          </cell>
          <cell r="I49">
            <v>182224.27676547095</v>
          </cell>
          <cell r="J49">
            <v>472403.20676565671</v>
          </cell>
          <cell r="K49">
            <v>428092.59288146201</v>
          </cell>
        </row>
        <row r="50">
          <cell r="B50">
            <v>28431775.587601416</v>
          </cell>
          <cell r="C50">
            <v>3876265.1843928788</v>
          </cell>
          <cell r="D50">
            <v>1127629.7066891484</v>
          </cell>
          <cell r="E50">
            <v>828417.90159274079</v>
          </cell>
          <cell r="F50">
            <v>1349937.8537495104</v>
          </cell>
          <cell r="G50">
            <v>-66242.12474100593</v>
          </cell>
          <cell r="H50">
            <v>738645.92877275893</v>
          </cell>
          <cell r="I50">
            <v>156813.54352181181</v>
          </cell>
          <cell r="J50">
            <v>887291.27799839084</v>
          </cell>
          <cell r="K50">
            <v>368396.11953341437</v>
          </cell>
        </row>
        <row r="51">
          <cell r="B51">
            <v>257266349.1684038</v>
          </cell>
          <cell r="C51">
            <v>35074580.176139988</v>
          </cell>
          <cell r="D51">
            <v>7885795.3041220615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5545835.2480500247</v>
          </cell>
          <cell r="K51">
            <v>3333450.7874175282</v>
          </cell>
        </row>
        <row r="52">
          <cell r="B52">
            <v>497104151.42901373</v>
          </cell>
          <cell r="C52">
            <v>67773027.726124182</v>
          </cell>
          <cell r="D52">
            <v>13085721.206464767</v>
          </cell>
          <cell r="E52">
            <v>14484145.625412382</v>
          </cell>
          <cell r="F52">
            <v>23602455.26004684</v>
          </cell>
          <cell r="G52">
            <v>-1158184.2683997715</v>
          </cell>
          <cell r="H52">
            <v>12914563.021143157</v>
          </cell>
          <cell r="I52">
            <v>2741744.469838202</v>
          </cell>
          <cell r="J52">
            <v>4184744.2523686388</v>
          </cell>
          <cell r="K52">
            <v>6441076.457787592</v>
          </cell>
        </row>
        <row r="53">
          <cell r="B53">
            <v>133952081.5458426</v>
          </cell>
          <cell r="C53">
            <v>18262446.834292471</v>
          </cell>
          <cell r="D53">
            <v>3800746.2713808804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3627842.5383160557</v>
          </cell>
          <cell r="K53">
            <v>1735643.519444189</v>
          </cell>
        </row>
        <row r="54">
          <cell r="B54">
            <v>42696803.434087068</v>
          </cell>
          <cell r="C54">
            <v>5821097.3186138738</v>
          </cell>
          <cell r="D54">
            <v>5205663.8722520899</v>
          </cell>
          <cell r="E54">
            <v>1244058.6482755127</v>
          </cell>
          <cell r="F54">
            <v>2027239.9453979626</v>
          </cell>
          <cell r="G54">
            <v>-99477.676672307032</v>
          </cell>
          <cell r="H54">
            <v>1109245.5316773194</v>
          </cell>
          <cell r="I54">
            <v>235491.34393397562</v>
          </cell>
          <cell r="J54">
            <v>830137.82577742415</v>
          </cell>
          <cell r="K54">
            <v>553230.89664712735</v>
          </cell>
        </row>
        <row r="55">
          <cell r="B55">
            <v>8578896.2209360879</v>
          </cell>
          <cell r="C55">
            <v>1169609.5672700687</v>
          </cell>
          <cell r="D55">
            <v>3410436.4209548444</v>
          </cell>
          <cell r="E55">
            <v>249963.6782596499</v>
          </cell>
          <cell r="F55">
            <v>407325.13227490807</v>
          </cell>
          <cell r="G55">
            <v>-19987.647688637895</v>
          </cell>
          <cell r="H55">
            <v>222876.2233802168</v>
          </cell>
          <cell r="I55">
            <v>47316.32436271492</v>
          </cell>
          <cell r="J55">
            <v>101729.36352308812</v>
          </cell>
          <cell r="K55">
            <v>111158.44903653978</v>
          </cell>
        </row>
        <row r="56">
          <cell r="B56">
            <v>11819240.387481418</v>
          </cell>
          <cell r="C56">
            <v>1611384.0614282035</v>
          </cell>
          <cell r="D56">
            <v>2875042.6570964395</v>
          </cell>
          <cell r="E56">
            <v>344377.72941930947</v>
          </cell>
          <cell r="F56">
            <v>561176.34835947375</v>
          </cell>
          <cell r="G56">
            <v>-27537.203706436881</v>
          </cell>
          <cell r="H56">
            <v>307059.0426721999</v>
          </cell>
          <cell r="I56">
            <v>65188.224393038428</v>
          </cell>
          <cell r="J56">
            <v>89142.802810697365</v>
          </cell>
          <cell r="K56">
            <v>153144.22699929914</v>
          </cell>
        </row>
      </sheetData>
      <sheetData sheetId="3">
        <row r="6">
          <cell r="B6">
            <v>4451471.1953385016</v>
          </cell>
          <cell r="C6">
            <v>606894.30952539644</v>
          </cell>
          <cell r="D6">
            <v>3956588.660770095</v>
          </cell>
          <cell r="E6">
            <v>129702.71291290654</v>
          </cell>
          <cell r="F6">
            <v>211355.40595936371</v>
          </cell>
          <cell r="G6">
            <v>-10371.315336745885</v>
          </cell>
          <cell r="H6">
            <v>115647.40532490186</v>
          </cell>
          <cell r="I6">
            <v>24551.78959455185</v>
          </cell>
          <cell r="J6">
            <v>36600.596036112263</v>
          </cell>
          <cell r="K6">
            <v>57678.589559936117</v>
          </cell>
        </row>
        <row r="7">
          <cell r="B7">
            <v>8817373.4588332176</v>
          </cell>
          <cell r="C7">
            <v>1202122.5213654835</v>
          </cell>
          <cell r="D7">
            <v>2138763.6422230825</v>
          </cell>
          <cell r="E7">
            <v>256912.20007770069</v>
          </cell>
          <cell r="F7">
            <v>418648.00761567109</v>
          </cell>
          <cell r="G7">
            <v>-20543.266837079718</v>
          </cell>
          <cell r="H7">
            <v>229071.76471512037</v>
          </cell>
          <cell r="I7">
            <v>48631.629508139988</v>
          </cell>
          <cell r="J7">
            <v>81213.823774807999</v>
          </cell>
          <cell r="K7">
            <v>114248.44560631648</v>
          </cell>
        </row>
        <row r="8">
          <cell r="B8">
            <v>9172670.2449023556</v>
          </cell>
          <cell r="C8">
            <v>1250562.1468726243</v>
          </cell>
          <cell r="D8">
            <v>1830881.8995668003</v>
          </cell>
          <cell r="E8">
            <v>267264.49823267042</v>
          </cell>
          <cell r="F8">
            <v>435517.46338893025</v>
          </cell>
          <cell r="G8">
            <v>-21371.059457711326</v>
          </cell>
          <cell r="H8">
            <v>238302.23024575223</v>
          </cell>
          <cell r="I8">
            <v>50591.245004321274</v>
          </cell>
          <cell r="J8">
            <v>72085.575006329454</v>
          </cell>
          <cell r="K8">
            <v>118852.09608418684</v>
          </cell>
        </row>
        <row r="9">
          <cell r="B9">
            <v>25371003.878712565</v>
          </cell>
          <cell r="C9">
            <v>3458972.8216283671</v>
          </cell>
          <cell r="D9">
            <v>5628058.5334915463</v>
          </cell>
          <cell r="E9">
            <v>739236.06106647209</v>
          </cell>
          <cell r="F9">
            <v>1204612.7199468764</v>
          </cell>
          <cell r="G9">
            <v>-59110.947839329281</v>
          </cell>
          <cell r="H9">
            <v>659128.32865989441</v>
          </cell>
          <cell r="I9">
            <v>139932.06328842539</v>
          </cell>
          <cell r="J9">
            <v>527745.49053073942</v>
          </cell>
          <cell r="K9">
            <v>328737.09729408484</v>
          </cell>
        </row>
        <row r="10">
          <cell r="B10">
            <v>32042973.059732206</v>
          </cell>
          <cell r="C10">
            <v>4368600.2125749532</v>
          </cell>
          <cell r="D10">
            <v>5035665.9065745482</v>
          </cell>
          <cell r="E10">
            <v>933637.52190390334</v>
          </cell>
          <cell r="F10">
            <v>1521397.1475939562</v>
          </cell>
          <cell r="G10">
            <v>-74655.717929241771</v>
          </cell>
          <cell r="H10">
            <v>832463.3656248945</v>
          </cell>
          <cell r="I10">
            <v>176730.85998405857</v>
          </cell>
          <cell r="J10">
            <v>333652.79005707364</v>
          </cell>
          <cell r="K10">
            <v>415187.11686324701</v>
          </cell>
        </row>
        <row r="11">
          <cell r="B11">
            <v>218611177.24677378</v>
          </cell>
          <cell r="C11">
            <v>29804501.399143834</v>
          </cell>
          <cell r="D11">
            <v>7094859.5258086789</v>
          </cell>
          <cell r="E11">
            <v>6369683.5310724005</v>
          </cell>
          <cell r="F11">
            <v>10379636.773260703</v>
          </cell>
          <cell r="G11">
            <v>-509333.960812281</v>
          </cell>
          <cell r="H11">
            <v>5679429.1851391206</v>
          </cell>
          <cell r="I11">
            <v>1205735.2257834678</v>
          </cell>
          <cell r="J11">
            <v>7634466.2251130287</v>
          </cell>
          <cell r="K11">
            <v>2832588.1067893272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381911.60101093468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2767865.418834541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67572.611395113985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1875171.4256160962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1303485.2654612577</v>
          </cell>
          <cell r="K14">
            <v>749080.98926059669</v>
          </cell>
        </row>
        <row r="15">
          <cell r="B15">
            <v>9605389.0147261824</v>
          </cell>
          <cell r="C15">
            <v>1309557.1504359217</v>
          </cell>
          <cell r="D15">
            <v>2272583.0550192515</v>
          </cell>
          <cell r="E15">
            <v>279872.64414929657</v>
          </cell>
          <cell r="F15">
            <v>456062.90718695457</v>
          </cell>
          <cell r="G15">
            <v>-22379.234646774948</v>
          </cell>
          <cell r="H15">
            <v>249544.08732390494</v>
          </cell>
          <cell r="I15">
            <v>52977.87623793527</v>
          </cell>
          <cell r="J15">
            <v>750723.7554574227</v>
          </cell>
          <cell r="K15">
            <v>124458.91846364763</v>
          </cell>
        </row>
        <row r="16">
          <cell r="B16">
            <v>13955204.407174697</v>
          </cell>
          <cell r="C16">
            <v>1902592.1479278551</v>
          </cell>
          <cell r="D16">
            <v>6460250.7680892935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140909.51931658719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2228898.6932610013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256405.617423627</v>
          </cell>
          <cell r="K17">
            <v>380291.61936290766</v>
          </cell>
        </row>
        <row r="18">
          <cell r="B18">
            <v>14933477.311025152</v>
          </cell>
          <cell r="C18">
            <v>2035965.6400738782</v>
          </cell>
          <cell r="D18">
            <v>1997552.8633960839</v>
          </cell>
          <cell r="E18">
            <v>435117.38826741098</v>
          </cell>
          <cell r="F18">
            <v>709040.00519240857</v>
          </cell>
          <cell r="G18">
            <v>-34792.947201134113</v>
          </cell>
          <cell r="H18">
            <v>387965.64724643226</v>
          </cell>
          <cell r="I18">
            <v>82364.588417250881</v>
          </cell>
          <cell r="J18">
            <v>626238.9963017588</v>
          </cell>
          <cell r="K18">
            <v>193496.00856166822</v>
          </cell>
        </row>
        <row r="19">
          <cell r="B19">
            <v>81796223.034550026</v>
          </cell>
          <cell r="C19">
            <v>11151742.900711657</v>
          </cell>
          <cell r="D19">
            <v>1313090.4295020949</v>
          </cell>
          <cell r="E19">
            <v>2383300.1648354065</v>
          </cell>
          <cell r="F19">
            <v>3883676.4671225389</v>
          </cell>
          <cell r="G19">
            <v>-190573.94403326159</v>
          </cell>
          <cell r="H19">
            <v>2125032.4991945396</v>
          </cell>
          <cell r="I19">
            <v>451141.55959861167</v>
          </cell>
          <cell r="J19">
            <v>857450.6018534936</v>
          </cell>
          <cell r="K19">
            <v>1059849.7820009014</v>
          </cell>
        </row>
        <row r="20">
          <cell r="B20">
            <v>10442172.106353445</v>
          </cell>
          <cell r="C20">
            <v>1423640.5341827273</v>
          </cell>
          <cell r="D20">
            <v>1184824.8740071733</v>
          </cell>
          <cell r="E20">
            <v>304254.03006444278</v>
          </cell>
          <cell r="F20">
            <v>495793.28446447453</v>
          </cell>
          <cell r="G20">
            <v>-24328.824104033814</v>
          </cell>
          <cell r="H20">
            <v>271283.37061249051</v>
          </cell>
          <cell r="I20">
            <v>57593.097026834235</v>
          </cell>
          <cell r="J20">
            <v>81409.31344399818</v>
          </cell>
          <cell r="K20">
            <v>135301.28189244054</v>
          </cell>
        </row>
        <row r="21">
          <cell r="B21">
            <v>7271648.7347020423</v>
          </cell>
          <cell r="C21">
            <v>991385.10490184883</v>
          </cell>
          <cell r="D21">
            <v>2443708.0839374913</v>
          </cell>
          <cell r="E21">
            <v>211874.35049073462</v>
          </cell>
          <cell r="F21">
            <v>345257.15271981526</v>
          </cell>
          <cell r="G21">
            <v>-16941.940930589179</v>
          </cell>
          <cell r="H21">
            <v>188914.46708293233</v>
          </cell>
          <cell r="I21">
            <v>40106.288888682269</v>
          </cell>
          <cell r="J21">
            <v>55133.678772750958</v>
          </cell>
          <cell r="K21">
            <v>94220.185729184348</v>
          </cell>
        </row>
        <row r="22">
          <cell r="B22">
            <v>63773335.293920271</v>
          </cell>
          <cell r="C22">
            <v>8694580.4186860994</v>
          </cell>
          <cell r="D22">
            <v>1157662.2312747599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778266.46783492644</v>
          </cell>
          <cell r="K22">
            <v>826323.67365156079</v>
          </cell>
        </row>
        <row r="23">
          <cell r="B23">
            <v>78220185.614738718</v>
          </cell>
          <cell r="C23">
            <v>10664201.441832615</v>
          </cell>
          <cell r="D23">
            <v>2676199.3545421083</v>
          </cell>
          <cell r="E23">
            <v>2279105.0045222719</v>
          </cell>
          <cell r="F23">
            <v>3713886.569036358</v>
          </cell>
          <cell r="G23">
            <v>-182242.26892870196</v>
          </cell>
          <cell r="H23">
            <v>2032128.5061553381</v>
          </cell>
          <cell r="I23">
            <v>431418.16603708715</v>
          </cell>
          <cell r="J23">
            <v>3691847.7764429511</v>
          </cell>
          <cell r="K23">
            <v>1013514.3603982049</v>
          </cell>
        </row>
        <row r="24">
          <cell r="B24">
            <v>12257257.1505138</v>
          </cell>
          <cell r="C24">
            <v>1671101.3704471765</v>
          </cell>
          <cell r="D24">
            <v>1014274.346876689</v>
          </cell>
          <cell r="E24">
            <v>357140.24319815228</v>
          </cell>
          <cell r="F24">
            <v>581973.34034375544</v>
          </cell>
          <cell r="G24">
            <v>-28557.722490641678</v>
          </cell>
          <cell r="H24">
            <v>318438.5394521752</v>
          </cell>
          <cell r="I24">
            <v>67604.076351402036</v>
          </cell>
          <cell r="J24">
            <v>111888.11820796075</v>
          </cell>
          <cell r="K24">
            <v>158819.696520875</v>
          </cell>
        </row>
        <row r="25">
          <cell r="B25">
            <v>167549451.18713591</v>
          </cell>
          <cell r="C25">
            <v>22842966.746827073</v>
          </cell>
          <cell r="D25">
            <v>3863775.4156519501</v>
          </cell>
          <cell r="E25">
            <v>4881895.7626406942</v>
          </cell>
          <cell r="F25">
            <v>7955231.1404393669</v>
          </cell>
          <cell r="G25">
            <v>-390367.16548456933</v>
          </cell>
          <cell r="H25">
            <v>4352866.3767822292</v>
          </cell>
          <cell r="I25">
            <v>924107.7144421204</v>
          </cell>
          <cell r="J25">
            <v>5330961.7900180509</v>
          </cell>
          <cell r="K25">
            <v>2170971.25915031</v>
          </cell>
        </row>
        <row r="26">
          <cell r="B26">
            <v>24738043.181812163</v>
          </cell>
          <cell r="C26">
            <v>3372677.7007019762</v>
          </cell>
          <cell r="D26">
            <v>2418953.473764509</v>
          </cell>
          <cell r="E26">
            <v>720793.45727265312</v>
          </cell>
          <cell r="F26">
            <v>1174559.8095315967</v>
          </cell>
          <cell r="G26">
            <v>-57636.236514634009</v>
          </cell>
          <cell r="H26">
            <v>642684.26802083501</v>
          </cell>
          <cell r="I26">
            <v>136441.0111912686</v>
          </cell>
          <cell r="J26">
            <v>281033.98608533927</v>
          </cell>
          <cell r="K26">
            <v>320535.70080244401</v>
          </cell>
        </row>
        <row r="27">
          <cell r="B27">
            <v>3967992.6180170868</v>
          </cell>
          <cell r="C27">
            <v>540978.93357933499</v>
          </cell>
          <cell r="D27">
            <v>2798931.7788193896</v>
          </cell>
          <cell r="E27">
            <v>115615.57624233184</v>
          </cell>
          <cell r="F27">
            <v>188399.89159156763</v>
          </cell>
          <cell r="G27">
            <v>-9244.8767810583704</v>
          </cell>
          <cell r="H27">
            <v>103086.82915944274</v>
          </cell>
          <cell r="I27">
            <v>21885.196061092851</v>
          </cell>
          <cell r="J27">
            <v>25580.203100691953</v>
          </cell>
          <cell r="K27">
            <v>51414.062351145949</v>
          </cell>
        </row>
        <row r="28">
          <cell r="B28">
            <v>18375740.127104592</v>
          </cell>
          <cell r="C28">
            <v>2505268.8486753707</v>
          </cell>
          <cell r="D28">
            <v>68449.961482072496</v>
          </cell>
          <cell r="E28">
            <v>535414.75204059703</v>
          </cell>
          <cell r="F28">
            <v>872478.29850837111</v>
          </cell>
          <cell r="G28">
            <v>-42812.945887164024</v>
          </cell>
          <cell r="H28">
            <v>477394.23066461732</v>
          </cell>
          <cell r="I28">
            <v>101350.15716091324</v>
          </cell>
          <cell r="J28">
            <v>173565.34305404359</v>
          </cell>
          <cell r="K28">
            <v>238098.0862599331</v>
          </cell>
        </row>
        <row r="29">
          <cell r="B29">
            <v>17904850.038790468</v>
          </cell>
          <cell r="C29">
            <v>2441069.7328169961</v>
          </cell>
          <cell r="D29">
            <v>3337927.5764911803</v>
          </cell>
          <cell r="E29">
            <v>521694.40673046734</v>
          </cell>
          <cell r="F29">
            <v>850120.48433626257</v>
          </cell>
          <cell r="G29">
            <v>-41715.836778614008</v>
          </cell>
          <cell r="H29">
            <v>465160.69830709719</v>
          </cell>
          <cell r="I29">
            <v>98752.994590804956</v>
          </cell>
          <cell r="J29">
            <v>981492.4268354727</v>
          </cell>
          <cell r="K29">
            <v>231996.67058411022</v>
          </cell>
        </row>
        <row r="30">
          <cell r="B30">
            <v>286562276.39871764</v>
          </cell>
          <cell r="C30">
            <v>39068660.054038778</v>
          </cell>
          <cell r="D30">
            <v>5834660.9230741374</v>
          </cell>
          <cell r="E30">
            <v>8349577.7095746221</v>
          </cell>
          <cell r="F30">
            <v>13605948.14683165</v>
          </cell>
          <cell r="G30">
            <v>-667650.67136884679</v>
          </cell>
          <cell r="H30">
            <v>7444771.0150776329</v>
          </cell>
          <cell r="I30">
            <v>1580514.9370043539</v>
          </cell>
          <cell r="J30">
            <v>7878941.2883046353</v>
          </cell>
          <cell r="K30">
            <v>3713043.8900898541</v>
          </cell>
        </row>
        <row r="31">
          <cell r="B31">
            <v>7378860.9326826427</v>
          </cell>
          <cell r="C31">
            <v>1006001.9517848014</v>
          </cell>
          <cell r="D31">
            <v>2321193.6320020752</v>
          </cell>
          <cell r="E31">
            <v>214998.19704061263</v>
          </cell>
          <cell r="F31">
            <v>350347.57712865213</v>
          </cell>
          <cell r="G31">
            <v>-17191.730598860388</v>
          </cell>
          <cell r="H31">
            <v>191699.79624076671</v>
          </cell>
          <cell r="I31">
            <v>40697.610546462645</v>
          </cell>
          <cell r="J31">
            <v>48648.558178123982</v>
          </cell>
          <cell r="K31">
            <v>95609.355307461592</v>
          </cell>
        </row>
        <row r="32">
          <cell r="B32">
            <v>12701568.115879536</v>
          </cell>
          <cell r="C32">
            <v>1731676.803760678</v>
          </cell>
          <cell r="D32">
            <v>1465295.0746126198</v>
          </cell>
          <cell r="E32">
            <v>370086.15142850002</v>
          </cell>
          <cell r="F32">
            <v>603069.1804236396</v>
          </cell>
          <cell r="G32">
            <v>-29592.905900164253</v>
          </cell>
          <cell r="H32">
            <v>329981.55704055307</v>
          </cell>
          <cell r="I32">
            <v>70054.643558853611</v>
          </cell>
          <cell r="J32">
            <v>216068.2488300367</v>
          </cell>
          <cell r="K32">
            <v>164576.72126252574</v>
          </cell>
        </row>
        <row r="33">
          <cell r="B33">
            <v>7289733.0888737123</v>
          </cell>
          <cell r="C33">
            <v>993850.64745095524</v>
          </cell>
          <cell r="D33">
            <v>3410794.3069982305</v>
          </cell>
          <cell r="E33">
            <v>212401.27511731646</v>
          </cell>
          <cell r="F33">
            <v>346115.79604237992</v>
          </cell>
          <cell r="G33">
            <v>-16984.074987296586</v>
          </cell>
          <cell r="H33">
            <v>189384.29122536874</v>
          </cell>
          <cell r="I33">
            <v>40206.031926229312</v>
          </cell>
          <cell r="J33">
            <v>60945.858223563329</v>
          </cell>
          <cell r="K33">
            <v>94454.508270194288</v>
          </cell>
        </row>
        <row r="34">
          <cell r="B34">
            <v>10168372.842209095</v>
          </cell>
          <cell r="C34">
            <v>1386311.9279602601</v>
          </cell>
          <cell r="D34">
            <v>2836729.820063171</v>
          </cell>
          <cell r="E34">
            <v>296276.32880687475</v>
          </cell>
          <cell r="F34">
            <v>482793.3228596003</v>
          </cell>
          <cell r="G34">
            <v>-23690.909494952739</v>
          </cell>
          <cell r="H34">
            <v>264170.17744810041</v>
          </cell>
          <cell r="I34">
            <v>56082.975624396626</v>
          </cell>
          <cell r="J34">
            <v>119083.12854462609</v>
          </cell>
          <cell r="K34">
            <v>131753.61086742484</v>
          </cell>
        </row>
        <row r="35">
          <cell r="B35">
            <v>9570845.2303871941</v>
          </cell>
          <cell r="C35">
            <v>1304847.6004411341</v>
          </cell>
          <cell r="D35">
            <v>1463123.9155649692</v>
          </cell>
          <cell r="E35">
            <v>278866.14037864725</v>
          </cell>
          <cell r="F35">
            <v>454422.77177060395</v>
          </cell>
          <cell r="G35">
            <v>-22298.752382691258</v>
          </cell>
          <cell r="H35">
            <v>248646.65390164888</v>
          </cell>
          <cell r="I35">
            <v>52787.352321757062</v>
          </cell>
          <cell r="J35">
            <v>93401.495822504512</v>
          </cell>
          <cell r="K35">
            <v>124011.32784218705</v>
          </cell>
        </row>
        <row r="36">
          <cell r="B36">
            <v>88907558.352945805</v>
          </cell>
          <cell r="C36">
            <v>12121271.568532946</v>
          </cell>
          <cell r="D36">
            <v>0</v>
          </cell>
          <cell r="E36">
            <v>2590503.4562315587</v>
          </cell>
          <cell r="F36">
            <v>4221321.9549124269</v>
          </cell>
          <cell r="G36">
            <v>-207142.37676391806</v>
          </cell>
          <cell r="H36">
            <v>2309782.0891343816</v>
          </cell>
          <cell r="I36">
            <v>490363.65063592815</v>
          </cell>
          <cell r="J36">
            <v>4583588.440497335</v>
          </cell>
          <cell r="K36">
            <v>1151992.755200942</v>
          </cell>
        </row>
        <row r="37">
          <cell r="B37">
            <v>17326066.080589347</v>
          </cell>
          <cell r="C37">
            <v>2362160.8338793414</v>
          </cell>
          <cell r="D37">
            <v>2375818.9119819338</v>
          </cell>
          <cell r="E37">
            <v>504830.35296600231</v>
          </cell>
          <cell r="F37">
            <v>822639.88004155969</v>
          </cell>
          <cell r="G37">
            <v>-40367.349800052914</v>
          </cell>
          <cell r="H37">
            <v>450124.12723375653</v>
          </cell>
          <cell r="I37">
            <v>95560.750647423614</v>
          </cell>
          <cell r="J37">
            <v>149116.12817370653</v>
          </cell>
          <cell r="K37">
            <v>224497.25277277714</v>
          </cell>
        </row>
        <row r="38">
          <cell r="B38">
            <v>63524415.76927577</v>
          </cell>
          <cell r="C38">
            <v>8660643.8084268421</v>
          </cell>
          <cell r="D38">
            <v>1817864.356718288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1164073.504837848</v>
          </cell>
          <cell r="K38">
            <v>823098.37431446533</v>
          </cell>
        </row>
        <row r="39">
          <cell r="B39">
            <v>13553966.472479464</v>
          </cell>
          <cell r="C39">
            <v>1847889.1051254538</v>
          </cell>
          <cell r="D39">
            <v>5934188.7402766626</v>
          </cell>
          <cell r="E39">
            <v>394922.52000913658</v>
          </cell>
          <cell r="F39">
            <v>643540.96891615679</v>
          </cell>
          <cell r="G39">
            <v>-31578.876776057918</v>
          </cell>
          <cell r="H39">
            <v>352126.51854164532</v>
          </cell>
          <cell r="I39">
            <v>74755.989290102763</v>
          </cell>
          <cell r="J39">
            <v>141816.18374423031</v>
          </cell>
          <cell r="K39">
            <v>175621.41475697677</v>
          </cell>
        </row>
        <row r="40">
          <cell r="B40">
            <v>13028117.56827944</v>
          </cell>
          <cell r="C40">
            <v>1776197.1422608278</v>
          </cell>
          <cell r="D40">
            <v>2433519.441032805</v>
          </cell>
          <cell r="E40">
            <v>379600.83725210914</v>
          </cell>
          <cell r="F40">
            <v>618573.71567707765</v>
          </cell>
          <cell r="G40">
            <v>-30353.721189147283</v>
          </cell>
          <cell r="H40">
            <v>338465.17857220821</v>
          </cell>
          <cell r="I40">
            <v>71855.70507216503</v>
          </cell>
          <cell r="J40">
            <v>95929.500001521083</v>
          </cell>
          <cell r="K40">
            <v>168807.88687260979</v>
          </cell>
        </row>
        <row r="41">
          <cell r="B41">
            <v>13679365.325356225</v>
          </cell>
          <cell r="C41">
            <v>1864985.4417953647</v>
          </cell>
          <cell r="D41">
            <v>453530.86858229403</v>
          </cell>
          <cell r="E41">
            <v>398576.27192632615</v>
          </cell>
          <cell r="F41">
            <v>649494.89387569833</v>
          </cell>
          <cell r="G41">
            <v>-31871.038847647415</v>
          </cell>
          <cell r="H41">
            <v>355384.32957299659</v>
          </cell>
          <cell r="I41">
            <v>75447.618218186675</v>
          </cell>
          <cell r="J41">
            <v>154196.30670661019</v>
          </cell>
          <cell r="K41">
            <v>177246.23240691226</v>
          </cell>
        </row>
        <row r="42">
          <cell r="B42">
            <v>19267979.053849619</v>
          </cell>
          <cell r="C42">
            <v>2626912.8408785881</v>
          </cell>
          <cell r="D42">
            <v>4679432.4541276302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162409.77489593736</v>
          </cell>
          <cell r="K42">
            <v>249659.00187340839</v>
          </cell>
        </row>
        <row r="43">
          <cell r="B43">
            <v>45204458.141799718</v>
          </cell>
          <cell r="C43">
            <v>6162980.1042329436</v>
          </cell>
          <cell r="D43">
            <v>2752040.0967826825</v>
          </cell>
          <cell r="E43">
            <v>1317124.294298281</v>
          </cell>
          <cell r="F43">
            <v>2146303.1394515438</v>
          </cell>
          <cell r="G43">
            <v>-105320.16707336769</v>
          </cell>
          <cell r="H43">
            <v>1174393.3777874841</v>
          </cell>
          <cell r="I43">
            <v>249322.14459691613</v>
          </cell>
          <cell r="J43">
            <v>880820.49114304408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16155927.639278878</v>
          </cell>
          <cell r="K44">
            <v>12121662.37766212</v>
          </cell>
        </row>
        <row r="45">
          <cell r="B45">
            <v>4831566.940356194</v>
          </cell>
          <cell r="C45">
            <v>658714.91772513406</v>
          </cell>
          <cell r="D45">
            <v>1838516.4120863019</v>
          </cell>
          <cell r="E45">
            <v>140777.57943053616</v>
          </cell>
          <cell r="F45">
            <v>229402.31381665074</v>
          </cell>
          <cell r="G45">
            <v>-11256.886119246272</v>
          </cell>
          <cell r="H45">
            <v>125522.1376903191</v>
          </cell>
          <cell r="I45">
            <v>26648.18207873352</v>
          </cell>
          <cell r="J45">
            <v>31947.739148656397</v>
          </cell>
          <cell r="K45">
            <v>62603.56503620369</v>
          </cell>
        </row>
        <row r="46">
          <cell r="B46">
            <v>20342004.441485729</v>
          </cell>
          <cell r="C46">
            <v>2773340.8120906078</v>
          </cell>
          <cell r="D46">
            <v>1965923.0520503088</v>
          </cell>
          <cell r="E46">
            <v>592705.88225079176</v>
          </cell>
          <cell r="F46">
            <v>965836.33097741706</v>
          </cell>
          <cell r="G46">
            <v>-47394.071170237206</v>
          </cell>
          <cell r="H46">
            <v>528476.97525908926</v>
          </cell>
          <cell r="I46">
            <v>112194.95556924943</v>
          </cell>
          <cell r="J46">
            <v>1323300.765873713</v>
          </cell>
          <cell r="K46">
            <v>263575.36048655305</v>
          </cell>
        </row>
        <row r="47">
          <cell r="B47">
            <v>10247606.604376556</v>
          </cell>
          <cell r="C47">
            <v>1397114.316040874</v>
          </cell>
          <cell r="D47">
            <v>2434605.8450219934</v>
          </cell>
          <cell r="E47">
            <v>298584.96643619996</v>
          </cell>
          <cell r="F47">
            <v>486555.33394171804</v>
          </cell>
          <cell r="G47">
            <v>-23875.513257775237</v>
          </cell>
          <cell r="H47">
            <v>266228.63825952669</v>
          </cell>
          <cell r="I47">
            <v>56519.984103651157</v>
          </cell>
          <cell r="J47">
            <v>90600.694609845843</v>
          </cell>
          <cell r="K47">
            <v>132780.25833896914</v>
          </cell>
        </row>
        <row r="48">
          <cell r="B48">
            <v>11483205.008738784</v>
          </cell>
          <cell r="C48">
            <v>1565570.4528010879</v>
          </cell>
          <cell r="D48">
            <v>2255068.4045582078</v>
          </cell>
          <cell r="E48">
            <v>334586.65174070362</v>
          </cell>
          <cell r="F48">
            <v>545221.42227453541</v>
          </cell>
          <cell r="G48">
            <v>-26754.287514394066</v>
          </cell>
          <cell r="H48">
            <v>298328.98064469505</v>
          </cell>
          <cell r="I48">
            <v>63334.843891811281</v>
          </cell>
          <cell r="J48">
            <v>96389.607308665931</v>
          </cell>
          <cell r="K48">
            <v>148790.15037213583</v>
          </cell>
        </row>
        <row r="49">
          <cell r="B49">
            <v>33038981.374004848</v>
          </cell>
          <cell r="C49">
            <v>4504391.6737900767</v>
          </cell>
          <cell r="D49">
            <v>3792060.9025159464</v>
          </cell>
          <cell r="E49">
            <v>962658.26016685169</v>
          </cell>
          <cell r="F49">
            <v>1568687.5224755101</v>
          </cell>
          <cell r="G49">
            <v>-76976.280244945301</v>
          </cell>
          <cell r="H49">
            <v>858339.25522927544</v>
          </cell>
          <cell r="I49">
            <v>182224.27676547089</v>
          </cell>
          <cell r="J49">
            <v>471549.49395842268</v>
          </cell>
          <cell r="K49">
            <v>428092.59288146195</v>
          </cell>
        </row>
        <row r="50">
          <cell r="B50">
            <v>28431775.587601423</v>
          </cell>
          <cell r="C50">
            <v>3876265.1843928797</v>
          </cell>
          <cell r="D50">
            <v>1232240.895461505</v>
          </cell>
          <cell r="E50">
            <v>828417.90159274102</v>
          </cell>
          <cell r="F50">
            <v>1349937.8537495106</v>
          </cell>
          <cell r="G50">
            <v>-66242.124741005944</v>
          </cell>
          <cell r="H50">
            <v>738645.92877275904</v>
          </cell>
          <cell r="I50">
            <v>156813.54352181187</v>
          </cell>
          <cell r="J50">
            <v>853855.75714028417</v>
          </cell>
          <cell r="K50">
            <v>368396.11953341443</v>
          </cell>
        </row>
        <row r="51">
          <cell r="B51">
            <v>257266349.1684038</v>
          </cell>
          <cell r="C51">
            <v>35074580.176139988</v>
          </cell>
          <cell r="D51">
            <v>7258621.4520735554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5534567.9878343083</v>
          </cell>
          <cell r="K51">
            <v>3333450.7874175282</v>
          </cell>
        </row>
        <row r="52">
          <cell r="B52">
            <v>497104151.42901349</v>
          </cell>
          <cell r="C52">
            <v>67773027.726124153</v>
          </cell>
          <cell r="D52">
            <v>13206231.710513216</v>
          </cell>
          <cell r="E52">
            <v>14484145.625412377</v>
          </cell>
          <cell r="F52">
            <v>23602455.260046829</v>
          </cell>
          <cell r="G52">
            <v>-1158184.2683997711</v>
          </cell>
          <cell r="H52">
            <v>12914563.021143151</v>
          </cell>
          <cell r="I52">
            <v>2741744.4698382006</v>
          </cell>
          <cell r="J52">
            <v>4335005.8061557328</v>
          </cell>
          <cell r="K52">
            <v>6441076.4577875892</v>
          </cell>
        </row>
        <row r="53">
          <cell r="B53">
            <v>133952081.5458426</v>
          </cell>
          <cell r="C53">
            <v>18262446.834292471</v>
          </cell>
          <cell r="D53">
            <v>3913433.8384314817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3658768.5234262757</v>
          </cell>
          <cell r="K53">
            <v>1735643.519444189</v>
          </cell>
        </row>
        <row r="54">
          <cell r="B54">
            <v>42696803.434087083</v>
          </cell>
          <cell r="C54">
            <v>5821097.3186138757</v>
          </cell>
          <cell r="D54">
            <v>4888710.6477740565</v>
          </cell>
          <cell r="E54">
            <v>1244058.6482755132</v>
          </cell>
          <cell r="F54">
            <v>2027239.9453979633</v>
          </cell>
          <cell r="G54">
            <v>-99477.676672307061</v>
          </cell>
          <cell r="H54">
            <v>1109245.5316773199</v>
          </cell>
          <cell r="I54">
            <v>235491.3439339757</v>
          </cell>
          <cell r="J54">
            <v>788450.26934569248</v>
          </cell>
          <cell r="K54">
            <v>553230.89664712746</v>
          </cell>
        </row>
        <row r="55">
          <cell r="B55">
            <v>8578896.2209361177</v>
          </cell>
          <cell r="C55">
            <v>1169609.5672700726</v>
          </cell>
          <cell r="D55">
            <v>2772605.855605064</v>
          </cell>
          <cell r="E55">
            <v>249963.67825965074</v>
          </cell>
          <cell r="F55">
            <v>407325.13227490941</v>
          </cell>
          <cell r="G55">
            <v>-19987.647688637964</v>
          </cell>
          <cell r="H55">
            <v>222876.22338021759</v>
          </cell>
          <cell r="I55">
            <v>47316.32436271508</v>
          </cell>
          <cell r="J55">
            <v>55450.501551828995</v>
          </cell>
          <cell r="K55">
            <v>111158.44903654016</v>
          </cell>
        </row>
        <row r="56">
          <cell r="B56">
            <v>11819240.387481416</v>
          </cell>
          <cell r="C56">
            <v>1611384.0614282032</v>
          </cell>
          <cell r="D56">
            <v>3047060.9515484478</v>
          </cell>
          <cell r="E56">
            <v>344377.72941930941</v>
          </cell>
          <cell r="F56">
            <v>561176.34835947375</v>
          </cell>
          <cell r="G56">
            <v>-27537.203706436878</v>
          </cell>
          <cell r="H56">
            <v>307059.04267219984</v>
          </cell>
          <cell r="I56">
            <v>65188.224393038421</v>
          </cell>
          <cell r="J56">
            <v>64654.143929499958</v>
          </cell>
          <cell r="K56">
            <v>153144.22699929911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20" zoomScaleNormal="120" zoomScaleSheetLayoutView="100" workbookViewId="0">
      <selection activeCell="F4" sqref="F4"/>
    </sheetView>
  </sheetViews>
  <sheetFormatPr baseColWidth="10" defaultColWidth="11.42578125" defaultRowHeight="12.75"/>
  <cols>
    <col min="1" max="1" width="50.5703125" style="11" customWidth="1"/>
    <col min="2" max="2" width="14.28515625" style="11" customWidth="1"/>
    <col min="3" max="3" width="14.85546875" style="11" customWidth="1"/>
    <col min="4" max="5" width="17.28515625" style="11" customWidth="1"/>
    <col min="6" max="6" width="13.5703125" style="11" customWidth="1"/>
    <col min="7" max="7" width="13.42578125" style="11" customWidth="1"/>
    <col min="8" max="8" width="13" style="11" customWidth="1"/>
    <col min="9" max="16384" width="11.42578125" style="11"/>
  </cols>
  <sheetData>
    <row r="1" spans="1:8" ht="27.75" customHeight="1">
      <c r="A1" s="403" t="s">
        <v>352</v>
      </c>
      <c r="B1" s="403"/>
      <c r="C1" s="403"/>
      <c r="D1" s="403"/>
      <c r="E1" s="403"/>
    </row>
    <row r="2" spans="1:8" ht="13.5" thickBot="1"/>
    <row r="3" spans="1:8" ht="49.5" customHeight="1" thickBot="1">
      <c r="A3" s="327" t="s">
        <v>119</v>
      </c>
      <c r="B3" s="327" t="s">
        <v>179</v>
      </c>
      <c r="C3" s="327" t="s">
        <v>120</v>
      </c>
      <c r="D3" s="327" t="s">
        <v>121</v>
      </c>
      <c r="E3" s="327" t="s">
        <v>138</v>
      </c>
      <c r="F3" s="327" t="s">
        <v>120</v>
      </c>
      <c r="G3" s="327" t="s">
        <v>121</v>
      </c>
      <c r="H3" s="327" t="s">
        <v>349</v>
      </c>
    </row>
    <row r="4" spans="1:8" ht="25.5" customHeight="1" thickBot="1">
      <c r="A4" s="328" t="s">
        <v>122</v>
      </c>
      <c r="B4" s="329">
        <v>2453504010.0843134</v>
      </c>
      <c r="C4" s="330">
        <f t="shared" ref="C4:C12" si="0">SUM(B4:B4)</f>
        <v>2453504010.0843134</v>
      </c>
      <c r="D4" s="331">
        <v>20</v>
      </c>
      <c r="E4" s="332">
        <f t="shared" ref="E4:E12" si="1">+D4/100*C4</f>
        <v>490700802.01686269</v>
      </c>
      <c r="F4" s="330">
        <v>-13897897.5</v>
      </c>
      <c r="G4" s="331">
        <v>20</v>
      </c>
      <c r="H4" s="332">
        <f t="shared" ref="H4:H12" si="2">+G4/100*F4</f>
        <v>-2779579.5</v>
      </c>
    </row>
    <row r="5" spans="1:8" ht="25.5" customHeight="1" thickBot="1">
      <c r="A5" s="328" t="s">
        <v>151</v>
      </c>
      <c r="B5" s="329">
        <v>64528294.793633811</v>
      </c>
      <c r="C5" s="330">
        <f t="shared" si="0"/>
        <v>64528294.793633811</v>
      </c>
      <c r="D5" s="331">
        <v>100</v>
      </c>
      <c r="E5" s="332">
        <f t="shared" si="1"/>
        <v>64528294.793633811</v>
      </c>
      <c r="F5" s="330">
        <v>0</v>
      </c>
      <c r="G5" s="331">
        <v>100</v>
      </c>
      <c r="H5" s="332">
        <f t="shared" si="2"/>
        <v>0</v>
      </c>
    </row>
    <row r="6" spans="1:8" ht="25.5" customHeight="1" thickBot="1">
      <c r="A6" s="328" t="s">
        <v>150</v>
      </c>
      <c r="B6" s="329">
        <v>15383386.399389112</v>
      </c>
      <c r="C6" s="330">
        <f t="shared" si="0"/>
        <v>15383386.399389112</v>
      </c>
      <c r="D6" s="331">
        <v>100</v>
      </c>
      <c r="E6" s="332">
        <f t="shared" si="1"/>
        <v>15383386.399389112</v>
      </c>
      <c r="F6" s="330">
        <v>0</v>
      </c>
      <c r="G6" s="331">
        <v>100</v>
      </c>
      <c r="H6" s="332">
        <f t="shared" si="2"/>
        <v>0</v>
      </c>
    </row>
    <row r="7" spans="1:8" ht="25.5" customHeight="1" thickBot="1">
      <c r="A7" s="328" t="s">
        <v>123</v>
      </c>
      <c r="B7" s="329">
        <v>96810227.166622013</v>
      </c>
      <c r="C7" s="330">
        <f t="shared" si="0"/>
        <v>96810227.166622013</v>
      </c>
      <c r="D7" s="331">
        <v>20</v>
      </c>
      <c r="E7" s="332">
        <f t="shared" si="1"/>
        <v>19362045.433324404</v>
      </c>
      <c r="F7" s="330">
        <v>0</v>
      </c>
      <c r="G7" s="331">
        <v>20</v>
      </c>
      <c r="H7" s="332">
        <f t="shared" si="2"/>
        <v>0</v>
      </c>
    </row>
    <row r="8" spans="1:8" ht="25.5" customHeight="1" thickBot="1">
      <c r="A8" s="328" t="s">
        <v>137</v>
      </c>
      <c r="B8" s="329">
        <v>75298111</v>
      </c>
      <c r="C8" s="330">
        <f t="shared" si="0"/>
        <v>75298111</v>
      </c>
      <c r="D8" s="331">
        <v>20</v>
      </c>
      <c r="E8" s="332">
        <f t="shared" si="1"/>
        <v>15059622.200000001</v>
      </c>
      <c r="F8" s="330">
        <v>0</v>
      </c>
      <c r="G8" s="331">
        <v>20</v>
      </c>
      <c r="H8" s="332">
        <f t="shared" si="2"/>
        <v>0</v>
      </c>
    </row>
    <row r="9" spans="1:8" ht="25.5" customHeight="1" thickBot="1">
      <c r="A9" s="328" t="s">
        <v>143</v>
      </c>
      <c r="B9" s="329">
        <v>72739543</v>
      </c>
      <c r="C9" s="330">
        <f t="shared" si="0"/>
        <v>72739543</v>
      </c>
      <c r="D9" s="331">
        <v>20</v>
      </c>
      <c r="E9" s="332">
        <f t="shared" si="1"/>
        <v>14547908.600000001</v>
      </c>
      <c r="F9" s="330">
        <v>0</v>
      </c>
      <c r="G9" s="331">
        <v>20</v>
      </c>
      <c r="H9" s="332">
        <f t="shared" si="2"/>
        <v>0</v>
      </c>
    </row>
    <row r="10" spans="1:8" ht="25.5" customHeight="1" thickBot="1">
      <c r="A10" s="328" t="s">
        <v>142</v>
      </c>
      <c r="B10" s="329">
        <v>16345374</v>
      </c>
      <c r="C10" s="330">
        <f t="shared" si="0"/>
        <v>16345374</v>
      </c>
      <c r="D10" s="331">
        <v>20</v>
      </c>
      <c r="E10" s="332">
        <f t="shared" si="1"/>
        <v>3269074.8000000003</v>
      </c>
      <c r="F10" s="330">
        <v>0</v>
      </c>
      <c r="G10" s="331">
        <v>20</v>
      </c>
      <c r="H10" s="332">
        <f t="shared" si="2"/>
        <v>0</v>
      </c>
    </row>
    <row r="11" spans="1:8" ht="25.5" customHeight="1" thickBot="1">
      <c r="A11" s="328" t="s">
        <v>136</v>
      </c>
      <c r="B11" s="329">
        <v>72029267</v>
      </c>
      <c r="C11" s="330">
        <f t="shared" si="0"/>
        <v>72029267</v>
      </c>
      <c r="D11" s="331">
        <v>20</v>
      </c>
      <c r="E11" s="332">
        <f t="shared" si="1"/>
        <v>14405853.4</v>
      </c>
      <c r="F11" s="330">
        <v>0</v>
      </c>
      <c r="G11" s="331">
        <v>20</v>
      </c>
      <c r="H11" s="332">
        <f t="shared" si="2"/>
        <v>0</v>
      </c>
    </row>
    <row r="12" spans="1:8" ht="25.5" customHeight="1" thickBot="1">
      <c r="A12" s="328" t="s">
        <v>248</v>
      </c>
      <c r="B12" s="329">
        <v>51469783</v>
      </c>
      <c r="C12" s="330">
        <f t="shared" si="0"/>
        <v>51469783</v>
      </c>
      <c r="D12" s="331">
        <v>20</v>
      </c>
      <c r="E12" s="332">
        <f t="shared" si="1"/>
        <v>10293956.600000001</v>
      </c>
      <c r="F12" s="330">
        <v>0</v>
      </c>
      <c r="G12" s="331">
        <v>20</v>
      </c>
      <c r="H12" s="332">
        <f t="shared" si="2"/>
        <v>0</v>
      </c>
    </row>
    <row r="13" spans="1:8" ht="25.5" customHeight="1" thickBot="1">
      <c r="A13" s="333" t="s">
        <v>53</v>
      </c>
      <c r="B13" s="334">
        <f>SUM(B4:B12)</f>
        <v>2918107996.4439588</v>
      </c>
      <c r="C13" s="334">
        <f>SUM(C4:C12)</f>
        <v>2918107996.4439588</v>
      </c>
      <c r="D13" s="333"/>
      <c r="E13" s="335">
        <f>SUM(E4:E12)</f>
        <v>647550944.24321008</v>
      </c>
      <c r="F13" s="400">
        <f>SUM(F4:F12)</f>
        <v>-13897897.5</v>
      </c>
      <c r="G13" s="401"/>
      <c r="H13" s="401">
        <f>SUM(H4:H12)</f>
        <v>-2779579.5</v>
      </c>
    </row>
    <row r="14" spans="1:8">
      <c r="A14" s="12"/>
      <c r="B14" s="12"/>
      <c r="C14" s="13"/>
      <c r="D14" s="14"/>
      <c r="E14" s="13"/>
    </row>
    <row r="15" spans="1:8">
      <c r="A15" s="15" t="s">
        <v>124</v>
      </c>
      <c r="B15" s="15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topLeftCell="A19" zoomScale="124" zoomScaleNormal="124" workbookViewId="0">
      <selection activeCell="B7" sqref="B7:C57"/>
    </sheetView>
  </sheetViews>
  <sheetFormatPr baseColWidth="10" defaultColWidth="13" defaultRowHeight="12.75"/>
  <cols>
    <col min="1" max="1" width="31.7109375" style="236" customWidth="1"/>
    <col min="2" max="2" width="11.42578125" style="236" customWidth="1"/>
    <col min="3" max="3" width="14.42578125" style="236" customWidth="1"/>
    <col min="4" max="4" width="21" style="236" customWidth="1"/>
    <col min="5" max="16384" width="13" style="236"/>
  </cols>
  <sheetData>
    <row r="1" spans="1:41">
      <c r="A1" s="437" t="s">
        <v>125</v>
      </c>
      <c r="B1" s="437"/>
      <c r="C1" s="437"/>
      <c r="D1" s="437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</row>
    <row r="2" spans="1:41">
      <c r="A2" s="437" t="s">
        <v>311</v>
      </c>
      <c r="B2" s="437"/>
      <c r="C2" s="437"/>
      <c r="D2" s="437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</row>
    <row r="3" spans="1:41">
      <c r="A3" s="437" t="s">
        <v>353</v>
      </c>
      <c r="B3" s="437"/>
      <c r="C3" s="437"/>
      <c r="D3" s="437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</row>
    <row r="4" spans="1:41">
      <c r="A4" s="437" t="s">
        <v>312</v>
      </c>
      <c r="B4" s="437"/>
      <c r="C4" s="437"/>
      <c r="D4" s="437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</row>
    <row r="5" spans="1:41" ht="13.5" customHeight="1" thickBot="1">
      <c r="A5" s="237"/>
      <c r="B5" s="237"/>
      <c r="C5" s="237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</row>
    <row r="6" spans="1:41" ht="33" thickTop="1" thickBot="1">
      <c r="A6" s="238" t="s">
        <v>0</v>
      </c>
      <c r="B6" s="347" t="s">
        <v>313</v>
      </c>
      <c r="C6" s="239" t="s">
        <v>314</v>
      </c>
      <c r="D6" s="239" t="s">
        <v>53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</row>
    <row r="7" spans="1:41" ht="16.5" thickTop="1">
      <c r="A7" s="240" t="s">
        <v>1</v>
      </c>
      <c r="B7" s="241"/>
      <c r="C7" s="241"/>
      <c r="D7" s="242">
        <f>SUM(B7:C7)</f>
        <v>0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</row>
    <row r="8" spans="1:41" ht="15.75">
      <c r="A8" s="243" t="s">
        <v>2</v>
      </c>
      <c r="B8" s="314"/>
      <c r="C8" s="314"/>
      <c r="D8" s="242">
        <f t="shared" ref="D8:D57" si="0">SUM(B8:C8)</f>
        <v>0</v>
      </c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</row>
    <row r="9" spans="1:41" ht="15.75">
      <c r="A9" s="243" t="s">
        <v>3</v>
      </c>
      <c r="B9" s="314"/>
      <c r="C9" s="314"/>
      <c r="D9" s="242">
        <f t="shared" si="0"/>
        <v>0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</row>
    <row r="10" spans="1:41" ht="15.75">
      <c r="A10" s="243" t="s">
        <v>4</v>
      </c>
      <c r="B10" s="314">
        <v>739833</v>
      </c>
      <c r="C10" s="314"/>
      <c r="D10" s="242">
        <f t="shared" si="0"/>
        <v>739833</v>
      </c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</row>
    <row r="11" spans="1:41" ht="15.75">
      <c r="A11" s="243" t="s">
        <v>5</v>
      </c>
      <c r="B11" s="314">
        <v>13424</v>
      </c>
      <c r="C11" s="314"/>
      <c r="D11" s="242">
        <f t="shared" si="0"/>
        <v>13424</v>
      </c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</row>
    <row r="12" spans="1:41" ht="15.75">
      <c r="A12" s="243" t="s">
        <v>6</v>
      </c>
      <c r="B12" s="314"/>
      <c r="C12" s="314"/>
      <c r="D12" s="242">
        <f t="shared" si="0"/>
        <v>0</v>
      </c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</row>
    <row r="13" spans="1:41" ht="15.75">
      <c r="A13" s="243" t="s">
        <v>7</v>
      </c>
      <c r="B13" s="314"/>
      <c r="C13" s="314"/>
      <c r="D13" s="242">
        <f t="shared" si="0"/>
        <v>0</v>
      </c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</row>
    <row r="14" spans="1:41" ht="15.75">
      <c r="A14" s="243" t="s">
        <v>8</v>
      </c>
      <c r="B14" s="314"/>
      <c r="C14" s="314"/>
      <c r="D14" s="242">
        <f t="shared" si="0"/>
        <v>0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</row>
    <row r="15" spans="1:41" ht="15.75">
      <c r="A15" s="243" t="s">
        <v>9</v>
      </c>
      <c r="B15" s="314"/>
      <c r="C15" s="314"/>
      <c r="D15" s="242">
        <f t="shared" si="0"/>
        <v>0</v>
      </c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</row>
    <row r="16" spans="1:41" ht="15.75">
      <c r="A16" s="243" t="s">
        <v>10</v>
      </c>
      <c r="B16" s="314">
        <v>351166</v>
      </c>
      <c r="C16" s="314"/>
      <c r="D16" s="242">
        <f t="shared" si="0"/>
        <v>351166</v>
      </c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</row>
    <row r="17" spans="1:41" ht="15.75">
      <c r="A17" s="243" t="s">
        <v>11</v>
      </c>
      <c r="B17" s="314"/>
      <c r="C17" s="314"/>
      <c r="D17" s="242">
        <f t="shared" si="0"/>
        <v>0</v>
      </c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</row>
    <row r="18" spans="1:41" ht="15.75">
      <c r="A18" s="243" t="s">
        <v>12</v>
      </c>
      <c r="B18" s="314"/>
      <c r="C18" s="314"/>
      <c r="D18" s="242">
        <f t="shared" si="0"/>
        <v>0</v>
      </c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</row>
    <row r="19" spans="1:41" ht="15.75">
      <c r="A19" s="243" t="s">
        <v>13</v>
      </c>
      <c r="B19" s="314"/>
      <c r="C19" s="314"/>
      <c r="D19" s="242">
        <f t="shared" si="0"/>
        <v>0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</row>
    <row r="20" spans="1:41" ht="15.75">
      <c r="A20" s="243" t="s">
        <v>14</v>
      </c>
      <c r="B20" s="314"/>
      <c r="C20" s="314"/>
      <c r="D20" s="242">
        <f t="shared" si="0"/>
        <v>0</v>
      </c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</row>
    <row r="21" spans="1:41" ht="15.75">
      <c r="A21" s="243" t="s">
        <v>15</v>
      </c>
      <c r="B21" s="314"/>
      <c r="C21" s="314"/>
      <c r="D21" s="242">
        <f t="shared" si="0"/>
        <v>0</v>
      </c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</row>
    <row r="22" spans="1:41" ht="15.75">
      <c r="A22" s="243" t="s">
        <v>16</v>
      </c>
      <c r="B22" s="314">
        <v>134116</v>
      </c>
      <c r="C22" s="314"/>
      <c r="D22" s="242">
        <f t="shared" si="0"/>
        <v>134116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</row>
    <row r="23" spans="1:41" ht="15.75">
      <c r="A23" s="243" t="s">
        <v>17</v>
      </c>
      <c r="B23" s="314">
        <v>1010598</v>
      </c>
      <c r="C23" s="314"/>
      <c r="D23" s="242">
        <f t="shared" si="0"/>
        <v>1010598</v>
      </c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</row>
    <row r="24" spans="1:41" ht="15.75">
      <c r="A24" s="243" t="s">
        <v>18</v>
      </c>
      <c r="B24" s="314"/>
      <c r="C24" s="314"/>
      <c r="D24" s="242">
        <f t="shared" si="0"/>
        <v>0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</row>
    <row r="25" spans="1:41" ht="15.75">
      <c r="A25" s="243" t="s">
        <v>19</v>
      </c>
      <c r="B25" s="314"/>
      <c r="C25" s="314"/>
      <c r="D25" s="242">
        <f t="shared" si="0"/>
        <v>0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</row>
    <row r="26" spans="1:41" ht="15.75">
      <c r="A26" s="243" t="s">
        <v>20</v>
      </c>
      <c r="B26" s="314">
        <v>2956638</v>
      </c>
      <c r="C26" s="314"/>
      <c r="D26" s="242">
        <f t="shared" si="0"/>
        <v>2956638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</row>
    <row r="27" spans="1:41" ht="15.75">
      <c r="A27" s="243" t="s">
        <v>21</v>
      </c>
      <c r="B27" s="314">
        <v>340054</v>
      </c>
      <c r="C27" s="314"/>
      <c r="D27" s="242">
        <f t="shared" si="0"/>
        <v>340054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</row>
    <row r="28" spans="1:41" ht="15.75">
      <c r="A28" s="243" t="s">
        <v>22</v>
      </c>
      <c r="B28" s="314"/>
      <c r="C28" s="314"/>
      <c r="D28" s="242">
        <f t="shared" si="0"/>
        <v>0</v>
      </c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</row>
    <row r="29" spans="1:41" ht="15.75">
      <c r="A29" s="243" t="s">
        <v>23</v>
      </c>
      <c r="B29" s="314"/>
      <c r="C29" s="314"/>
      <c r="D29" s="242">
        <f t="shared" si="0"/>
        <v>0</v>
      </c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</row>
    <row r="30" spans="1:41" ht="15.75">
      <c r="A30" s="243" t="s">
        <v>24</v>
      </c>
      <c r="B30" s="314"/>
      <c r="C30" s="314"/>
      <c r="D30" s="242">
        <f t="shared" si="0"/>
        <v>0</v>
      </c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</row>
    <row r="31" spans="1:41" ht="15.75">
      <c r="A31" s="243" t="s">
        <v>25</v>
      </c>
      <c r="B31" s="314">
        <v>5347428</v>
      </c>
      <c r="C31" s="314">
        <v>8229</v>
      </c>
      <c r="D31" s="242">
        <f t="shared" si="0"/>
        <v>5355657</v>
      </c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</row>
    <row r="32" spans="1:41" ht="15.75">
      <c r="A32" s="243" t="s">
        <v>26</v>
      </c>
      <c r="B32" s="314"/>
      <c r="C32" s="314"/>
      <c r="D32" s="242">
        <f t="shared" si="0"/>
        <v>0</v>
      </c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</row>
    <row r="33" spans="1:41" ht="15.75">
      <c r="A33" s="243" t="s">
        <v>27</v>
      </c>
      <c r="B33" s="314"/>
      <c r="C33" s="314"/>
      <c r="D33" s="242">
        <f t="shared" si="0"/>
        <v>0</v>
      </c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</row>
    <row r="34" spans="1:41" ht="15.75">
      <c r="A34" s="243" t="s">
        <v>28</v>
      </c>
      <c r="B34" s="314"/>
      <c r="C34" s="314"/>
      <c r="D34" s="242">
        <f t="shared" si="0"/>
        <v>0</v>
      </c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</row>
    <row r="35" spans="1:41" ht="15.75">
      <c r="A35" s="243" t="s">
        <v>29</v>
      </c>
      <c r="B35" s="314"/>
      <c r="C35" s="314"/>
      <c r="D35" s="242">
        <f t="shared" si="0"/>
        <v>0</v>
      </c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</row>
    <row r="36" spans="1:41" ht="15.75">
      <c r="A36" s="243" t="s">
        <v>30</v>
      </c>
      <c r="B36" s="314"/>
      <c r="C36" s="314"/>
      <c r="D36" s="242">
        <f t="shared" si="0"/>
        <v>0</v>
      </c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</row>
    <row r="37" spans="1:41" ht="15.75">
      <c r="A37" s="243" t="s">
        <v>31</v>
      </c>
      <c r="B37" s="314"/>
      <c r="C37" s="314"/>
      <c r="D37" s="242">
        <f t="shared" si="0"/>
        <v>0</v>
      </c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</row>
    <row r="38" spans="1:41" ht="15.75">
      <c r="A38" s="243" t="s">
        <v>32</v>
      </c>
      <c r="B38" s="314"/>
      <c r="C38" s="314"/>
      <c r="D38" s="242">
        <f t="shared" si="0"/>
        <v>0</v>
      </c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</row>
    <row r="39" spans="1:41" ht="15.75">
      <c r="A39" s="243" t="s">
        <v>33</v>
      </c>
      <c r="B39" s="314">
        <v>823528</v>
      </c>
      <c r="C39" s="314"/>
      <c r="D39" s="242">
        <f t="shared" si="0"/>
        <v>823528</v>
      </c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</row>
    <row r="40" spans="1:41" ht="15.75">
      <c r="A40" s="243" t="s">
        <v>34</v>
      </c>
      <c r="B40" s="314"/>
      <c r="C40" s="314"/>
      <c r="D40" s="242">
        <f t="shared" si="0"/>
        <v>0</v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</row>
    <row r="41" spans="1:41" ht="15.75">
      <c r="A41" s="243" t="s">
        <v>35</v>
      </c>
      <c r="B41" s="314">
        <v>77990</v>
      </c>
      <c r="C41" s="314"/>
      <c r="D41" s="242">
        <f t="shared" si="0"/>
        <v>77990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</row>
    <row r="42" spans="1:41" ht="15.75">
      <c r="A42" s="243" t="s">
        <v>36</v>
      </c>
      <c r="B42" s="314">
        <v>1564460</v>
      </c>
      <c r="C42" s="314"/>
      <c r="D42" s="242">
        <f t="shared" si="0"/>
        <v>1564460</v>
      </c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</row>
    <row r="43" spans="1:41" ht="15.75">
      <c r="A43" s="243" t="s">
        <v>37</v>
      </c>
      <c r="B43" s="314"/>
      <c r="C43" s="314"/>
      <c r="D43" s="242">
        <f t="shared" si="0"/>
        <v>0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</row>
    <row r="44" spans="1:41" ht="15.75">
      <c r="A44" s="243" t="s">
        <v>38</v>
      </c>
      <c r="B44" s="314"/>
      <c r="C44" s="314"/>
      <c r="D44" s="242">
        <f t="shared" si="0"/>
        <v>0</v>
      </c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</row>
    <row r="45" spans="1:41" ht="15.75">
      <c r="A45" s="243" t="s">
        <v>39</v>
      </c>
      <c r="B45" s="314">
        <v>4331701</v>
      </c>
      <c r="C45" s="314">
        <v>223339</v>
      </c>
      <c r="D45" s="242">
        <f t="shared" si="0"/>
        <v>4555040</v>
      </c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</row>
    <row r="46" spans="1:41" ht="15.75">
      <c r="A46" s="243" t="s">
        <v>40</v>
      </c>
      <c r="B46" s="314"/>
      <c r="C46" s="314"/>
      <c r="D46" s="242">
        <f t="shared" si="0"/>
        <v>0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</row>
    <row r="47" spans="1:41" ht="15.75">
      <c r="A47" s="243" t="s">
        <v>41</v>
      </c>
      <c r="B47" s="314">
        <v>592143</v>
      </c>
      <c r="C47" s="314"/>
      <c r="D47" s="242">
        <f t="shared" si="0"/>
        <v>592143</v>
      </c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</row>
    <row r="48" spans="1:41" ht="15.75">
      <c r="A48" s="243" t="s">
        <v>42</v>
      </c>
      <c r="B48" s="314"/>
      <c r="C48" s="314"/>
      <c r="D48" s="242">
        <f t="shared" si="0"/>
        <v>0</v>
      </c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</row>
    <row r="49" spans="1:41" ht="15.75">
      <c r="A49" s="243" t="s">
        <v>43</v>
      </c>
      <c r="B49" s="314"/>
      <c r="C49" s="314"/>
      <c r="D49" s="242">
        <f t="shared" si="0"/>
        <v>0</v>
      </c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</row>
    <row r="50" spans="1:41" ht="15.75">
      <c r="A50" s="243" t="s">
        <v>44</v>
      </c>
      <c r="B50" s="314">
        <v>618162</v>
      </c>
      <c r="C50" s="314"/>
      <c r="D50" s="242">
        <f t="shared" si="0"/>
        <v>618162</v>
      </c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</row>
    <row r="51" spans="1:41" ht="15.75">
      <c r="A51" s="243" t="s">
        <v>45</v>
      </c>
      <c r="B51" s="314">
        <v>465691</v>
      </c>
      <c r="C51" s="314"/>
      <c r="D51" s="242">
        <f t="shared" si="0"/>
        <v>465691</v>
      </c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</row>
    <row r="52" spans="1:41" ht="15.75">
      <c r="A52" s="243" t="s">
        <v>46</v>
      </c>
      <c r="B52" s="314">
        <v>4499569</v>
      </c>
      <c r="C52" s="314">
        <v>271028</v>
      </c>
      <c r="D52" s="242">
        <f t="shared" si="0"/>
        <v>4770597</v>
      </c>
      <c r="E52" s="235" t="s">
        <v>184</v>
      </c>
      <c r="F52" s="235" t="s">
        <v>184</v>
      </c>
      <c r="G52" s="235" t="s">
        <v>184</v>
      </c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</row>
    <row r="53" spans="1:41" ht="15.75">
      <c r="A53" s="243" t="s">
        <v>47</v>
      </c>
      <c r="B53" s="314">
        <v>14944037</v>
      </c>
      <c r="C53" s="314">
        <v>303411</v>
      </c>
      <c r="D53" s="242">
        <f t="shared" si="0"/>
        <v>15247448</v>
      </c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</row>
    <row r="54" spans="1:41" ht="15.75">
      <c r="A54" s="243" t="s">
        <v>48</v>
      </c>
      <c r="B54" s="314">
        <v>6536818</v>
      </c>
      <c r="C54" s="314"/>
      <c r="D54" s="242">
        <f t="shared" si="0"/>
        <v>6536818</v>
      </c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</row>
    <row r="55" spans="1:41" ht="15.75">
      <c r="A55" s="243" t="s">
        <v>49</v>
      </c>
      <c r="B55" s="314">
        <v>423899</v>
      </c>
      <c r="C55" s="314"/>
      <c r="D55" s="242">
        <f t="shared" si="0"/>
        <v>423899</v>
      </c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</row>
    <row r="56" spans="1:41" ht="15.75">
      <c r="A56" s="243" t="s">
        <v>50</v>
      </c>
      <c r="B56" s="314"/>
      <c r="C56" s="314"/>
      <c r="D56" s="242">
        <f t="shared" si="0"/>
        <v>0</v>
      </c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</row>
    <row r="57" spans="1:41" ht="16.5" thickBot="1">
      <c r="A57" s="244" t="s">
        <v>51</v>
      </c>
      <c r="B57" s="314"/>
      <c r="C57" s="348"/>
      <c r="D57" s="242">
        <f t="shared" si="0"/>
        <v>0</v>
      </c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</row>
    <row r="58" spans="1:41" ht="17.25" thickTop="1" thickBot="1">
      <c r="A58" s="245" t="s">
        <v>52</v>
      </c>
      <c r="B58" s="246">
        <f t="shared" ref="B58:D58" si="1">SUM(B7:B57)</f>
        <v>45771255</v>
      </c>
      <c r="C58" s="246">
        <f t="shared" si="1"/>
        <v>806007</v>
      </c>
      <c r="D58" s="247">
        <f t="shared" si="1"/>
        <v>46577262</v>
      </c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</row>
    <row r="59" spans="1:41" ht="16.5" thickTop="1">
      <c r="A59" s="248"/>
      <c r="B59" s="248"/>
      <c r="C59" s="248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</row>
    <row r="60" spans="1:41" ht="15.75">
      <c r="A60" s="249"/>
      <c r="B60" s="249"/>
      <c r="C60" s="313" t="s">
        <v>184</v>
      </c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</row>
    <row r="61" spans="1:41" ht="15.75">
      <c r="A61" s="250"/>
      <c r="B61" s="250"/>
      <c r="C61" s="250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</row>
    <row r="62" spans="1:41" ht="15.75">
      <c r="A62" s="250"/>
      <c r="B62" s="250"/>
      <c r="C62" s="250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</row>
    <row r="63" spans="1:41" ht="15.75">
      <c r="A63" s="250"/>
      <c r="B63" s="250"/>
      <c r="C63" s="250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</row>
    <row r="64" spans="1:41" ht="15.75">
      <c r="A64" s="250"/>
      <c r="B64" s="250"/>
      <c r="C64" s="250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</row>
    <row r="65" spans="1:41" ht="15.75">
      <c r="A65" s="250"/>
      <c r="B65" s="250"/>
      <c r="C65" s="250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</row>
    <row r="66" spans="1:41" ht="15.75">
      <c r="A66" s="250"/>
      <c r="B66" s="250"/>
      <c r="C66" s="250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</row>
    <row r="67" spans="1:41" ht="15.75">
      <c r="A67" s="250"/>
      <c r="B67" s="250"/>
      <c r="C67" s="250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</row>
    <row r="68" spans="1:41" ht="15.75">
      <c r="A68" s="250"/>
      <c r="B68" s="250"/>
      <c r="C68" s="250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</row>
    <row r="69" spans="1:41" ht="15.75">
      <c r="A69" s="250"/>
      <c r="B69" s="250"/>
      <c r="C69" s="250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</row>
    <row r="70" spans="1:41" ht="15.75">
      <c r="A70" s="250"/>
      <c r="B70" s="250"/>
      <c r="C70" s="250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</row>
    <row r="71" spans="1:41" ht="15.75">
      <c r="A71" s="250"/>
      <c r="B71" s="250"/>
      <c r="C71" s="250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</row>
    <row r="72" spans="1:41" ht="15.75">
      <c r="A72" s="250"/>
      <c r="B72" s="250"/>
      <c r="C72" s="250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</row>
    <row r="73" spans="1:41" ht="15.75">
      <c r="A73" s="250"/>
      <c r="B73" s="250"/>
      <c r="C73" s="250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</row>
    <row r="74" spans="1:41" ht="15.75">
      <c r="A74" s="250"/>
      <c r="B74" s="250"/>
      <c r="C74" s="250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</row>
    <row r="75" spans="1:41" ht="15.75">
      <c r="A75" s="250"/>
      <c r="B75" s="250"/>
      <c r="C75" s="250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</row>
    <row r="76" spans="1:41" ht="15.75">
      <c r="A76" s="250"/>
      <c r="B76" s="250"/>
      <c r="C76" s="250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</row>
    <row r="77" spans="1:41" ht="15.75">
      <c r="A77" s="250"/>
      <c r="B77" s="250"/>
      <c r="C77" s="250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</row>
    <row r="78" spans="1:41" ht="15.75">
      <c r="A78" s="250"/>
      <c r="B78" s="250"/>
      <c r="C78" s="250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</row>
    <row r="79" spans="1:41" ht="15.75">
      <c r="A79" s="250"/>
      <c r="B79" s="250"/>
      <c r="C79" s="250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</row>
    <row r="80" spans="1:41" ht="15.75">
      <c r="A80" s="250"/>
      <c r="B80" s="250"/>
      <c r="C80" s="250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</row>
    <row r="81" spans="1:41" ht="15.75">
      <c r="A81" s="250"/>
      <c r="B81" s="250"/>
      <c r="C81" s="250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</row>
    <row r="82" spans="1:41" ht="15.75">
      <c r="A82" s="250"/>
      <c r="B82" s="250"/>
      <c r="C82" s="250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</row>
    <row r="83" spans="1:41" ht="15.75">
      <c r="A83" s="250"/>
      <c r="B83" s="250"/>
      <c r="C83" s="250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</row>
    <row r="84" spans="1:41" ht="15.75">
      <c r="A84" s="250"/>
      <c r="B84" s="250"/>
      <c r="C84" s="250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</row>
    <row r="85" spans="1:41" ht="15.75">
      <c r="A85" s="250"/>
      <c r="B85" s="250"/>
      <c r="C85" s="250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</row>
    <row r="86" spans="1:41" ht="15.75">
      <c r="A86" s="250"/>
      <c r="B86" s="250"/>
      <c r="C86" s="250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</row>
    <row r="87" spans="1:41" ht="15.75">
      <c r="A87" s="250"/>
      <c r="B87" s="250"/>
      <c r="C87" s="250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</row>
    <row r="88" spans="1:41" ht="15.75">
      <c r="A88" s="250"/>
      <c r="B88" s="250"/>
      <c r="C88" s="250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</row>
    <row r="89" spans="1:41" ht="15.75">
      <c r="A89" s="250"/>
      <c r="B89" s="250"/>
      <c r="C89" s="250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</row>
    <row r="90" spans="1:41" ht="15.75">
      <c r="A90" s="250"/>
      <c r="B90" s="250"/>
      <c r="C90" s="250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</row>
    <row r="91" spans="1:41" ht="15.75">
      <c r="A91" s="250"/>
      <c r="B91" s="250"/>
      <c r="C91" s="250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</row>
    <row r="92" spans="1:41" ht="15.75">
      <c r="A92" s="250"/>
      <c r="B92" s="250"/>
      <c r="C92" s="250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</row>
    <row r="93" spans="1:41" ht="15.75">
      <c r="A93" s="250"/>
      <c r="B93" s="250"/>
      <c r="C93" s="250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</row>
    <row r="94" spans="1:41" ht="15.75">
      <c r="A94" s="250"/>
      <c r="B94" s="250"/>
      <c r="C94" s="250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</row>
    <row r="95" spans="1:41" ht="15.75">
      <c r="A95" s="250"/>
      <c r="B95" s="250"/>
      <c r="C95" s="250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</row>
    <row r="96" spans="1:41" ht="15.75">
      <c r="A96" s="250"/>
      <c r="B96" s="250"/>
      <c r="C96" s="250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</row>
    <row r="97" spans="1:41" ht="15.75">
      <c r="A97" s="250"/>
      <c r="B97" s="250"/>
      <c r="C97" s="250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</row>
    <row r="98" spans="1:41" ht="15.75">
      <c r="A98" s="250"/>
      <c r="B98" s="250"/>
      <c r="C98" s="250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</row>
    <row r="99" spans="1:41" ht="15.75">
      <c r="A99" s="250"/>
      <c r="B99" s="250"/>
      <c r="C99" s="250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</row>
    <row r="100" spans="1:41" ht="15.75">
      <c r="A100" s="250"/>
      <c r="B100" s="250"/>
      <c r="C100" s="250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</row>
    <row r="101" spans="1:41" ht="15.75">
      <c r="A101" s="250"/>
      <c r="B101" s="250"/>
      <c r="C101" s="250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</row>
    <row r="102" spans="1:41" ht="15.75">
      <c r="A102" s="250"/>
      <c r="B102" s="250"/>
      <c r="C102" s="250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</row>
    <row r="103" spans="1:41" ht="15.75">
      <c r="A103" s="250"/>
      <c r="B103" s="250"/>
      <c r="C103" s="250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</row>
    <row r="104" spans="1:41" ht="15.75">
      <c r="A104" s="250"/>
      <c r="B104" s="250"/>
      <c r="C104" s="250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</row>
    <row r="105" spans="1:41" ht="15.75">
      <c r="A105" s="250"/>
      <c r="B105" s="250"/>
      <c r="C105" s="250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</row>
    <row r="106" spans="1:41" ht="15.75">
      <c r="A106" s="250"/>
      <c r="B106" s="250"/>
      <c r="C106" s="250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</row>
    <row r="107" spans="1:41" ht="15.75">
      <c r="A107" s="250"/>
      <c r="B107" s="250"/>
      <c r="C107" s="250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</row>
    <row r="108" spans="1:41" ht="15.75">
      <c r="A108" s="250"/>
      <c r="B108" s="250"/>
      <c r="C108" s="250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</row>
    <row r="109" spans="1:41" ht="15.75">
      <c r="A109" s="250"/>
      <c r="B109" s="250"/>
      <c r="C109" s="250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</row>
    <row r="110" spans="1:41" ht="15.75">
      <c r="A110" s="250"/>
      <c r="B110" s="250"/>
      <c r="C110" s="250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</row>
    <row r="111" spans="1:41" ht="15.75">
      <c r="A111" s="250"/>
      <c r="B111" s="250"/>
      <c r="C111" s="250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</row>
    <row r="112" spans="1:41" ht="15.75">
      <c r="A112" s="250"/>
      <c r="B112" s="250"/>
      <c r="C112" s="250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</row>
    <row r="113" spans="1:41" ht="15.75">
      <c r="A113" s="250"/>
      <c r="B113" s="250"/>
      <c r="C113" s="250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</row>
    <row r="114" spans="1:41" ht="15.75">
      <c r="A114" s="250"/>
      <c r="B114" s="250"/>
      <c r="C114" s="250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</row>
    <row r="115" spans="1:41" ht="15.75">
      <c r="A115" s="250"/>
      <c r="B115" s="250"/>
      <c r="C115" s="250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</row>
    <row r="116" spans="1:41" ht="15.75">
      <c r="A116" s="250"/>
      <c r="B116" s="250"/>
      <c r="C116" s="250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</row>
    <row r="117" spans="1:41" ht="15.75">
      <c r="A117" s="250"/>
      <c r="B117" s="250"/>
      <c r="C117" s="250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</row>
    <row r="118" spans="1:41" ht="15.75">
      <c r="A118" s="250"/>
      <c r="B118" s="250"/>
      <c r="C118" s="250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</row>
    <row r="119" spans="1:41" ht="15.75">
      <c r="A119" s="250"/>
      <c r="B119" s="250"/>
      <c r="C119" s="250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</row>
    <row r="120" spans="1:41" ht="15.75">
      <c r="A120" s="250"/>
      <c r="B120" s="250"/>
      <c r="C120" s="250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</row>
    <row r="121" spans="1:41" ht="15.75">
      <c r="A121" s="250"/>
      <c r="B121" s="250"/>
      <c r="C121" s="250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</row>
    <row r="122" spans="1:41" ht="15.75">
      <c r="A122" s="250"/>
      <c r="B122" s="250"/>
      <c r="C122" s="250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</row>
    <row r="123" spans="1:41" ht="15.75">
      <c r="A123" s="250"/>
      <c r="B123" s="250"/>
      <c r="C123" s="250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</row>
    <row r="124" spans="1:41" ht="15.75">
      <c r="A124" s="250"/>
      <c r="B124" s="250"/>
      <c r="C124" s="250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</row>
    <row r="125" spans="1:41" ht="15.75">
      <c r="A125" s="250"/>
      <c r="B125" s="250"/>
      <c r="C125" s="250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</row>
    <row r="126" spans="1:41" ht="15.75">
      <c r="A126" s="250"/>
      <c r="B126" s="250"/>
      <c r="C126" s="250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</row>
    <row r="127" spans="1:41" ht="15.75">
      <c r="A127" s="250"/>
      <c r="B127" s="250"/>
      <c r="C127" s="250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</row>
    <row r="128" spans="1:41" ht="15.75">
      <c r="A128" s="250"/>
      <c r="B128" s="250"/>
      <c r="C128" s="250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</row>
    <row r="129" spans="1:41" ht="15.75">
      <c r="A129" s="250"/>
      <c r="B129" s="250"/>
      <c r="C129" s="250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</row>
    <row r="130" spans="1:41" ht="15.75">
      <c r="A130" s="250"/>
      <c r="B130" s="250"/>
      <c r="C130" s="250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</row>
    <row r="131" spans="1:41" ht="15.75">
      <c r="A131" s="250"/>
      <c r="B131" s="250"/>
      <c r="C131" s="250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</row>
    <row r="132" spans="1:41" ht="15.75">
      <c r="A132" s="250"/>
      <c r="B132" s="250"/>
      <c r="C132" s="250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</row>
    <row r="133" spans="1:41" ht="15.75">
      <c r="A133" s="250"/>
      <c r="B133" s="250"/>
      <c r="C133" s="250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</row>
    <row r="134" spans="1:41" ht="15.75">
      <c r="A134" s="250"/>
      <c r="B134" s="250"/>
      <c r="C134" s="250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</row>
    <row r="135" spans="1:41" ht="15.75">
      <c r="A135" s="250"/>
      <c r="B135" s="250"/>
      <c r="C135" s="250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</row>
    <row r="136" spans="1:41" ht="15.75">
      <c r="A136" s="250"/>
      <c r="B136" s="250"/>
      <c r="C136" s="250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</row>
    <row r="137" spans="1:41" ht="15.75">
      <c r="A137" s="250"/>
      <c r="B137" s="250"/>
      <c r="C137" s="250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</row>
    <row r="138" spans="1:41" ht="15.75">
      <c r="A138" s="250"/>
      <c r="B138" s="250"/>
      <c r="C138" s="250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</row>
    <row r="139" spans="1:41" ht="15.75">
      <c r="A139" s="250"/>
      <c r="B139" s="250"/>
      <c r="C139" s="250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</row>
    <row r="140" spans="1:41" ht="15.75">
      <c r="A140" s="250"/>
      <c r="B140" s="250"/>
      <c r="C140" s="250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</row>
    <row r="141" spans="1:41" ht="15.75">
      <c r="A141" s="250"/>
      <c r="B141" s="250"/>
      <c r="C141" s="250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</row>
    <row r="142" spans="1:41" ht="15.75">
      <c r="A142" s="250"/>
      <c r="B142" s="250"/>
      <c r="C142" s="250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</row>
    <row r="143" spans="1:41" ht="15.75">
      <c r="A143" s="250"/>
      <c r="B143" s="250"/>
      <c r="C143" s="250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</row>
    <row r="144" spans="1:41" ht="15.75">
      <c r="A144" s="250"/>
      <c r="B144" s="250"/>
      <c r="C144" s="250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</row>
    <row r="145" spans="1:41" ht="15.75">
      <c r="A145" s="250"/>
      <c r="B145" s="250"/>
      <c r="C145" s="250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</row>
    <row r="146" spans="1:41" ht="15.75">
      <c r="A146" s="250"/>
      <c r="B146" s="250"/>
      <c r="C146" s="250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</row>
    <row r="147" spans="1:41" ht="15.75">
      <c r="A147" s="250"/>
      <c r="B147" s="250"/>
      <c r="C147" s="250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</row>
    <row r="148" spans="1:41" ht="15.75">
      <c r="A148" s="250"/>
      <c r="B148" s="250"/>
      <c r="C148" s="250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</row>
    <row r="149" spans="1:41" ht="15.75">
      <c r="A149" s="250"/>
      <c r="B149" s="250"/>
      <c r="C149" s="250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</row>
    <row r="150" spans="1:41" ht="15.75">
      <c r="A150" s="250"/>
      <c r="B150" s="250"/>
      <c r="C150" s="250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</row>
    <row r="151" spans="1:41" ht="15.75">
      <c r="A151" s="250"/>
      <c r="B151" s="250"/>
      <c r="C151" s="250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</row>
    <row r="152" spans="1:41" ht="15.75">
      <c r="A152" s="250"/>
      <c r="B152" s="250"/>
      <c r="C152" s="250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</row>
    <row r="153" spans="1:41" ht="15.75">
      <c r="A153" s="250"/>
      <c r="B153" s="250"/>
      <c r="C153" s="250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</row>
    <row r="154" spans="1:41" ht="15.75">
      <c r="A154" s="250"/>
      <c r="B154" s="250"/>
      <c r="C154" s="250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</row>
    <row r="155" spans="1:41" ht="15.75">
      <c r="A155" s="250"/>
      <c r="B155" s="250"/>
      <c r="C155" s="250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</row>
    <row r="156" spans="1:41" ht="15.75">
      <c r="A156" s="250"/>
      <c r="B156" s="250"/>
      <c r="C156" s="250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</row>
    <row r="157" spans="1:41" ht="15.75">
      <c r="A157" s="250"/>
      <c r="B157" s="250"/>
      <c r="C157" s="250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</row>
    <row r="158" spans="1:41" ht="15.75">
      <c r="A158" s="250"/>
      <c r="B158" s="250"/>
      <c r="C158" s="250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</row>
    <row r="159" spans="1:41" ht="15.75">
      <c r="A159" s="250"/>
      <c r="B159" s="250"/>
      <c r="C159" s="250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</row>
    <row r="160" spans="1:41" ht="15.75">
      <c r="A160" s="250"/>
      <c r="B160" s="250"/>
      <c r="C160" s="250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</row>
    <row r="161" spans="1:41" ht="15.75">
      <c r="A161" s="250"/>
      <c r="B161" s="250"/>
      <c r="C161" s="250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  <c r="AL161" s="235"/>
      <c r="AM161" s="235"/>
      <c r="AN161" s="235"/>
      <c r="AO161" s="235"/>
    </row>
    <row r="162" spans="1:41" ht="15.75">
      <c r="A162" s="250"/>
      <c r="B162" s="250"/>
      <c r="C162" s="250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</row>
    <row r="163" spans="1:41" ht="15.75">
      <c r="A163" s="250"/>
      <c r="B163" s="250"/>
      <c r="C163" s="250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  <c r="AL163" s="235"/>
      <c r="AM163" s="235"/>
      <c r="AN163" s="235"/>
      <c r="AO163" s="235"/>
    </row>
    <row r="164" spans="1:41" ht="15.75">
      <c r="A164" s="250"/>
      <c r="B164" s="250"/>
      <c r="C164" s="250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</row>
    <row r="165" spans="1:41" ht="15.75">
      <c r="A165" s="250"/>
      <c r="B165" s="250"/>
      <c r="C165" s="250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</row>
    <row r="166" spans="1:41" ht="15.75">
      <c r="A166" s="250"/>
      <c r="B166" s="250"/>
      <c r="C166" s="250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</row>
    <row r="167" spans="1:41" ht="15.75">
      <c r="A167" s="250"/>
      <c r="B167" s="250"/>
      <c r="C167" s="250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</row>
    <row r="168" spans="1:41" ht="15.75">
      <c r="A168" s="250"/>
      <c r="B168" s="250"/>
      <c r="C168" s="250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  <c r="AL168" s="235"/>
      <c r="AM168" s="235"/>
      <c r="AN168" s="235"/>
      <c r="AO168" s="235"/>
    </row>
    <row r="169" spans="1:41" ht="15.75">
      <c r="A169" s="250"/>
      <c r="B169" s="250"/>
      <c r="C169" s="250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  <c r="AL169" s="235"/>
      <c r="AM169" s="235"/>
      <c r="AN169" s="235"/>
      <c r="AO169" s="235"/>
    </row>
    <row r="170" spans="1:41" ht="15.75">
      <c r="A170" s="250"/>
      <c r="B170" s="250"/>
      <c r="C170" s="250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</row>
    <row r="171" spans="1:41" ht="15.75">
      <c r="A171" s="250"/>
      <c r="B171" s="250"/>
      <c r="C171" s="250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</row>
    <row r="172" spans="1:41" ht="15.75">
      <c r="A172" s="250"/>
      <c r="B172" s="250"/>
      <c r="C172" s="250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</row>
    <row r="173" spans="1:41" ht="15.75">
      <c r="A173" s="250"/>
      <c r="B173" s="250"/>
      <c r="C173" s="250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</row>
    <row r="174" spans="1:41" ht="15.75">
      <c r="A174" s="250"/>
      <c r="B174" s="250"/>
      <c r="C174" s="250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</row>
    <row r="175" spans="1:41" ht="15.75">
      <c r="A175" s="250"/>
      <c r="B175" s="250"/>
      <c r="C175" s="250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</row>
    <row r="176" spans="1:41" ht="15.75">
      <c r="A176" s="250"/>
      <c r="B176" s="250"/>
      <c r="C176" s="250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</row>
    <row r="177" spans="1:41" ht="15.75">
      <c r="A177" s="250"/>
      <c r="B177" s="250"/>
      <c r="C177" s="250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5"/>
      <c r="AO177" s="235"/>
    </row>
    <row r="178" spans="1:41" ht="15.75">
      <c r="A178" s="250"/>
      <c r="B178" s="250"/>
      <c r="C178" s="250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5"/>
      <c r="AO178" s="235"/>
    </row>
    <row r="179" spans="1:41" ht="15.75">
      <c r="A179" s="250"/>
      <c r="B179" s="250"/>
      <c r="C179" s="250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</row>
    <row r="180" spans="1:41" ht="15.75">
      <c r="A180" s="250"/>
      <c r="B180" s="250"/>
      <c r="C180" s="250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</row>
    <row r="181" spans="1:41" ht="15.75">
      <c r="A181" s="250"/>
      <c r="B181" s="250"/>
      <c r="C181" s="250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</row>
    <row r="182" spans="1:41" ht="15.75">
      <c r="A182" s="250"/>
      <c r="B182" s="250"/>
      <c r="C182" s="250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</row>
    <row r="183" spans="1:41" ht="15.75">
      <c r="A183" s="250"/>
      <c r="B183" s="250"/>
      <c r="C183" s="250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5"/>
      <c r="AO183" s="235"/>
    </row>
    <row r="184" spans="1:41" ht="15.75">
      <c r="A184" s="250"/>
      <c r="B184" s="250"/>
      <c r="C184" s="250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</row>
    <row r="185" spans="1:41" ht="15.75">
      <c r="A185" s="250"/>
      <c r="B185" s="250"/>
      <c r="C185" s="250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</row>
    <row r="186" spans="1:41" ht="15.75">
      <c r="A186" s="250"/>
      <c r="B186" s="250"/>
      <c r="C186" s="250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</row>
    <row r="187" spans="1:41" ht="15.75">
      <c r="A187" s="250"/>
      <c r="B187" s="250"/>
      <c r="C187" s="250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</row>
    <row r="188" spans="1:41" ht="15.75">
      <c r="A188" s="250"/>
      <c r="B188" s="250"/>
      <c r="C188" s="250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</row>
    <row r="189" spans="1:41" ht="15.75">
      <c r="A189" s="250"/>
      <c r="B189" s="250"/>
      <c r="C189" s="250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</row>
    <row r="190" spans="1:41" ht="15.75">
      <c r="A190" s="250"/>
      <c r="B190" s="250"/>
      <c r="C190" s="250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</row>
    <row r="191" spans="1:41" ht="15.75">
      <c r="A191" s="250"/>
      <c r="B191" s="250"/>
      <c r="C191" s="250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</row>
    <row r="192" spans="1:41" ht="15.75">
      <c r="A192" s="250"/>
      <c r="B192" s="250"/>
      <c r="C192" s="250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</row>
    <row r="193" spans="1:41" ht="15.75">
      <c r="A193" s="250"/>
      <c r="B193" s="250"/>
      <c r="C193" s="250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</row>
    <row r="194" spans="1:41" ht="15.75">
      <c r="A194" s="250"/>
      <c r="B194" s="250"/>
      <c r="C194" s="250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</row>
    <row r="195" spans="1:41" ht="15.75">
      <c r="A195" s="250"/>
      <c r="B195" s="250"/>
      <c r="C195" s="250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</row>
    <row r="196" spans="1:41" ht="15.75">
      <c r="A196" s="250"/>
      <c r="B196" s="250"/>
      <c r="C196" s="250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</row>
    <row r="197" spans="1:41" ht="15.75">
      <c r="A197" s="250"/>
      <c r="B197" s="250"/>
      <c r="C197" s="250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</row>
    <row r="198" spans="1:41" ht="15.75">
      <c r="A198" s="250"/>
      <c r="B198" s="250"/>
      <c r="C198" s="250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</row>
    <row r="199" spans="1:41" ht="15.75">
      <c r="A199" s="250"/>
      <c r="B199" s="250"/>
      <c r="C199" s="250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</row>
    <row r="200" spans="1:41" ht="15.75">
      <c r="A200" s="250"/>
      <c r="B200" s="250"/>
      <c r="C200" s="250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</row>
    <row r="201" spans="1:41" ht="15.75">
      <c r="A201" s="250"/>
      <c r="B201" s="250"/>
      <c r="C201" s="250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</row>
    <row r="202" spans="1:41" ht="15.75">
      <c r="A202" s="250"/>
      <c r="B202" s="250"/>
      <c r="C202" s="250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</row>
    <row r="203" spans="1:41" ht="15.75">
      <c r="A203" s="250"/>
      <c r="B203" s="250"/>
      <c r="C203" s="250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  <c r="AL203" s="235"/>
      <c r="AM203" s="235"/>
      <c r="AN203" s="235"/>
      <c r="AO203" s="235"/>
    </row>
    <row r="204" spans="1:41" ht="15.75">
      <c r="A204" s="250"/>
      <c r="B204" s="250"/>
      <c r="C204" s="250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</row>
    <row r="205" spans="1:41" ht="15.75">
      <c r="A205" s="250"/>
      <c r="B205" s="250"/>
      <c r="C205" s="250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  <c r="AI205" s="235"/>
      <c r="AJ205" s="235"/>
      <c r="AK205" s="235"/>
      <c r="AL205" s="235"/>
      <c r="AM205" s="235"/>
      <c r="AN205" s="235"/>
      <c r="AO205" s="235"/>
    </row>
    <row r="206" spans="1:41" ht="15.75">
      <c r="A206" s="250"/>
      <c r="B206" s="250"/>
      <c r="C206" s="250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  <c r="AL206" s="235"/>
      <c r="AM206" s="235"/>
      <c r="AN206" s="235"/>
      <c r="AO206" s="235"/>
    </row>
    <row r="207" spans="1:41" ht="15.75">
      <c r="A207" s="250"/>
      <c r="B207" s="250"/>
      <c r="C207" s="250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</row>
    <row r="208" spans="1:41" ht="15.75">
      <c r="A208" s="250"/>
      <c r="B208" s="250"/>
      <c r="C208" s="250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</row>
    <row r="209" spans="1:41" ht="15.75">
      <c r="A209" s="250"/>
      <c r="B209" s="250"/>
      <c r="C209" s="250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</row>
    <row r="210" spans="1:41" ht="15.75">
      <c r="A210" s="250"/>
      <c r="B210" s="250"/>
      <c r="C210" s="250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  <c r="AL210" s="235"/>
      <c r="AM210" s="235"/>
      <c r="AN210" s="235"/>
      <c r="AO210" s="235"/>
    </row>
    <row r="211" spans="1:41" ht="15.75">
      <c r="A211" s="250"/>
      <c r="B211" s="250"/>
      <c r="C211" s="250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  <c r="AL211" s="235"/>
      <c r="AM211" s="235"/>
      <c r="AN211" s="235"/>
      <c r="AO211" s="235"/>
    </row>
    <row r="212" spans="1:41" ht="15.75">
      <c r="A212" s="250"/>
      <c r="B212" s="250"/>
      <c r="C212" s="250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</row>
    <row r="213" spans="1:41" ht="15.75">
      <c r="A213" s="250"/>
      <c r="B213" s="250"/>
      <c r="C213" s="250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</row>
    <row r="214" spans="1:41" ht="15.75">
      <c r="A214" s="250"/>
      <c r="B214" s="250"/>
      <c r="C214" s="250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</row>
    <row r="215" spans="1:41" ht="15.75">
      <c r="A215" s="250"/>
      <c r="B215" s="250"/>
      <c r="C215" s="250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</row>
    <row r="216" spans="1:41" ht="15.75">
      <c r="A216" s="250"/>
      <c r="B216" s="250"/>
      <c r="C216" s="250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</row>
    <row r="217" spans="1:41" ht="15.75">
      <c r="A217" s="250"/>
      <c r="B217" s="250"/>
      <c r="C217" s="250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</row>
    <row r="218" spans="1:41" ht="16.5">
      <c r="A218" s="251"/>
      <c r="B218" s="251"/>
      <c r="C218" s="251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</row>
    <row r="219" spans="1:41" ht="16.5">
      <c r="A219" s="251"/>
      <c r="B219" s="251"/>
      <c r="C219" s="251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</row>
    <row r="220" spans="1:41" ht="16.5">
      <c r="A220" s="251"/>
      <c r="B220" s="251"/>
      <c r="C220" s="251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</row>
    <row r="221" spans="1:41" ht="16.5">
      <c r="A221" s="251"/>
      <c r="B221" s="251"/>
      <c r="C221" s="251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</row>
    <row r="222" spans="1:41" ht="16.5">
      <c r="A222" s="251"/>
      <c r="B222" s="251"/>
      <c r="C222" s="251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</row>
    <row r="223" spans="1:41" ht="16.5">
      <c r="A223" s="251"/>
      <c r="B223" s="251"/>
      <c r="C223" s="251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</row>
    <row r="224" spans="1:41" ht="16.5">
      <c r="A224" s="251"/>
      <c r="B224" s="251"/>
      <c r="C224" s="251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  <c r="AH224" s="235"/>
      <c r="AI224" s="235"/>
      <c r="AJ224" s="235"/>
      <c r="AK224" s="235"/>
      <c r="AL224" s="235"/>
      <c r="AM224" s="235"/>
      <c r="AN224" s="235"/>
      <c r="AO224" s="235"/>
    </row>
    <row r="225" spans="1:41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</row>
    <row r="226" spans="1:41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</row>
    <row r="227" spans="1:41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</row>
    <row r="228" spans="1:41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</row>
    <row r="229" spans="1:41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</row>
    <row r="230" spans="1:41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  <c r="AH230" s="235"/>
      <c r="AI230" s="235"/>
      <c r="AJ230" s="235"/>
      <c r="AK230" s="235"/>
      <c r="AL230" s="235"/>
      <c r="AM230" s="235"/>
      <c r="AN230" s="235"/>
      <c r="AO230" s="235"/>
    </row>
    <row r="231" spans="1:4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</row>
    <row r="232" spans="1:41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  <c r="AL232" s="235"/>
      <c r="AM232" s="235"/>
      <c r="AN232" s="235"/>
      <c r="AO232" s="235"/>
    </row>
    <row r="233" spans="1:41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  <c r="AL233" s="235"/>
      <c r="AM233" s="235"/>
      <c r="AN233" s="235"/>
      <c r="AO233" s="235"/>
    </row>
    <row r="234" spans="1:41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</row>
    <row r="235" spans="1:41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</row>
    <row r="236" spans="1:41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</row>
    <row r="237" spans="1:41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</row>
    <row r="238" spans="1:4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</row>
    <row r="239" spans="1:41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</row>
    <row r="240" spans="1:41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</row>
    <row r="241" spans="1:4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</row>
    <row r="242" spans="1:41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</row>
    <row r="243" spans="1:41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</row>
    <row r="244" spans="1:41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  <c r="AL244" s="235"/>
      <c r="AM244" s="235"/>
      <c r="AN244" s="235"/>
      <c r="AO244" s="235"/>
    </row>
    <row r="245" spans="1:41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</row>
    <row r="246" spans="1:41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  <c r="AL246" s="235"/>
      <c r="AM246" s="235"/>
      <c r="AN246" s="235"/>
      <c r="AO246" s="235"/>
    </row>
    <row r="247" spans="1:41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</row>
    <row r="248" spans="1:41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  <c r="AL248" s="235"/>
      <c r="AM248" s="235"/>
      <c r="AN248" s="235"/>
      <c r="AO248" s="235"/>
    </row>
    <row r="249" spans="1:41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</row>
    <row r="250" spans="1:41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</row>
    <row r="251" spans="1:4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</row>
    <row r="252" spans="1:41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  <c r="AL252" s="235"/>
      <c r="AM252" s="235"/>
      <c r="AN252" s="235"/>
      <c r="AO252" s="235"/>
    </row>
    <row r="253" spans="1:41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  <c r="AL253" s="235"/>
      <c r="AM253" s="235"/>
      <c r="AN253" s="235"/>
      <c r="AO253" s="235"/>
    </row>
    <row r="254" spans="1:41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</row>
    <row r="255" spans="1:41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</row>
    <row r="256" spans="1:41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</row>
    <row r="257" spans="1:41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</row>
    <row r="258" spans="1:41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  <c r="AL258" s="235"/>
      <c r="AM258" s="235"/>
      <c r="AN258" s="235"/>
      <c r="AO258" s="235"/>
    </row>
    <row r="259" spans="1:41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</row>
    <row r="260" spans="1:41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</row>
    <row r="261" spans="1:4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  <c r="AL261" s="235"/>
      <c r="AM261" s="235"/>
      <c r="AN261" s="235"/>
      <c r="AO261" s="235"/>
    </row>
    <row r="262" spans="1:41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</row>
    <row r="263" spans="1:41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</row>
    <row r="264" spans="1:41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</row>
    <row r="265" spans="1:41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</row>
    <row r="266" spans="1:41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  <c r="AL266" s="235"/>
      <c r="AM266" s="235"/>
      <c r="AN266" s="235"/>
      <c r="AO266" s="235"/>
    </row>
    <row r="267" spans="1:41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  <c r="AH267" s="235"/>
      <c r="AI267" s="235"/>
      <c r="AJ267" s="235"/>
      <c r="AK267" s="235"/>
      <c r="AL267" s="235"/>
      <c r="AM267" s="235"/>
      <c r="AN267" s="235"/>
      <c r="AO267" s="235"/>
    </row>
    <row r="268" spans="1:41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</row>
    <row r="269" spans="1:41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</row>
    <row r="270" spans="1:41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</row>
    <row r="271" spans="1:4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</row>
    <row r="272" spans="1:41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</row>
    <row r="273" spans="1:41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</row>
    <row r="274" spans="1:41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</row>
    <row r="275" spans="1:41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  <c r="AH275" s="235"/>
      <c r="AI275" s="235"/>
      <c r="AJ275" s="235"/>
      <c r="AK275" s="235"/>
      <c r="AL275" s="235"/>
      <c r="AM275" s="235"/>
      <c r="AN275" s="235"/>
      <c r="AO275" s="235"/>
    </row>
    <row r="276" spans="1:41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</row>
    <row r="277" spans="1:41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</row>
    <row r="278" spans="1:41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</row>
    <row r="279" spans="1:41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</row>
    <row r="280" spans="1:41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  <c r="AH280" s="235"/>
      <c r="AI280" s="235"/>
      <c r="AJ280" s="235"/>
      <c r="AK280" s="235"/>
      <c r="AL280" s="235"/>
      <c r="AM280" s="235"/>
      <c r="AN280" s="235"/>
      <c r="AO280" s="235"/>
    </row>
    <row r="281" spans="1:4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  <c r="AB281" s="235"/>
      <c r="AC281" s="235"/>
      <c r="AD281" s="235"/>
      <c r="AE281" s="235"/>
      <c r="AF281" s="235"/>
      <c r="AG281" s="235"/>
      <c r="AH281" s="235"/>
      <c r="AI281" s="235"/>
      <c r="AJ281" s="235"/>
      <c r="AK281" s="235"/>
      <c r="AL281" s="235"/>
      <c r="AM281" s="235"/>
      <c r="AN281" s="235"/>
      <c r="AO281" s="235"/>
    </row>
    <row r="282" spans="1:41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</row>
    <row r="283" spans="1:41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</row>
    <row r="284" spans="1:41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</row>
    <row r="285" spans="1:41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5"/>
      <c r="AC285" s="235"/>
      <c r="AD285" s="235"/>
      <c r="AE285" s="235"/>
      <c r="AF285" s="235"/>
      <c r="AG285" s="235"/>
      <c r="AH285" s="235"/>
      <c r="AI285" s="235"/>
      <c r="AJ285" s="235"/>
      <c r="AK285" s="235"/>
      <c r="AL285" s="235"/>
      <c r="AM285" s="235"/>
      <c r="AN285" s="235"/>
      <c r="AO285" s="235"/>
    </row>
    <row r="286" spans="1:41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  <c r="AA286" s="235"/>
      <c r="AB286" s="235"/>
      <c r="AC286" s="235"/>
      <c r="AD286" s="235"/>
      <c r="AE286" s="235"/>
      <c r="AF286" s="235"/>
      <c r="AG286" s="235"/>
      <c r="AH286" s="235"/>
      <c r="AI286" s="235"/>
      <c r="AJ286" s="235"/>
      <c r="AK286" s="235"/>
      <c r="AL286" s="235"/>
      <c r="AM286" s="235"/>
      <c r="AN286" s="235"/>
      <c r="AO286" s="235"/>
    </row>
    <row r="287" spans="1:41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  <c r="AA287" s="235"/>
      <c r="AB287" s="235"/>
      <c r="AC287" s="235"/>
      <c r="AD287" s="235"/>
      <c r="AE287" s="235"/>
      <c r="AF287" s="235"/>
      <c r="AG287" s="235"/>
      <c r="AH287" s="235"/>
      <c r="AI287" s="235"/>
      <c r="AJ287" s="235"/>
      <c r="AK287" s="235"/>
      <c r="AL287" s="235"/>
      <c r="AM287" s="235"/>
      <c r="AN287" s="235"/>
      <c r="AO287" s="235"/>
    </row>
    <row r="288" spans="1:41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  <c r="AB288" s="235"/>
      <c r="AC288" s="235"/>
      <c r="AD288" s="235"/>
      <c r="AE288" s="235"/>
      <c r="AF288" s="235"/>
      <c r="AG288" s="235"/>
      <c r="AH288" s="235"/>
      <c r="AI288" s="235"/>
      <c r="AJ288" s="235"/>
      <c r="AK288" s="235"/>
      <c r="AL288" s="235"/>
      <c r="AM288" s="235"/>
      <c r="AN288" s="235"/>
      <c r="AO288" s="235"/>
    </row>
    <row r="289" spans="1:41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  <c r="AA289" s="235"/>
      <c r="AB289" s="235"/>
      <c r="AC289" s="235"/>
      <c r="AD289" s="235"/>
      <c r="AE289" s="235"/>
      <c r="AF289" s="235"/>
      <c r="AG289" s="235"/>
      <c r="AH289" s="235"/>
      <c r="AI289" s="235"/>
      <c r="AJ289" s="235"/>
      <c r="AK289" s="235"/>
      <c r="AL289" s="235"/>
      <c r="AM289" s="235"/>
      <c r="AN289" s="235"/>
      <c r="AO289" s="235"/>
    </row>
    <row r="290" spans="1:41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  <c r="AA290" s="235"/>
      <c r="AB290" s="235"/>
      <c r="AC290" s="235"/>
      <c r="AD290" s="235"/>
      <c r="AE290" s="235"/>
      <c r="AF290" s="235"/>
      <c r="AG290" s="235"/>
      <c r="AH290" s="235"/>
      <c r="AI290" s="235"/>
      <c r="AJ290" s="235"/>
      <c r="AK290" s="235"/>
      <c r="AL290" s="235"/>
      <c r="AM290" s="235"/>
      <c r="AN290" s="235"/>
      <c r="AO290" s="235"/>
    </row>
    <row r="291" spans="1:4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  <c r="AB291" s="235"/>
      <c r="AC291" s="235"/>
      <c r="AD291" s="235"/>
      <c r="AE291" s="235"/>
      <c r="AF291" s="235"/>
      <c r="AG291" s="235"/>
      <c r="AH291" s="235"/>
      <c r="AI291" s="235"/>
      <c r="AJ291" s="235"/>
      <c r="AK291" s="235"/>
      <c r="AL291" s="235"/>
      <c r="AM291" s="235"/>
      <c r="AN291" s="235"/>
      <c r="AO291" s="235"/>
    </row>
    <row r="292" spans="1:41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5"/>
      <c r="AJ292" s="235"/>
      <c r="AK292" s="235"/>
      <c r="AL292" s="235"/>
      <c r="AM292" s="235"/>
      <c r="AN292" s="235"/>
      <c r="AO292" s="235"/>
    </row>
    <row r="293" spans="1:41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  <c r="AB293" s="235"/>
      <c r="AC293" s="235"/>
      <c r="AD293" s="235"/>
      <c r="AE293" s="235"/>
      <c r="AF293" s="235"/>
      <c r="AG293" s="235"/>
      <c r="AH293" s="235"/>
      <c r="AI293" s="235"/>
      <c r="AJ293" s="235"/>
      <c r="AK293" s="235"/>
      <c r="AL293" s="235"/>
      <c r="AM293" s="235"/>
      <c r="AN293" s="235"/>
      <c r="AO293" s="235"/>
    </row>
    <row r="294" spans="1:41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  <c r="AA294" s="235"/>
      <c r="AB294" s="235"/>
      <c r="AC294" s="235"/>
      <c r="AD294" s="235"/>
      <c r="AE294" s="235"/>
      <c r="AF294" s="235"/>
      <c r="AG294" s="235"/>
      <c r="AH294" s="235"/>
      <c r="AI294" s="235"/>
      <c r="AJ294" s="235"/>
      <c r="AK294" s="235"/>
      <c r="AL294" s="235"/>
      <c r="AM294" s="235"/>
      <c r="AN294" s="235"/>
      <c r="AO294" s="235"/>
    </row>
    <row r="295" spans="1:41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  <c r="AA295" s="235"/>
      <c r="AB295" s="235"/>
      <c r="AC295" s="235"/>
      <c r="AD295" s="235"/>
      <c r="AE295" s="235"/>
      <c r="AF295" s="235"/>
      <c r="AG295" s="235"/>
      <c r="AH295" s="235"/>
      <c r="AI295" s="235"/>
      <c r="AJ295" s="235"/>
      <c r="AK295" s="235"/>
      <c r="AL295" s="235"/>
      <c r="AM295" s="235"/>
      <c r="AN295" s="235"/>
      <c r="AO295" s="235"/>
    </row>
    <row r="296" spans="1:41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  <c r="AB296" s="235"/>
      <c r="AC296" s="235"/>
      <c r="AD296" s="235"/>
      <c r="AE296" s="235"/>
      <c r="AF296" s="235"/>
      <c r="AG296" s="235"/>
      <c r="AH296" s="235"/>
      <c r="AI296" s="235"/>
      <c r="AJ296" s="235"/>
      <c r="AK296" s="235"/>
      <c r="AL296" s="235"/>
      <c r="AM296" s="235"/>
      <c r="AN296" s="235"/>
      <c r="AO296" s="235"/>
    </row>
    <row r="297" spans="1:41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  <c r="AB297" s="235"/>
      <c r="AC297" s="235"/>
      <c r="AD297" s="235"/>
      <c r="AE297" s="235"/>
      <c r="AF297" s="235"/>
      <c r="AG297" s="235"/>
      <c r="AH297" s="235"/>
      <c r="AI297" s="235"/>
      <c r="AJ297" s="235"/>
      <c r="AK297" s="235"/>
      <c r="AL297" s="235"/>
      <c r="AM297" s="235"/>
      <c r="AN297" s="235"/>
      <c r="AO297" s="235"/>
    </row>
    <row r="298" spans="1:41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  <c r="AB298" s="235"/>
      <c r="AC298" s="235"/>
      <c r="AD298" s="235"/>
      <c r="AE298" s="235"/>
      <c r="AF298" s="235"/>
      <c r="AG298" s="235"/>
      <c r="AH298" s="235"/>
      <c r="AI298" s="235"/>
      <c r="AJ298" s="235"/>
      <c r="AK298" s="235"/>
      <c r="AL298" s="235"/>
      <c r="AM298" s="235"/>
      <c r="AN298" s="235"/>
      <c r="AO298" s="235"/>
    </row>
    <row r="299" spans="1:41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  <c r="AB299" s="235"/>
      <c r="AC299" s="235"/>
      <c r="AD299" s="235"/>
      <c r="AE299" s="235"/>
      <c r="AF299" s="235"/>
      <c r="AG299" s="235"/>
      <c r="AH299" s="235"/>
      <c r="AI299" s="235"/>
      <c r="AJ299" s="235"/>
      <c r="AK299" s="235"/>
      <c r="AL299" s="235"/>
      <c r="AM299" s="235"/>
      <c r="AN299" s="235"/>
      <c r="AO299" s="235"/>
    </row>
    <row r="300" spans="1:41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  <c r="AA300" s="235"/>
      <c r="AB300" s="235"/>
      <c r="AC300" s="235"/>
      <c r="AD300" s="235"/>
      <c r="AE300" s="235"/>
      <c r="AF300" s="235"/>
      <c r="AG300" s="235"/>
      <c r="AH300" s="235"/>
      <c r="AI300" s="235"/>
      <c r="AJ300" s="235"/>
      <c r="AK300" s="235"/>
      <c r="AL300" s="235"/>
      <c r="AM300" s="235"/>
      <c r="AN300" s="235"/>
      <c r="AO300" s="235"/>
    </row>
    <row r="301" spans="1:4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  <c r="AA301" s="235"/>
      <c r="AB301" s="235"/>
      <c r="AC301" s="235"/>
      <c r="AD301" s="235"/>
      <c r="AE301" s="235"/>
      <c r="AF301" s="235"/>
      <c r="AG301" s="235"/>
      <c r="AH301" s="235"/>
      <c r="AI301" s="235"/>
      <c r="AJ301" s="235"/>
      <c r="AK301" s="235"/>
      <c r="AL301" s="235"/>
      <c r="AM301" s="235"/>
      <c r="AN301" s="235"/>
      <c r="AO301" s="235"/>
    </row>
    <row r="302" spans="1:41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  <c r="AA302" s="235"/>
      <c r="AB302" s="235"/>
      <c r="AC302" s="235"/>
      <c r="AD302" s="235"/>
      <c r="AE302" s="235"/>
      <c r="AF302" s="235"/>
      <c r="AG302" s="235"/>
      <c r="AH302" s="235"/>
      <c r="AI302" s="235"/>
      <c r="AJ302" s="235"/>
      <c r="AK302" s="235"/>
      <c r="AL302" s="235"/>
      <c r="AM302" s="235"/>
      <c r="AN302" s="235"/>
      <c r="AO302" s="235"/>
    </row>
    <row r="303" spans="1:41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  <c r="AA303" s="235"/>
      <c r="AB303" s="235"/>
      <c r="AC303" s="235"/>
      <c r="AD303" s="235"/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/>
      <c r="AO303" s="235"/>
    </row>
    <row r="304" spans="1:41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  <c r="AA304" s="235"/>
      <c r="AB304" s="235"/>
      <c r="AC304" s="235"/>
      <c r="AD304" s="235"/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/>
      <c r="AO304" s="235"/>
    </row>
    <row r="305" spans="1:41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  <c r="AB305" s="235"/>
      <c r="AC305" s="235"/>
      <c r="AD305" s="235"/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/>
      <c r="AO305" s="235"/>
    </row>
    <row r="306" spans="1:41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  <c r="AA306" s="235"/>
      <c r="AB306" s="235"/>
      <c r="AC306" s="235"/>
      <c r="AD306" s="235"/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/>
      <c r="AO306" s="235"/>
    </row>
    <row r="307" spans="1:41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  <c r="AA307" s="235"/>
      <c r="AB307" s="235"/>
      <c r="AC307" s="235"/>
      <c r="AD307" s="235"/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/>
      <c r="AO307" s="235"/>
    </row>
    <row r="308" spans="1:41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  <c r="AA308" s="235"/>
      <c r="AB308" s="235"/>
      <c r="AC308" s="235"/>
      <c r="AD308" s="235"/>
      <c r="AE308" s="235"/>
      <c r="AF308" s="235"/>
      <c r="AG308" s="235"/>
      <c r="AH308" s="235"/>
      <c r="AI308" s="235"/>
      <c r="AJ308" s="235"/>
      <c r="AK308" s="235"/>
      <c r="AL308" s="235"/>
      <c r="AM308" s="235"/>
      <c r="AN308" s="235"/>
      <c r="AO308" s="235"/>
    </row>
    <row r="309" spans="1:41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  <c r="AA309" s="235"/>
      <c r="AB309" s="235"/>
      <c r="AC309" s="235"/>
      <c r="AD309" s="235"/>
      <c r="AE309" s="235"/>
      <c r="AF309" s="235"/>
      <c r="AG309" s="235"/>
      <c r="AH309" s="235"/>
      <c r="AI309" s="235"/>
      <c r="AJ309" s="235"/>
      <c r="AK309" s="235"/>
      <c r="AL309" s="235"/>
      <c r="AM309" s="235"/>
      <c r="AN309" s="235"/>
      <c r="AO309" s="235"/>
    </row>
    <row r="310" spans="1:41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  <c r="AA310" s="235"/>
      <c r="AB310" s="235"/>
      <c r="AC310" s="235"/>
      <c r="AD310" s="235"/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/>
      <c r="AO310" s="235"/>
    </row>
    <row r="311" spans="1:4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  <c r="AA311" s="235"/>
      <c r="AB311" s="235"/>
      <c r="AC311" s="235"/>
      <c r="AD311" s="235"/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/>
      <c r="AO311" s="235"/>
    </row>
    <row r="312" spans="1:41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  <c r="AA312" s="235"/>
      <c r="AB312" s="235"/>
      <c r="AC312" s="235"/>
      <c r="AD312" s="235"/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/>
      <c r="AO312" s="235"/>
    </row>
    <row r="313" spans="1:41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  <c r="AB313" s="235"/>
      <c r="AC313" s="235"/>
      <c r="AD313" s="235"/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/>
      <c r="AO313" s="235"/>
    </row>
    <row r="314" spans="1:41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  <c r="AB314" s="235"/>
      <c r="AC314" s="235"/>
      <c r="AD314" s="235"/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/>
      <c r="AO314" s="235"/>
    </row>
    <row r="315" spans="1:41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/>
      <c r="AO315" s="235"/>
    </row>
    <row r="316" spans="1:41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/>
      <c r="AO316" s="235"/>
    </row>
    <row r="317" spans="1:4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/>
      <c r="AO317" s="235"/>
    </row>
    <row r="318" spans="1:4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/>
      <c r="AO318" s="235"/>
    </row>
    <row r="319" spans="1:41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  <c r="AA319" s="235"/>
      <c r="AB319" s="235"/>
      <c r="AC319" s="235"/>
      <c r="AD319" s="235"/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/>
      <c r="AO319" s="235"/>
    </row>
    <row r="320" spans="1:41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  <c r="AA320" s="235"/>
      <c r="AB320" s="235"/>
      <c r="AC320" s="235"/>
      <c r="AD320" s="235"/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/>
      <c r="AO320" s="235"/>
    </row>
    <row r="321" spans="1:4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  <c r="AA321" s="235"/>
      <c r="AB321" s="235"/>
      <c r="AC321" s="235"/>
      <c r="AD321" s="235"/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/>
      <c r="AO321" s="235"/>
    </row>
    <row r="322" spans="1:41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  <c r="AA322" s="235"/>
      <c r="AB322" s="235"/>
      <c r="AC322" s="235"/>
      <c r="AD322" s="235"/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/>
      <c r="AO322" s="235"/>
    </row>
    <row r="323" spans="1:41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  <c r="AA323" s="235"/>
      <c r="AB323" s="235"/>
      <c r="AC323" s="235"/>
      <c r="AD323" s="235"/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/>
      <c r="AO323" s="235"/>
    </row>
    <row r="324" spans="1:41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  <c r="AA324" s="235"/>
      <c r="AB324" s="235"/>
      <c r="AC324" s="235"/>
      <c r="AD324" s="235"/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/>
      <c r="AO324" s="235"/>
    </row>
    <row r="325" spans="1:41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  <c r="AA325" s="235"/>
      <c r="AB325" s="235"/>
      <c r="AC325" s="235"/>
      <c r="AD325" s="235"/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/>
      <c r="AO325" s="235"/>
    </row>
    <row r="326" spans="1:41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/>
      <c r="AO326" s="235"/>
    </row>
    <row r="327" spans="1:41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  <c r="AA327" s="235"/>
      <c r="AB327" s="235"/>
      <c r="AC327" s="235"/>
      <c r="AD327" s="235"/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/>
      <c r="AO327" s="235"/>
    </row>
    <row r="328" spans="1:41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  <c r="AA328" s="235"/>
      <c r="AB328" s="235"/>
      <c r="AC328" s="235"/>
      <c r="AD328" s="235"/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/>
      <c r="AO328" s="235"/>
    </row>
    <row r="329" spans="1:41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  <c r="AA329" s="235"/>
      <c r="AB329" s="235"/>
      <c r="AC329" s="235"/>
      <c r="AD329" s="235"/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/>
      <c r="AO329" s="235"/>
    </row>
    <row r="330" spans="1:41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  <c r="AA330" s="235"/>
      <c r="AB330" s="235"/>
      <c r="AC330" s="235"/>
      <c r="AD330" s="235"/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/>
      <c r="AO330" s="235"/>
    </row>
    <row r="331" spans="1:4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  <c r="AA331" s="235"/>
      <c r="AB331" s="235"/>
      <c r="AC331" s="235"/>
      <c r="AD331" s="235"/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/>
      <c r="AO331" s="235"/>
    </row>
    <row r="332" spans="1:41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  <c r="AA332" s="235"/>
      <c r="AB332" s="235"/>
      <c r="AC332" s="235"/>
      <c r="AD332" s="235"/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/>
      <c r="AO332" s="235"/>
    </row>
    <row r="333" spans="1:41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  <c r="AA333" s="235"/>
      <c r="AB333" s="235"/>
      <c r="AC333" s="235"/>
      <c r="AD333" s="235"/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/>
      <c r="AO333" s="235"/>
    </row>
    <row r="334" spans="1:41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  <c r="AA334" s="235"/>
      <c r="AB334" s="235"/>
      <c r="AC334" s="235"/>
      <c r="AD334" s="235"/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/>
      <c r="AO334" s="235"/>
    </row>
    <row r="335" spans="1:41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  <c r="AA335" s="235"/>
      <c r="AB335" s="235"/>
      <c r="AC335" s="235"/>
      <c r="AD335" s="235"/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/>
      <c r="AO335" s="235"/>
    </row>
    <row r="336" spans="1:41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  <c r="AA336" s="235"/>
      <c r="AB336" s="235"/>
      <c r="AC336" s="235"/>
      <c r="AD336" s="235"/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/>
      <c r="AO336" s="235"/>
    </row>
    <row r="337" spans="1:41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  <c r="AA337" s="235"/>
      <c r="AB337" s="235"/>
      <c r="AC337" s="235"/>
      <c r="AD337" s="235"/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/>
      <c r="AO337" s="235"/>
    </row>
    <row r="338" spans="1:41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  <c r="AA338" s="235"/>
      <c r="AB338" s="235"/>
      <c r="AC338" s="235"/>
      <c r="AD338" s="235"/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/>
      <c r="AO338" s="235"/>
    </row>
    <row r="339" spans="1:41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  <c r="AB339" s="235"/>
      <c r="AC339" s="235"/>
      <c r="AD339" s="235"/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/>
      <c r="AO339" s="235"/>
    </row>
    <row r="340" spans="1:41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  <c r="AA340" s="235"/>
      <c r="AB340" s="235"/>
      <c r="AC340" s="235"/>
      <c r="AD340" s="235"/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/>
      <c r="AO340" s="235"/>
    </row>
    <row r="341" spans="1:4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  <c r="AA341" s="235"/>
      <c r="AB341" s="235"/>
      <c r="AC341" s="235"/>
      <c r="AD341" s="235"/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/>
      <c r="AO341" s="235"/>
    </row>
    <row r="342" spans="1:41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  <c r="AA342" s="235"/>
      <c r="AB342" s="235"/>
      <c r="AC342" s="235"/>
      <c r="AD342" s="235"/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/>
      <c r="AO342" s="235"/>
    </row>
    <row r="343" spans="1:41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  <c r="AA343" s="235"/>
      <c r="AB343" s="235"/>
      <c r="AC343" s="235"/>
      <c r="AD343" s="235"/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/>
      <c r="AO343" s="235"/>
    </row>
    <row r="344" spans="1:41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  <c r="AA344" s="235"/>
      <c r="AB344" s="235"/>
      <c r="AC344" s="235"/>
      <c r="AD344" s="235"/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/>
      <c r="AO344" s="235"/>
    </row>
    <row r="345" spans="1:41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  <c r="AA345" s="235"/>
      <c r="AB345" s="235"/>
      <c r="AC345" s="235"/>
      <c r="AD345" s="235"/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/>
      <c r="AO345" s="235"/>
    </row>
    <row r="346" spans="1:41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  <c r="AA346" s="235"/>
      <c r="AB346" s="235"/>
      <c r="AC346" s="235"/>
      <c r="AD346" s="235"/>
      <c r="AE346" s="235"/>
      <c r="AF346" s="235"/>
      <c r="AG346" s="235"/>
      <c r="AH346" s="235"/>
      <c r="AI346" s="235"/>
      <c r="AJ346" s="235"/>
      <c r="AK346" s="235"/>
      <c r="AL346" s="235"/>
      <c r="AM346" s="235"/>
      <c r="AN346" s="235"/>
      <c r="AO346" s="235"/>
    </row>
    <row r="347" spans="1:41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  <c r="AA347" s="235"/>
      <c r="AB347" s="235"/>
      <c r="AC347" s="235"/>
      <c r="AD347" s="235"/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/>
      <c r="AO347" s="235"/>
    </row>
    <row r="348" spans="1:41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  <c r="AA348" s="235"/>
      <c r="AB348" s="235"/>
      <c r="AC348" s="235"/>
      <c r="AD348" s="235"/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/>
      <c r="AO348" s="235"/>
    </row>
    <row r="349" spans="1:41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  <c r="AA349" s="235"/>
      <c r="AB349" s="235"/>
      <c r="AC349" s="235"/>
      <c r="AD349" s="235"/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/>
      <c r="AO349" s="235"/>
    </row>
    <row r="350" spans="1:41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35"/>
      <c r="AB350" s="235"/>
      <c r="AC350" s="235"/>
      <c r="AD350" s="235"/>
      <c r="AE350" s="235"/>
      <c r="AF350" s="235"/>
      <c r="AG350" s="235"/>
      <c r="AH350" s="235"/>
      <c r="AI350" s="235"/>
      <c r="AJ350" s="235"/>
      <c r="AK350" s="235"/>
      <c r="AL350" s="235"/>
      <c r="AM350" s="235"/>
      <c r="AN350" s="235"/>
      <c r="AO350" s="235"/>
    </row>
    <row r="351" spans="1:4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35"/>
      <c r="AB351" s="235"/>
      <c r="AC351" s="235"/>
      <c r="AD351" s="235"/>
      <c r="AE351" s="235"/>
      <c r="AF351" s="235"/>
      <c r="AG351" s="235"/>
      <c r="AH351" s="235"/>
      <c r="AI351" s="235"/>
      <c r="AJ351" s="235"/>
      <c r="AK351" s="235"/>
      <c r="AL351" s="235"/>
      <c r="AM351" s="235"/>
      <c r="AN351" s="235"/>
      <c r="AO351" s="235"/>
    </row>
    <row r="352" spans="1:41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35"/>
      <c r="AB352" s="235"/>
      <c r="AC352" s="235"/>
      <c r="AD352" s="235"/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/>
      <c r="AO352" s="235"/>
    </row>
    <row r="353" spans="1:41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  <c r="AA353" s="235"/>
      <c r="AB353" s="235"/>
      <c r="AC353" s="235"/>
      <c r="AD353" s="235"/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/>
      <c r="AO353" s="235"/>
    </row>
    <row r="354" spans="1:41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</row>
    <row r="355" spans="1:41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  <c r="AA355" s="235"/>
      <c r="AB355" s="235"/>
      <c r="AC355" s="235"/>
      <c r="AD355" s="235"/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/>
      <c r="AO355" s="235"/>
    </row>
    <row r="356" spans="1:41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35"/>
      <c r="AB356" s="235"/>
      <c r="AC356" s="235"/>
      <c r="AD356" s="235"/>
      <c r="AE356" s="235"/>
      <c r="AF356" s="235"/>
      <c r="AG356" s="235"/>
      <c r="AH356" s="235"/>
      <c r="AI356" s="235"/>
      <c r="AJ356" s="235"/>
      <c r="AK356" s="235"/>
      <c r="AL356" s="235"/>
      <c r="AM356" s="235"/>
      <c r="AN356" s="235"/>
      <c r="AO356" s="235"/>
    </row>
    <row r="357" spans="1:41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35"/>
      <c r="AB357" s="235"/>
      <c r="AC357" s="235"/>
      <c r="AD357" s="235"/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/>
      <c r="AO357" s="235"/>
    </row>
    <row r="358" spans="1:41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35"/>
      <c r="AB358" s="235"/>
      <c r="AC358" s="235"/>
      <c r="AD358" s="235"/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/>
      <c r="AO358" s="235"/>
    </row>
    <row r="359" spans="1:41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35"/>
      <c r="AB359" s="235"/>
      <c r="AC359" s="235"/>
      <c r="AD359" s="235"/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/>
      <c r="AO359" s="235"/>
    </row>
    <row r="360" spans="1:41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35"/>
      <c r="AB360" s="235"/>
      <c r="AC360" s="235"/>
      <c r="AD360" s="235"/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/>
      <c r="AO360" s="235"/>
    </row>
    <row r="361" spans="1:4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</row>
    <row r="362" spans="1:41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  <c r="AB362" s="235"/>
      <c r="AC362" s="235"/>
      <c r="AD362" s="235"/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/>
      <c r="AO362" s="235"/>
    </row>
    <row r="363" spans="1:41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  <c r="AA363" s="235"/>
      <c r="AB363" s="235"/>
      <c r="AC363" s="235"/>
      <c r="AD363" s="235"/>
      <c r="AE363" s="235"/>
      <c r="AF363" s="235"/>
      <c r="AG363" s="235"/>
      <c r="AH363" s="235"/>
      <c r="AI363" s="235"/>
      <c r="AJ363" s="235"/>
      <c r="AK363" s="235"/>
      <c r="AL363" s="235"/>
      <c r="AM363" s="235"/>
      <c r="AN363" s="235"/>
      <c r="AO363" s="235"/>
    </row>
    <row r="364" spans="1:41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  <c r="AA364" s="235"/>
      <c r="AB364" s="235"/>
      <c r="AC364" s="235"/>
      <c r="AD364" s="235"/>
      <c r="AE364" s="235"/>
      <c r="AF364" s="235"/>
      <c r="AG364" s="235"/>
      <c r="AH364" s="235"/>
      <c r="AI364" s="235"/>
      <c r="AJ364" s="235"/>
      <c r="AK364" s="235"/>
      <c r="AL364" s="235"/>
      <c r="AM364" s="235"/>
      <c r="AN364" s="235"/>
      <c r="AO364" s="235"/>
    </row>
    <row r="365" spans="1:41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  <c r="AA365" s="235"/>
      <c r="AB365" s="235"/>
      <c r="AC365" s="235"/>
      <c r="AD365" s="235"/>
      <c r="AE365" s="235"/>
      <c r="AF365" s="235"/>
      <c r="AG365" s="235"/>
      <c r="AH365" s="235"/>
      <c r="AI365" s="235"/>
      <c r="AJ365" s="235"/>
      <c r="AK365" s="235"/>
      <c r="AL365" s="235"/>
      <c r="AM365" s="235"/>
      <c r="AN365" s="235"/>
      <c r="AO365" s="235"/>
    </row>
    <row r="366" spans="1:41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  <c r="AB366" s="235"/>
      <c r="AC366" s="235"/>
      <c r="AD366" s="235"/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/>
      <c r="AO366" s="235"/>
    </row>
    <row r="367" spans="1:41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</row>
    <row r="368" spans="1:41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</row>
    <row r="369" spans="1:41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</row>
    <row r="370" spans="1:41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35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</row>
    <row r="371" spans="1:4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35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</row>
    <row r="372" spans="1:41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35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</row>
    <row r="373" spans="1:41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</row>
    <row r="374" spans="1:41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35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</row>
    <row r="375" spans="1:41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35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</row>
    <row r="376" spans="1:41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  <c r="AB376" s="235"/>
      <c r="AC376" s="235"/>
      <c r="AD376" s="235"/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/>
      <c r="AO376" s="235"/>
    </row>
    <row r="377" spans="1:41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  <c r="AB377" s="235"/>
      <c r="AC377" s="235"/>
      <c r="AD377" s="235"/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/>
      <c r="AO377" s="235"/>
    </row>
    <row r="378" spans="1:41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  <c r="AA378" s="235"/>
      <c r="AB378" s="235"/>
      <c r="AC378" s="235"/>
      <c r="AD378" s="235"/>
      <c r="AE378" s="235"/>
      <c r="AF378" s="235"/>
      <c r="AG378" s="235"/>
      <c r="AH378" s="235"/>
      <c r="AI378" s="235"/>
      <c r="AJ378" s="235"/>
      <c r="AK378" s="235"/>
      <c r="AL378" s="235"/>
      <c r="AM378" s="235"/>
      <c r="AN378" s="235"/>
      <c r="AO378" s="235"/>
    </row>
    <row r="379" spans="1:41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35"/>
      <c r="AB379" s="235"/>
      <c r="AC379" s="235"/>
      <c r="AD379" s="235"/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/>
      <c r="AO379" s="235"/>
    </row>
    <row r="380" spans="1:41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  <c r="AB380" s="235"/>
      <c r="AC380" s="235"/>
      <c r="AD380" s="235"/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/>
      <c r="AO380" s="235"/>
    </row>
    <row r="381" spans="1:4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  <c r="AB381" s="235"/>
      <c r="AC381" s="235"/>
      <c r="AD381" s="235"/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/>
      <c r="AO381" s="235"/>
    </row>
    <row r="382" spans="1:41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35"/>
      <c r="AB382" s="235"/>
      <c r="AC382" s="235"/>
      <c r="AD382" s="235"/>
      <c r="AE382" s="235"/>
      <c r="AF382" s="235"/>
      <c r="AG382" s="235"/>
      <c r="AH382" s="235"/>
      <c r="AI382" s="235"/>
      <c r="AJ382" s="235"/>
      <c r="AK382" s="235"/>
      <c r="AL382" s="235"/>
      <c r="AM382" s="235"/>
      <c r="AN382" s="235"/>
      <c r="AO382" s="235"/>
    </row>
    <row r="383" spans="1:41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35"/>
      <c r="AB383" s="235"/>
      <c r="AC383" s="235"/>
      <c r="AD383" s="235"/>
      <c r="AE383" s="235"/>
      <c r="AF383" s="235"/>
      <c r="AG383" s="235"/>
      <c r="AH383" s="235"/>
      <c r="AI383" s="235"/>
      <c r="AJ383" s="235"/>
      <c r="AK383" s="235"/>
      <c r="AL383" s="235"/>
      <c r="AM383" s="235"/>
      <c r="AN383" s="235"/>
      <c r="AO383" s="235"/>
    </row>
    <row r="384" spans="1:41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35"/>
      <c r="AB384" s="235"/>
      <c r="AC384" s="235"/>
      <c r="AD384" s="235"/>
      <c r="AE384" s="235"/>
      <c r="AF384" s="235"/>
      <c r="AG384" s="235"/>
      <c r="AH384" s="235"/>
      <c r="AI384" s="235"/>
      <c r="AJ384" s="235"/>
      <c r="AK384" s="235"/>
      <c r="AL384" s="235"/>
      <c r="AM384" s="235"/>
      <c r="AN384" s="235"/>
      <c r="AO384" s="235"/>
    </row>
    <row r="385" spans="1:41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35"/>
      <c r="AB385" s="235"/>
      <c r="AC385" s="235"/>
      <c r="AD385" s="235"/>
      <c r="AE385" s="235"/>
      <c r="AF385" s="235"/>
      <c r="AG385" s="235"/>
      <c r="AH385" s="235"/>
      <c r="AI385" s="235"/>
      <c r="AJ385" s="235"/>
      <c r="AK385" s="235"/>
      <c r="AL385" s="235"/>
      <c r="AM385" s="235"/>
      <c r="AN385" s="235"/>
      <c r="AO385" s="235"/>
    </row>
    <row r="386" spans="1:41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  <c r="AA386" s="235"/>
      <c r="AB386" s="235"/>
      <c r="AC386" s="235"/>
      <c r="AD386" s="235"/>
      <c r="AE386" s="235"/>
      <c r="AF386" s="235"/>
      <c r="AG386" s="235"/>
      <c r="AH386" s="235"/>
      <c r="AI386" s="235"/>
      <c r="AJ386" s="235"/>
      <c r="AK386" s="235"/>
      <c r="AL386" s="235"/>
      <c r="AM386" s="235"/>
      <c r="AN386" s="235"/>
      <c r="AO386" s="235"/>
    </row>
    <row r="387" spans="1:41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  <c r="AA387" s="235"/>
      <c r="AB387" s="235"/>
      <c r="AC387" s="235"/>
      <c r="AD387" s="235"/>
      <c r="AE387" s="235"/>
      <c r="AF387" s="235"/>
      <c r="AG387" s="235"/>
      <c r="AH387" s="235"/>
      <c r="AI387" s="235"/>
      <c r="AJ387" s="235"/>
      <c r="AK387" s="235"/>
      <c r="AL387" s="235"/>
      <c r="AM387" s="235"/>
      <c r="AN387" s="235"/>
      <c r="AO387" s="235"/>
    </row>
    <row r="388" spans="1:41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  <c r="AA388" s="235"/>
      <c r="AB388" s="235"/>
      <c r="AC388" s="235"/>
      <c r="AD388" s="235"/>
      <c r="AE388" s="235"/>
      <c r="AF388" s="235"/>
      <c r="AG388" s="235"/>
      <c r="AH388" s="235"/>
      <c r="AI388" s="235"/>
      <c r="AJ388" s="235"/>
      <c r="AK388" s="235"/>
      <c r="AL388" s="235"/>
      <c r="AM388" s="235"/>
      <c r="AN388" s="235"/>
      <c r="AO388" s="235"/>
    </row>
    <row r="389" spans="1:41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  <c r="AA389" s="235"/>
      <c r="AB389" s="235"/>
      <c r="AC389" s="235"/>
      <c r="AD389" s="235"/>
      <c r="AE389" s="235"/>
      <c r="AF389" s="235"/>
      <c r="AG389" s="235"/>
      <c r="AH389" s="235"/>
      <c r="AI389" s="235"/>
      <c r="AJ389" s="235"/>
      <c r="AK389" s="235"/>
      <c r="AL389" s="235"/>
      <c r="AM389" s="235"/>
      <c r="AN389" s="235"/>
      <c r="AO389" s="235"/>
    </row>
    <row r="390" spans="1:41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  <c r="AB390" s="235"/>
      <c r="AC390" s="235"/>
      <c r="AD390" s="235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</row>
    <row r="391" spans="1:4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/>
      <c r="AO391" s="235"/>
    </row>
    <row r="392" spans="1:41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  <c r="AB392" s="235"/>
      <c r="AC392" s="235"/>
      <c r="AD392" s="235"/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/>
      <c r="AO392" s="235"/>
    </row>
    <row r="393" spans="1:41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  <c r="AA393" s="235"/>
      <c r="AB393" s="235"/>
      <c r="AC393" s="235"/>
      <c r="AD393" s="235"/>
      <c r="AE393" s="235"/>
      <c r="AF393" s="235"/>
      <c r="AG393" s="235"/>
      <c r="AH393" s="235"/>
      <c r="AI393" s="235"/>
      <c r="AJ393" s="235"/>
      <c r="AK393" s="235"/>
      <c r="AL393" s="235"/>
      <c r="AM393" s="235"/>
      <c r="AN393" s="235"/>
      <c r="AO393" s="235"/>
    </row>
    <row r="394" spans="1:41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  <c r="AA394" s="235"/>
      <c r="AB394" s="235"/>
      <c r="AC394" s="235"/>
      <c r="AD394" s="235"/>
      <c r="AE394" s="235"/>
      <c r="AF394" s="235"/>
      <c r="AG394" s="235"/>
      <c r="AH394" s="235"/>
      <c r="AI394" s="235"/>
      <c r="AJ394" s="235"/>
      <c r="AK394" s="235"/>
      <c r="AL394" s="235"/>
      <c r="AM394" s="235"/>
      <c r="AN394" s="235"/>
      <c r="AO394" s="235"/>
    </row>
    <row r="395" spans="1:41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  <c r="AA395" s="235"/>
      <c r="AB395" s="235"/>
      <c r="AC395" s="235"/>
      <c r="AD395" s="235"/>
      <c r="AE395" s="235"/>
      <c r="AF395" s="235"/>
      <c r="AG395" s="235"/>
      <c r="AH395" s="235"/>
      <c r="AI395" s="235"/>
      <c r="AJ395" s="235"/>
      <c r="AK395" s="235"/>
      <c r="AL395" s="235"/>
      <c r="AM395" s="235"/>
      <c r="AN395" s="235"/>
      <c r="AO395" s="235"/>
    </row>
    <row r="396" spans="1:41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  <c r="AA396" s="235"/>
      <c r="AB396" s="235"/>
      <c r="AC396" s="235"/>
      <c r="AD396" s="235"/>
      <c r="AE396" s="235"/>
      <c r="AF396" s="235"/>
      <c r="AG396" s="235"/>
      <c r="AH396" s="235"/>
      <c r="AI396" s="235"/>
      <c r="AJ396" s="235"/>
      <c r="AK396" s="235"/>
      <c r="AL396" s="235"/>
      <c r="AM396" s="235"/>
      <c r="AN396" s="235"/>
      <c r="AO396" s="235"/>
    </row>
    <row r="397" spans="1:41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  <c r="AA397" s="235"/>
      <c r="AB397" s="235"/>
      <c r="AC397" s="235"/>
      <c r="AD397" s="235"/>
      <c r="AE397" s="235"/>
      <c r="AF397" s="235"/>
      <c r="AG397" s="235"/>
      <c r="AH397" s="235"/>
      <c r="AI397" s="235"/>
      <c r="AJ397" s="235"/>
      <c r="AK397" s="235"/>
      <c r="AL397" s="235"/>
      <c r="AM397" s="235"/>
      <c r="AN397" s="235"/>
      <c r="AO397" s="235"/>
    </row>
    <row r="398" spans="1:41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  <c r="AA398" s="235"/>
      <c r="AB398" s="235"/>
      <c r="AC398" s="235"/>
      <c r="AD398" s="235"/>
      <c r="AE398" s="235"/>
      <c r="AF398" s="235"/>
      <c r="AG398" s="235"/>
      <c r="AH398" s="235"/>
      <c r="AI398" s="235"/>
      <c r="AJ398" s="235"/>
      <c r="AK398" s="235"/>
      <c r="AL398" s="235"/>
      <c r="AM398" s="235"/>
      <c r="AN398" s="235"/>
      <c r="AO398" s="235"/>
    </row>
    <row r="399" spans="1:41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  <c r="AA399" s="235"/>
      <c r="AB399" s="235"/>
      <c r="AC399" s="235"/>
      <c r="AD399" s="235"/>
      <c r="AE399" s="235"/>
      <c r="AF399" s="235"/>
      <c r="AG399" s="235"/>
      <c r="AH399" s="235"/>
      <c r="AI399" s="235"/>
      <c r="AJ399" s="235"/>
      <c r="AK399" s="235"/>
      <c r="AL399" s="235"/>
      <c r="AM399" s="235"/>
      <c r="AN399" s="235"/>
      <c r="AO399" s="235"/>
    </row>
    <row r="400" spans="1:41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  <c r="AA400" s="235"/>
      <c r="AB400" s="235"/>
      <c r="AC400" s="235"/>
      <c r="AD400" s="235"/>
      <c r="AE400" s="235"/>
      <c r="AF400" s="235"/>
      <c r="AG400" s="235"/>
      <c r="AH400" s="235"/>
      <c r="AI400" s="235"/>
      <c r="AJ400" s="235"/>
      <c r="AK400" s="235"/>
      <c r="AL400" s="235"/>
      <c r="AM400" s="235"/>
      <c r="AN400" s="235"/>
      <c r="AO400" s="235"/>
    </row>
    <row r="401" spans="1:4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  <c r="AA401" s="235"/>
      <c r="AB401" s="235"/>
      <c r="AC401" s="235"/>
      <c r="AD401" s="235"/>
      <c r="AE401" s="235"/>
      <c r="AF401" s="235"/>
      <c r="AG401" s="235"/>
      <c r="AH401" s="235"/>
      <c r="AI401" s="235"/>
      <c r="AJ401" s="235"/>
      <c r="AK401" s="235"/>
      <c r="AL401" s="235"/>
      <c r="AM401" s="235"/>
      <c r="AN401" s="235"/>
      <c r="AO401" s="235"/>
    </row>
    <row r="402" spans="1:41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  <c r="AB402" s="235"/>
      <c r="AC402" s="235"/>
      <c r="AD402" s="235"/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/>
      <c r="AO402" s="235"/>
    </row>
    <row r="403" spans="1:41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</row>
    <row r="404" spans="1:41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</row>
    <row r="405" spans="1:41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</row>
    <row r="406" spans="1:41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  <c r="AB406" s="235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</row>
    <row r="407" spans="1:41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</row>
    <row r="408" spans="1:41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</row>
    <row r="409" spans="1:41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</row>
    <row r="410" spans="1:41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</row>
    <row r="411" spans="1:4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</row>
    <row r="412" spans="1:41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  <c r="AA412" s="235"/>
      <c r="AB412" s="235"/>
      <c r="AC412" s="235"/>
      <c r="AD412" s="235"/>
      <c r="AE412" s="235"/>
      <c r="AF412" s="235"/>
      <c r="AG412" s="235"/>
      <c r="AH412" s="235"/>
      <c r="AI412" s="235"/>
      <c r="AJ412" s="235"/>
      <c r="AK412" s="235"/>
      <c r="AL412" s="235"/>
      <c r="AM412" s="235"/>
      <c r="AN412" s="235"/>
      <c r="AO412" s="235"/>
    </row>
    <row r="413" spans="1:41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  <c r="AA413" s="235"/>
      <c r="AB413" s="235"/>
      <c r="AC413" s="235"/>
      <c r="AD413" s="235"/>
      <c r="AE413" s="235"/>
      <c r="AF413" s="235"/>
      <c r="AG413" s="235"/>
      <c r="AH413" s="235"/>
      <c r="AI413" s="235"/>
      <c r="AJ413" s="235"/>
      <c r="AK413" s="235"/>
      <c r="AL413" s="235"/>
      <c r="AM413" s="235"/>
      <c r="AN413" s="235"/>
      <c r="AO413" s="235"/>
    </row>
    <row r="414" spans="1:41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  <c r="AA414" s="235"/>
      <c r="AB414" s="235"/>
      <c r="AC414" s="235"/>
      <c r="AD414" s="235"/>
      <c r="AE414" s="235"/>
      <c r="AF414" s="235"/>
      <c r="AG414" s="235"/>
      <c r="AH414" s="235"/>
      <c r="AI414" s="235"/>
      <c r="AJ414" s="235"/>
      <c r="AK414" s="235"/>
      <c r="AL414" s="235"/>
      <c r="AM414" s="235"/>
      <c r="AN414" s="235"/>
      <c r="AO414" s="235"/>
    </row>
    <row r="415" spans="1:41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  <c r="AA415" s="235"/>
      <c r="AB415" s="235"/>
      <c r="AC415" s="235"/>
      <c r="AD415" s="235"/>
      <c r="AE415" s="235"/>
      <c r="AF415" s="235"/>
      <c r="AG415" s="235"/>
      <c r="AH415" s="235"/>
      <c r="AI415" s="235"/>
      <c r="AJ415" s="235"/>
      <c r="AK415" s="235"/>
      <c r="AL415" s="235"/>
      <c r="AM415" s="235"/>
      <c r="AN415" s="235"/>
      <c r="AO415" s="235"/>
    </row>
    <row r="416" spans="1:41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  <c r="AA416" s="235"/>
      <c r="AB416" s="235"/>
      <c r="AC416" s="235"/>
      <c r="AD416" s="235"/>
      <c r="AE416" s="235"/>
      <c r="AF416" s="235"/>
      <c r="AG416" s="235"/>
      <c r="AH416" s="235"/>
      <c r="AI416" s="235"/>
      <c r="AJ416" s="235"/>
      <c r="AK416" s="235"/>
      <c r="AL416" s="235"/>
      <c r="AM416" s="235"/>
      <c r="AN416" s="235"/>
      <c r="AO416" s="235"/>
    </row>
    <row r="417" spans="1:41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  <c r="AA417" s="235"/>
      <c r="AB417" s="235"/>
      <c r="AC417" s="235"/>
      <c r="AD417" s="235"/>
      <c r="AE417" s="235"/>
      <c r="AF417" s="235"/>
      <c r="AG417" s="235"/>
      <c r="AH417" s="235"/>
      <c r="AI417" s="235"/>
      <c r="AJ417" s="235"/>
      <c r="AK417" s="235"/>
      <c r="AL417" s="235"/>
      <c r="AM417" s="235"/>
      <c r="AN417" s="235"/>
      <c r="AO417" s="235"/>
    </row>
    <row r="418" spans="1:41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  <c r="AA418" s="235"/>
      <c r="AB418" s="235"/>
      <c r="AC418" s="235"/>
      <c r="AD418" s="235"/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/>
      <c r="AO418" s="235"/>
    </row>
    <row r="419" spans="1:41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  <c r="AA419" s="235"/>
      <c r="AB419" s="235"/>
      <c r="AC419" s="235"/>
      <c r="AD419" s="235"/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/>
      <c r="AO419" s="235"/>
    </row>
    <row r="420" spans="1:41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  <c r="AA420" s="235"/>
      <c r="AB420" s="235"/>
      <c r="AC420" s="235"/>
      <c r="AD420" s="235"/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/>
      <c r="AO420" s="235"/>
    </row>
    <row r="421" spans="1:4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  <c r="AA421" s="235"/>
      <c r="AB421" s="235"/>
      <c r="AC421" s="235"/>
      <c r="AD421" s="235"/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/>
      <c r="AO421" s="235"/>
    </row>
    <row r="422" spans="1:41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  <c r="AA422" s="235"/>
      <c r="AB422" s="235"/>
      <c r="AC422" s="235"/>
      <c r="AD422" s="235"/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/>
      <c r="AO422" s="235"/>
    </row>
    <row r="423" spans="1:41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  <c r="AA423" s="235"/>
      <c r="AB423" s="235"/>
      <c r="AC423" s="235"/>
      <c r="AD423" s="235"/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/>
      <c r="AO423" s="235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showGridLines="0" topLeftCell="A52" zoomScale="130" zoomScaleNormal="130" zoomScaleSheetLayoutView="100" workbookViewId="0">
      <selection activeCell="U21" sqref="U21"/>
    </sheetView>
  </sheetViews>
  <sheetFormatPr baseColWidth="10" defaultColWidth="11.42578125" defaultRowHeight="12.75"/>
  <cols>
    <col min="1" max="1" width="28" style="383" customWidth="1"/>
    <col min="2" max="2" width="13.7109375" style="383" bestFit="1" customWidth="1"/>
    <col min="3" max="3" width="12.42578125" style="383" bestFit="1" customWidth="1"/>
    <col min="4" max="4" width="16.42578125" style="383" customWidth="1"/>
    <col min="5" max="6" width="12.28515625" style="383" bestFit="1" customWidth="1"/>
    <col min="7" max="7" width="11.28515625" style="383" bestFit="1" customWidth="1"/>
    <col min="8" max="8" width="11.42578125" style="383" bestFit="1" customWidth="1"/>
    <col min="9" max="9" width="11.7109375" style="383" bestFit="1" customWidth="1"/>
    <col min="10" max="10" width="12.28515625" style="383" bestFit="1" customWidth="1"/>
    <col min="11" max="11" width="14.42578125" style="383" customWidth="1"/>
    <col min="12" max="12" width="15.28515625" style="383" customWidth="1"/>
    <col min="13" max="13" width="11.42578125" style="383"/>
    <col min="14" max="14" width="27.7109375" style="383" bestFit="1" customWidth="1"/>
    <col min="15" max="23" width="11.42578125" style="383"/>
    <col min="24" max="24" width="15.42578125" style="383" customWidth="1"/>
    <col min="25" max="16384" width="11.42578125" style="383"/>
  </cols>
  <sheetData>
    <row r="1" spans="1:25">
      <c r="A1" s="439" t="s">
        <v>125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N1" s="439" t="s">
        <v>125</v>
      </c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</row>
    <row r="2" spans="1:25">
      <c r="A2" s="439" t="s">
        <v>147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N2" s="439" t="s">
        <v>147</v>
      </c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</row>
    <row r="3" spans="1:25">
      <c r="A3" s="439" t="s">
        <v>339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N3" s="439" t="s">
        <v>347</v>
      </c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439"/>
    </row>
    <row r="4" spans="1:25" ht="13.5" customHeight="1" thickBot="1">
      <c r="A4" s="438" t="s">
        <v>340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N4" s="438" t="s">
        <v>348</v>
      </c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</row>
    <row r="5" spans="1:25" ht="27" thickTop="1" thickBot="1">
      <c r="A5" s="384" t="s">
        <v>0</v>
      </c>
      <c r="B5" s="385" t="s">
        <v>111</v>
      </c>
      <c r="C5" s="385" t="s">
        <v>341</v>
      </c>
      <c r="D5" s="385" t="s">
        <v>342</v>
      </c>
      <c r="E5" s="385" t="s">
        <v>113</v>
      </c>
      <c r="F5" s="385" t="s">
        <v>132</v>
      </c>
      <c r="G5" s="385" t="s">
        <v>126</v>
      </c>
      <c r="H5" s="385" t="s">
        <v>145</v>
      </c>
      <c r="I5" s="385" t="s">
        <v>146</v>
      </c>
      <c r="J5" s="385" t="s">
        <v>343</v>
      </c>
      <c r="K5" s="385" t="s">
        <v>344</v>
      </c>
      <c r="L5" s="386" t="s">
        <v>53</v>
      </c>
      <c r="N5" s="384" t="s">
        <v>0</v>
      </c>
      <c r="O5" s="385" t="s">
        <v>111</v>
      </c>
      <c r="P5" s="385" t="s">
        <v>341</v>
      </c>
      <c r="Q5" s="385" t="s">
        <v>342</v>
      </c>
      <c r="R5" s="385" t="s">
        <v>113</v>
      </c>
      <c r="S5" s="385" t="s">
        <v>132</v>
      </c>
      <c r="T5" s="385" t="s">
        <v>126</v>
      </c>
      <c r="U5" s="385" t="s">
        <v>145</v>
      </c>
      <c r="V5" s="385" t="s">
        <v>146</v>
      </c>
      <c r="W5" s="385" t="s">
        <v>343</v>
      </c>
      <c r="X5" s="385" t="s">
        <v>344</v>
      </c>
      <c r="Y5" s="386" t="s">
        <v>53</v>
      </c>
    </row>
    <row r="6" spans="1:25" ht="13.5" thickTop="1">
      <c r="A6" s="387" t="s">
        <v>1</v>
      </c>
      <c r="B6" s="388">
        <f>+'[5]Calculo Coef Actualizado'!B6-'[5]pagado 1er Sem'!B6</f>
        <v>-2.7008354663848877E-8</v>
      </c>
      <c r="C6" s="388">
        <f>+'[5]Calculo Coef Actualizado'!C6-'[5]pagado 1er Sem'!C6</f>
        <v>-3.6088749766349792E-9</v>
      </c>
      <c r="D6" s="388">
        <f>+'[5]Calculo Coef Actualizado'!D6-'[5]pagado 1er Sem'!D6</f>
        <v>2382719.9418644393</v>
      </c>
      <c r="E6" s="388">
        <f>+'[5]Calculo Coef Actualizado'!E6-'[5]pagado 1er Sem'!E6</f>
        <v>-7.8580342233181E-10</v>
      </c>
      <c r="F6" s="388">
        <f>+'[5]Calculo Coef Actualizado'!F6-'[5]pagado 1er Sem'!F6</f>
        <v>-1.280568540096283E-9</v>
      </c>
      <c r="G6" s="388">
        <f>+'[5]Calculo Coef Actualizado'!G6-'[5]pagado 1er Sem'!G6</f>
        <v>6.3664629124104977E-11</v>
      </c>
      <c r="H6" s="388">
        <f>+'[5]Calculo Coef Actualizado'!H6-'[5]pagado 1er Sem'!H6</f>
        <v>-6.9849193096160889E-10</v>
      </c>
      <c r="I6" s="388">
        <f>+'[5]Calculo Coef Actualizado'!I6-'[5]pagado 1er Sem'!I6</f>
        <v>-1.4915713109076023E-10</v>
      </c>
      <c r="J6" s="388">
        <f>+'[5]Calculo Coef Actualizado'!J6-'[5]pagado 1er Sem'!J6</f>
        <v>46736.845997324323</v>
      </c>
      <c r="K6" s="388">
        <f>+'[5]Calculo Coef Actualizado'!K6-'[5]pagado 1er Sem'!K6</f>
        <v>-3.4924596548080444E-10</v>
      </c>
      <c r="L6" s="389">
        <f>SUM(B6:K6)</f>
        <v>2429456.7878617295</v>
      </c>
      <c r="N6" s="387" t="s">
        <v>1</v>
      </c>
      <c r="O6" s="388">
        <f t="shared" ref="O6:X21" si="0">+B6/6</f>
        <v>-4.5013924439748125E-9</v>
      </c>
      <c r="P6" s="388">
        <f t="shared" si="0"/>
        <v>-6.0147916277249658E-10</v>
      </c>
      <c r="Q6" s="388">
        <f t="shared" si="0"/>
        <v>397119.9903107399</v>
      </c>
      <c r="R6" s="388">
        <f t="shared" si="0"/>
        <v>-1.3096723705530167E-10</v>
      </c>
      <c r="S6" s="388">
        <f t="shared" si="0"/>
        <v>-2.1342809001604715E-10</v>
      </c>
      <c r="T6" s="388">
        <f t="shared" si="0"/>
        <v>1.0610771520684162E-11</v>
      </c>
      <c r="U6" s="388">
        <f t="shared" si="0"/>
        <v>-1.1641532182693481E-10</v>
      </c>
      <c r="V6" s="388">
        <f t="shared" si="0"/>
        <v>-2.4859521848460037E-11</v>
      </c>
      <c r="W6" s="388">
        <f t="shared" si="0"/>
        <v>7789.4743328873874</v>
      </c>
      <c r="X6" s="388">
        <f t="shared" si="0"/>
        <v>-5.8207660913467407E-11</v>
      </c>
      <c r="Y6" s="389">
        <f>SUM(O6:X6)</f>
        <v>404909.46464362164</v>
      </c>
    </row>
    <row r="7" spans="1:25">
      <c r="A7" s="387" t="s">
        <v>2</v>
      </c>
      <c r="B7" s="388">
        <f>+'[5]Calculo Coef Actualizado'!B7-'[5]pagado 1er Sem'!B7</f>
        <v>0</v>
      </c>
      <c r="C7" s="388">
        <f>+'[5]Calculo Coef Actualizado'!C7-'[5]pagado 1er Sem'!C7</f>
        <v>0</v>
      </c>
      <c r="D7" s="388">
        <f>+'[5]Calculo Coef Actualizado'!D7-'[5]pagado 1er Sem'!D7</f>
        <v>-472334.52273437125</v>
      </c>
      <c r="E7" s="388">
        <f>+'[5]Calculo Coef Actualizado'!E7-'[5]pagado 1er Sem'!E7</f>
        <v>0</v>
      </c>
      <c r="F7" s="388">
        <f>+'[5]Calculo Coef Actualizado'!F7-'[5]pagado 1er Sem'!F7</f>
        <v>0</v>
      </c>
      <c r="G7" s="388">
        <f>+'[5]Calculo Coef Actualizado'!G7-'[5]pagado 1er Sem'!G7</f>
        <v>0</v>
      </c>
      <c r="H7" s="388">
        <f>+'[5]Calculo Coef Actualizado'!H7-'[5]pagado 1er Sem'!H7</f>
        <v>0</v>
      </c>
      <c r="I7" s="388">
        <f>+'[5]Calculo Coef Actualizado'!I7-'[5]pagado 1er Sem'!I7</f>
        <v>0</v>
      </c>
      <c r="J7" s="388">
        <f>+'[5]Calculo Coef Actualizado'!J7-'[5]pagado 1er Sem'!J7</f>
        <v>-24139.642766642333</v>
      </c>
      <c r="K7" s="388">
        <f>+'[5]Calculo Coef Actualizado'!K7-'[5]pagado 1er Sem'!K7</f>
        <v>0</v>
      </c>
      <c r="L7" s="389">
        <f t="shared" ref="L7:L56" si="1">SUM(B7:K7)</f>
        <v>-496474.16550101357</v>
      </c>
      <c r="N7" s="387" t="s">
        <v>2</v>
      </c>
      <c r="O7" s="388">
        <f t="shared" si="0"/>
        <v>0</v>
      </c>
      <c r="P7" s="388">
        <f t="shared" si="0"/>
        <v>0</v>
      </c>
      <c r="Q7" s="388">
        <f t="shared" si="0"/>
        <v>-78722.420455728541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388">
        <f t="shared" si="0"/>
        <v>0</v>
      </c>
      <c r="W7" s="388">
        <f t="shared" si="0"/>
        <v>-4023.2737944403889</v>
      </c>
      <c r="X7" s="388">
        <f t="shared" si="0"/>
        <v>0</v>
      </c>
      <c r="Y7" s="389">
        <f t="shared" ref="Y7:Y56" si="2">SUM(O7:X7)</f>
        <v>-82745.694250168934</v>
      </c>
    </row>
    <row r="8" spans="1:25">
      <c r="A8" s="387" t="s">
        <v>3</v>
      </c>
      <c r="B8" s="388">
        <f>+'[5]Calculo Coef Actualizado'!B8-'[5]pagado 1er Sem'!B8</f>
        <v>0</v>
      </c>
      <c r="C8" s="388">
        <f>+'[5]Calculo Coef Actualizado'!C8-'[5]pagado 1er Sem'!C8</f>
        <v>0</v>
      </c>
      <c r="D8" s="388">
        <f>+'[5]Calculo Coef Actualizado'!D8-'[5]pagado 1er Sem'!D8</f>
        <v>-474261.91022616322</v>
      </c>
      <c r="E8" s="388">
        <f>+'[5]Calculo Coef Actualizado'!E8-'[5]pagado 1er Sem'!E8</f>
        <v>0</v>
      </c>
      <c r="F8" s="388">
        <f>+'[5]Calculo Coef Actualizado'!F8-'[5]pagado 1er Sem'!F8</f>
        <v>-5.8207660913467407E-10</v>
      </c>
      <c r="G8" s="388">
        <f>+'[5]Calculo Coef Actualizado'!G8-'[5]pagado 1er Sem'!G8</f>
        <v>2.9103830456733704E-11</v>
      </c>
      <c r="H8" s="388">
        <f>+'[5]Calculo Coef Actualizado'!H8-'[5]pagado 1er Sem'!H8</f>
        <v>-3.2014213502407074E-10</v>
      </c>
      <c r="I8" s="388">
        <f>+'[5]Calculo Coef Actualizado'!I8-'[5]pagado 1er Sem'!I8</f>
        <v>-6.5483618527650833E-11</v>
      </c>
      <c r="J8" s="388">
        <f>+'[5]Calculo Coef Actualizado'!J8-'[5]pagado 1er Sem'!J8</f>
        <v>15761.156996581936</v>
      </c>
      <c r="K8" s="388">
        <f>+'[5]Calculo Coef Actualizado'!K8-'[5]pagado 1er Sem'!K8</f>
        <v>-1.6007106751203537E-10</v>
      </c>
      <c r="L8" s="389">
        <f t="shared" si="1"/>
        <v>-458500.75322958245</v>
      </c>
      <c r="N8" s="387" t="s">
        <v>3</v>
      </c>
      <c r="O8" s="388">
        <f t="shared" si="0"/>
        <v>0</v>
      </c>
      <c r="P8" s="388">
        <f t="shared" si="0"/>
        <v>0</v>
      </c>
      <c r="Q8" s="388">
        <f t="shared" si="0"/>
        <v>-79043.651704360542</v>
      </c>
      <c r="R8" s="388">
        <f t="shared" si="0"/>
        <v>0</v>
      </c>
      <c r="S8" s="388">
        <f t="shared" si="0"/>
        <v>-9.701276818911235E-11</v>
      </c>
      <c r="T8" s="388">
        <f t="shared" si="0"/>
        <v>4.850638409455617E-12</v>
      </c>
      <c r="U8" s="388">
        <f t="shared" si="0"/>
        <v>-5.3357022504011788E-11</v>
      </c>
      <c r="V8" s="388">
        <f t="shared" si="0"/>
        <v>-1.0913936421275139E-11</v>
      </c>
      <c r="W8" s="388">
        <f t="shared" si="0"/>
        <v>2626.8594994303226</v>
      </c>
      <c r="X8" s="388">
        <f t="shared" si="0"/>
        <v>-2.6678511252005894E-11</v>
      </c>
      <c r="Y8" s="389">
        <f t="shared" si="2"/>
        <v>-76416.792204930418</v>
      </c>
    </row>
    <row r="9" spans="1:25">
      <c r="A9" s="387" t="s">
        <v>4</v>
      </c>
      <c r="B9" s="388">
        <f>+'[5]Calculo Coef Actualizado'!B9-'[5]pagado 1er Sem'!B9</f>
        <v>0</v>
      </c>
      <c r="C9" s="388">
        <f>+'[5]Calculo Coef Actualizado'!C9-'[5]pagado 1er Sem'!C9</f>
        <v>0</v>
      </c>
      <c r="D9" s="388">
        <f>+'[5]Calculo Coef Actualizado'!D9-'[5]pagado 1er Sem'!D9</f>
        <v>1395994.2601057766</v>
      </c>
      <c r="E9" s="388">
        <f>+'[5]Calculo Coef Actualizado'!E9-'[5]pagado 1er Sem'!E9</f>
        <v>0</v>
      </c>
      <c r="F9" s="388">
        <f>+'[5]Calculo Coef Actualizado'!F9-'[5]pagado 1er Sem'!F9</f>
        <v>0</v>
      </c>
      <c r="G9" s="388">
        <f>+'[5]Calculo Coef Actualizado'!G9-'[5]pagado 1er Sem'!G9</f>
        <v>0</v>
      </c>
      <c r="H9" s="388">
        <f>+'[5]Calculo Coef Actualizado'!H9-'[5]pagado 1er Sem'!H9</f>
        <v>0</v>
      </c>
      <c r="I9" s="388">
        <f>+'[5]Calculo Coef Actualizado'!I9-'[5]pagado 1er Sem'!I9</f>
        <v>0</v>
      </c>
      <c r="J9" s="388">
        <f>+'[5]Calculo Coef Actualizado'!J9-'[5]pagado 1er Sem'!J9</f>
        <v>-2326.6780876950361</v>
      </c>
      <c r="K9" s="388">
        <f>+'[5]Calculo Coef Actualizado'!K9-'[5]pagado 1er Sem'!K9</f>
        <v>0</v>
      </c>
      <c r="L9" s="389">
        <f t="shared" si="1"/>
        <v>1393667.5820180816</v>
      </c>
      <c r="N9" s="387" t="s">
        <v>4</v>
      </c>
      <c r="O9" s="388">
        <f t="shared" si="0"/>
        <v>0</v>
      </c>
      <c r="P9" s="388">
        <f t="shared" si="0"/>
        <v>0</v>
      </c>
      <c r="Q9" s="388">
        <f t="shared" si="0"/>
        <v>232665.71001762943</v>
      </c>
      <c r="R9" s="388">
        <f t="shared" si="0"/>
        <v>0</v>
      </c>
      <c r="S9" s="388">
        <f t="shared" si="0"/>
        <v>0</v>
      </c>
      <c r="T9" s="388">
        <f t="shared" si="0"/>
        <v>0</v>
      </c>
      <c r="U9" s="388">
        <f t="shared" si="0"/>
        <v>0</v>
      </c>
      <c r="V9" s="388">
        <f t="shared" si="0"/>
        <v>0</v>
      </c>
      <c r="W9" s="388">
        <f t="shared" si="0"/>
        <v>-387.77968128250603</v>
      </c>
      <c r="X9" s="388">
        <f t="shared" si="0"/>
        <v>0</v>
      </c>
      <c r="Y9" s="389">
        <f t="shared" si="2"/>
        <v>232277.93033634694</v>
      </c>
    </row>
    <row r="10" spans="1:25">
      <c r="A10" s="387" t="s">
        <v>5</v>
      </c>
      <c r="B10" s="388">
        <f>+'[5]Calculo Coef Actualizado'!B10-'[5]pagado 1er Sem'!B10</f>
        <v>0</v>
      </c>
      <c r="C10" s="388">
        <f>+'[5]Calculo Coef Actualizado'!C10-'[5]pagado 1er Sem'!C10</f>
        <v>0</v>
      </c>
      <c r="D10" s="388">
        <f>+'[5]Calculo Coef Actualizado'!D10-'[5]pagado 1er Sem'!D10</f>
        <v>3348571.9049584325</v>
      </c>
      <c r="E10" s="388">
        <f>+'[5]Calculo Coef Actualizado'!E10-'[5]pagado 1er Sem'!E10</f>
        <v>0</v>
      </c>
      <c r="F10" s="388">
        <f>+'[5]Calculo Coef Actualizado'!F10-'[5]pagado 1er Sem'!F10</f>
        <v>0</v>
      </c>
      <c r="G10" s="388">
        <f>+'[5]Calculo Coef Actualizado'!G10-'[5]pagado 1er Sem'!G10</f>
        <v>0</v>
      </c>
      <c r="H10" s="388">
        <f>+'[5]Calculo Coef Actualizado'!H10-'[5]pagado 1er Sem'!H10</f>
        <v>0</v>
      </c>
      <c r="I10" s="388">
        <f>+'[5]Calculo Coef Actualizado'!I10-'[5]pagado 1er Sem'!I10</f>
        <v>0</v>
      </c>
      <c r="J10" s="388">
        <f>+'[5]Calculo Coef Actualizado'!J10-'[5]pagado 1er Sem'!J10</f>
        <v>950.80989828327438</v>
      </c>
      <c r="K10" s="388">
        <f>+'[5]Calculo Coef Actualizado'!K10-'[5]pagado 1er Sem'!K10</f>
        <v>0</v>
      </c>
      <c r="L10" s="389">
        <f t="shared" si="1"/>
        <v>3349522.7148567159</v>
      </c>
      <c r="N10" s="387" t="s">
        <v>5</v>
      </c>
      <c r="O10" s="388">
        <f t="shared" si="0"/>
        <v>0</v>
      </c>
      <c r="P10" s="388">
        <f t="shared" si="0"/>
        <v>0</v>
      </c>
      <c r="Q10" s="388">
        <f t="shared" si="0"/>
        <v>558095.31749307213</v>
      </c>
      <c r="R10" s="388">
        <f t="shared" si="0"/>
        <v>0</v>
      </c>
      <c r="S10" s="388">
        <f t="shared" si="0"/>
        <v>0</v>
      </c>
      <c r="T10" s="388">
        <f t="shared" si="0"/>
        <v>0</v>
      </c>
      <c r="U10" s="388">
        <f t="shared" si="0"/>
        <v>0</v>
      </c>
      <c r="V10" s="388">
        <f t="shared" si="0"/>
        <v>0</v>
      </c>
      <c r="W10" s="388">
        <f t="shared" si="0"/>
        <v>158.46831638054573</v>
      </c>
      <c r="X10" s="388">
        <f t="shared" si="0"/>
        <v>0</v>
      </c>
      <c r="Y10" s="389">
        <f t="shared" si="2"/>
        <v>558253.78580945265</v>
      </c>
    </row>
    <row r="11" spans="1:25">
      <c r="A11" s="387" t="s">
        <v>6</v>
      </c>
      <c r="B11" s="388">
        <f>+'[5]Calculo Coef Actualizado'!B11-'[5]pagado 1er Sem'!B11</f>
        <v>0</v>
      </c>
      <c r="C11" s="388">
        <f>+'[5]Calculo Coef Actualizado'!C11-'[5]pagado 1er Sem'!C11</f>
        <v>0</v>
      </c>
      <c r="D11" s="388">
        <f>+'[5]Calculo Coef Actualizado'!D11-'[5]pagado 1er Sem'!D11</f>
        <v>87158.705188735388</v>
      </c>
      <c r="E11" s="388">
        <f>+'[5]Calculo Coef Actualizado'!E11-'[5]pagado 1er Sem'!E11</f>
        <v>0</v>
      </c>
      <c r="F11" s="388">
        <f>+'[5]Calculo Coef Actualizado'!F11-'[5]pagado 1er Sem'!F11</f>
        <v>0</v>
      </c>
      <c r="G11" s="388">
        <f>+'[5]Calculo Coef Actualizado'!G11-'[5]pagado 1er Sem'!G11</f>
        <v>0</v>
      </c>
      <c r="H11" s="388">
        <f>+'[5]Calculo Coef Actualizado'!H11-'[5]pagado 1er Sem'!H11</f>
        <v>0</v>
      </c>
      <c r="I11" s="388">
        <f>+'[5]Calculo Coef Actualizado'!I11-'[5]pagado 1er Sem'!I11</f>
        <v>0</v>
      </c>
      <c r="J11" s="388">
        <f>+'[5]Calculo Coef Actualizado'!J11-'[5]pagado 1er Sem'!J11</f>
        <v>29718.417103208601</v>
      </c>
      <c r="K11" s="388">
        <f>+'[5]Calculo Coef Actualizado'!K11-'[5]pagado 1er Sem'!K11</f>
        <v>0</v>
      </c>
      <c r="L11" s="389">
        <f t="shared" si="1"/>
        <v>116877.12229194399</v>
      </c>
      <c r="N11" s="387" t="s">
        <v>6</v>
      </c>
      <c r="O11" s="388">
        <f t="shared" si="0"/>
        <v>0</v>
      </c>
      <c r="P11" s="388">
        <f t="shared" si="0"/>
        <v>0</v>
      </c>
      <c r="Q11" s="388">
        <f t="shared" si="0"/>
        <v>14526.450864789231</v>
      </c>
      <c r="R11" s="388">
        <f t="shared" si="0"/>
        <v>0</v>
      </c>
      <c r="S11" s="388">
        <f t="shared" si="0"/>
        <v>0</v>
      </c>
      <c r="T11" s="388">
        <f t="shared" si="0"/>
        <v>0</v>
      </c>
      <c r="U11" s="388">
        <f t="shared" si="0"/>
        <v>0</v>
      </c>
      <c r="V11" s="388">
        <f t="shared" si="0"/>
        <v>0</v>
      </c>
      <c r="W11" s="388">
        <f t="shared" si="0"/>
        <v>4953.0695172014339</v>
      </c>
      <c r="X11" s="388">
        <f t="shared" si="0"/>
        <v>0</v>
      </c>
      <c r="Y11" s="389">
        <f t="shared" si="2"/>
        <v>19479.520381990664</v>
      </c>
    </row>
    <row r="12" spans="1:25">
      <c r="A12" s="387" t="s">
        <v>7</v>
      </c>
      <c r="B12" s="388">
        <f>+'[5]Calculo Coef Actualizado'!B12-'[5]pagado 1er Sem'!B12</f>
        <v>0</v>
      </c>
      <c r="C12" s="388">
        <f>+'[5]Calculo Coef Actualizado'!C12-'[5]pagado 1er Sem'!C12</f>
        <v>0</v>
      </c>
      <c r="D12" s="388">
        <f>+'[5]Calculo Coef Actualizado'!D12-'[5]pagado 1er Sem'!D12</f>
        <v>0</v>
      </c>
      <c r="E12" s="388">
        <f>+'[5]Calculo Coef Actualizado'!E12-'[5]pagado 1er Sem'!E12</f>
        <v>0</v>
      </c>
      <c r="F12" s="388">
        <f>+'[5]Calculo Coef Actualizado'!F12-'[5]pagado 1er Sem'!F12</f>
        <v>0</v>
      </c>
      <c r="G12" s="388">
        <f>+'[5]Calculo Coef Actualizado'!G12-'[5]pagado 1er Sem'!G12</f>
        <v>0</v>
      </c>
      <c r="H12" s="388">
        <f>+'[5]Calculo Coef Actualizado'!H12-'[5]pagado 1er Sem'!H12</f>
        <v>0</v>
      </c>
      <c r="I12" s="388">
        <f>+'[5]Calculo Coef Actualizado'!I12-'[5]pagado 1er Sem'!I12</f>
        <v>0</v>
      </c>
      <c r="J12" s="388">
        <f>+'[5]Calculo Coef Actualizado'!J12-'[5]pagado 1er Sem'!J12</f>
        <v>-17090.830959244689</v>
      </c>
      <c r="K12" s="388">
        <f>+'[5]Calculo Coef Actualizado'!K12-'[5]pagado 1er Sem'!K12</f>
        <v>0</v>
      </c>
      <c r="L12" s="389">
        <f t="shared" si="1"/>
        <v>-17090.830959244689</v>
      </c>
      <c r="N12" s="387" t="s">
        <v>7</v>
      </c>
      <c r="O12" s="388">
        <f t="shared" si="0"/>
        <v>0</v>
      </c>
      <c r="P12" s="388">
        <f t="shared" si="0"/>
        <v>0</v>
      </c>
      <c r="Q12" s="388">
        <f t="shared" si="0"/>
        <v>0</v>
      </c>
      <c r="R12" s="388">
        <f t="shared" si="0"/>
        <v>0</v>
      </c>
      <c r="S12" s="388">
        <f t="shared" si="0"/>
        <v>0</v>
      </c>
      <c r="T12" s="388">
        <f t="shared" si="0"/>
        <v>0</v>
      </c>
      <c r="U12" s="388">
        <f t="shared" si="0"/>
        <v>0</v>
      </c>
      <c r="V12" s="388">
        <f t="shared" si="0"/>
        <v>0</v>
      </c>
      <c r="W12" s="388">
        <f t="shared" si="0"/>
        <v>-2848.4718265407814</v>
      </c>
      <c r="X12" s="388">
        <f t="shared" si="0"/>
        <v>0</v>
      </c>
      <c r="Y12" s="389">
        <f t="shared" si="2"/>
        <v>-2848.4718265407814</v>
      </c>
    </row>
    <row r="13" spans="1:25">
      <c r="A13" s="387" t="s">
        <v>8</v>
      </c>
      <c r="B13" s="388">
        <f>+'[5]Calculo Coef Actualizado'!B13-'[5]pagado 1er Sem'!B13</f>
        <v>0</v>
      </c>
      <c r="C13" s="388">
        <f>+'[5]Calculo Coef Actualizado'!C13-'[5]pagado 1er Sem'!C13</f>
        <v>0</v>
      </c>
      <c r="D13" s="388">
        <f>+'[5]Calculo Coef Actualizado'!D13-'[5]pagado 1er Sem'!D13</f>
        <v>-708793.18073689938</v>
      </c>
      <c r="E13" s="388">
        <f>+'[5]Calculo Coef Actualizado'!E13-'[5]pagado 1er Sem'!E13</f>
        <v>0</v>
      </c>
      <c r="F13" s="388">
        <f>+'[5]Calculo Coef Actualizado'!F13-'[5]pagado 1er Sem'!F13</f>
        <v>0</v>
      </c>
      <c r="G13" s="388">
        <f>+'[5]Calculo Coef Actualizado'!G13-'[5]pagado 1er Sem'!G13</f>
        <v>0</v>
      </c>
      <c r="H13" s="388">
        <f>+'[5]Calculo Coef Actualizado'!H13-'[5]pagado 1er Sem'!H13</f>
        <v>0</v>
      </c>
      <c r="I13" s="388">
        <f>+'[5]Calculo Coef Actualizado'!I13-'[5]pagado 1er Sem'!I13</f>
        <v>0</v>
      </c>
      <c r="J13" s="388">
        <f>+'[5]Calculo Coef Actualizado'!J13-'[5]pagado 1er Sem'!J13</f>
        <v>-9987.6785954555453</v>
      </c>
      <c r="K13" s="388">
        <f>+'[5]Calculo Coef Actualizado'!K13-'[5]pagado 1er Sem'!K13</f>
        <v>0</v>
      </c>
      <c r="L13" s="389">
        <f t="shared" si="1"/>
        <v>-718780.85933235497</v>
      </c>
      <c r="N13" s="387" t="s">
        <v>8</v>
      </c>
      <c r="O13" s="388">
        <f t="shared" si="0"/>
        <v>0</v>
      </c>
      <c r="P13" s="388">
        <f t="shared" si="0"/>
        <v>0</v>
      </c>
      <c r="Q13" s="388">
        <f t="shared" si="0"/>
        <v>-118132.19678948323</v>
      </c>
      <c r="R13" s="388">
        <f t="shared" si="0"/>
        <v>0</v>
      </c>
      <c r="S13" s="388">
        <f t="shared" si="0"/>
        <v>0</v>
      </c>
      <c r="T13" s="388">
        <f t="shared" si="0"/>
        <v>0</v>
      </c>
      <c r="U13" s="388">
        <f t="shared" si="0"/>
        <v>0</v>
      </c>
      <c r="V13" s="388">
        <f t="shared" si="0"/>
        <v>0</v>
      </c>
      <c r="W13" s="388">
        <f t="shared" si="0"/>
        <v>-1664.6130992425908</v>
      </c>
      <c r="X13" s="388">
        <f t="shared" si="0"/>
        <v>0</v>
      </c>
      <c r="Y13" s="389">
        <f t="shared" si="2"/>
        <v>-119796.80988872582</v>
      </c>
    </row>
    <row r="14" spans="1:25">
      <c r="A14" s="387" t="s">
        <v>9</v>
      </c>
      <c r="B14" s="388">
        <f>+'[5]Calculo Coef Actualizado'!B14-'[5]pagado 1er Sem'!B14</f>
        <v>0</v>
      </c>
      <c r="C14" s="388">
        <f>+'[5]Calculo Coef Actualizado'!C14-'[5]pagado 1er Sem'!C14</f>
        <v>0</v>
      </c>
      <c r="D14" s="388">
        <f>+'[5]Calculo Coef Actualizado'!D14-'[5]pagado 1er Sem'!D14</f>
        <v>-74715.27882702928</v>
      </c>
      <c r="E14" s="388">
        <f>+'[5]Calculo Coef Actualizado'!E14-'[5]pagado 1er Sem'!E14</f>
        <v>0</v>
      </c>
      <c r="F14" s="388">
        <f>+'[5]Calculo Coef Actualizado'!F14-'[5]pagado 1er Sem'!F14</f>
        <v>0</v>
      </c>
      <c r="G14" s="388">
        <f>+'[5]Calculo Coef Actualizado'!G14-'[5]pagado 1er Sem'!G14</f>
        <v>0</v>
      </c>
      <c r="H14" s="388">
        <f>+'[5]Calculo Coef Actualizado'!H14-'[5]pagado 1er Sem'!H14</f>
        <v>0</v>
      </c>
      <c r="I14" s="388">
        <f>+'[5]Calculo Coef Actualizado'!I14-'[5]pagado 1er Sem'!I14</f>
        <v>0</v>
      </c>
      <c r="J14" s="388">
        <f>+'[5]Calculo Coef Actualizado'!J14-'[5]pagado 1er Sem'!J14</f>
        <v>10143.135637103813</v>
      </c>
      <c r="K14" s="388">
        <f>+'[5]Calculo Coef Actualizado'!K14-'[5]pagado 1er Sem'!K14</f>
        <v>0</v>
      </c>
      <c r="L14" s="389">
        <f t="shared" si="1"/>
        <v>-64572.143189925468</v>
      </c>
      <c r="N14" s="387" t="s">
        <v>9</v>
      </c>
      <c r="O14" s="388">
        <f t="shared" si="0"/>
        <v>0</v>
      </c>
      <c r="P14" s="388">
        <f t="shared" si="0"/>
        <v>0</v>
      </c>
      <c r="Q14" s="388">
        <f t="shared" si="0"/>
        <v>-12452.546471171547</v>
      </c>
      <c r="R14" s="388">
        <f t="shared" si="0"/>
        <v>0</v>
      </c>
      <c r="S14" s="388">
        <f t="shared" si="0"/>
        <v>0</v>
      </c>
      <c r="T14" s="388">
        <f t="shared" si="0"/>
        <v>0</v>
      </c>
      <c r="U14" s="388">
        <f t="shared" si="0"/>
        <v>0</v>
      </c>
      <c r="V14" s="388">
        <f t="shared" si="0"/>
        <v>0</v>
      </c>
      <c r="W14" s="388">
        <f t="shared" si="0"/>
        <v>1690.5226061839687</v>
      </c>
      <c r="X14" s="388">
        <f t="shared" si="0"/>
        <v>0</v>
      </c>
      <c r="Y14" s="389">
        <f t="shared" si="2"/>
        <v>-10762.023864987577</v>
      </c>
    </row>
    <row r="15" spans="1:25">
      <c r="A15" s="387" t="s">
        <v>10</v>
      </c>
      <c r="B15" s="388">
        <f>+'[5]Calculo Coef Actualizado'!B15-'[5]pagado 1er Sem'!B15</f>
        <v>-3.5390257835388184E-8</v>
      </c>
      <c r="C15" s="388">
        <f>+'[5]Calculo Coef Actualizado'!C15-'[5]pagado 1er Sem'!C15</f>
        <v>-4.8894435167312622E-9</v>
      </c>
      <c r="D15" s="388">
        <f>+'[5]Calculo Coef Actualizado'!D15-'[5]pagado 1er Sem'!D15</f>
        <v>-1355645.0377055216</v>
      </c>
      <c r="E15" s="388">
        <f>+'[5]Calculo Coef Actualizado'!E15-'[5]pagado 1er Sem'!E15</f>
        <v>-1.0477378964424133E-9</v>
      </c>
      <c r="F15" s="388">
        <f>+'[5]Calculo Coef Actualizado'!F15-'[5]pagado 1er Sem'!F15</f>
        <v>-1.6880221664905548E-9</v>
      </c>
      <c r="G15" s="388">
        <f>+'[5]Calculo Coef Actualizado'!G15-'[5]pagado 1er Sem'!G15</f>
        <v>8.0035533756017685E-11</v>
      </c>
      <c r="H15" s="388">
        <f>+'[5]Calculo Coef Actualizado'!H15-'[5]pagado 1er Sem'!H15</f>
        <v>-9.3132257461547852E-10</v>
      </c>
      <c r="I15" s="388">
        <f>+'[5]Calculo Coef Actualizado'!I15-'[5]pagado 1er Sem'!I15</f>
        <v>-1.964508555829525E-10</v>
      </c>
      <c r="J15" s="388">
        <f>+'[5]Calculo Coef Actualizado'!J15-'[5]pagado 1er Sem'!J15</f>
        <v>82294.871653741924</v>
      </c>
      <c r="K15" s="388">
        <f>+'[5]Calculo Coef Actualizado'!K15-'[5]pagado 1er Sem'!K15</f>
        <v>-4.6566128730773926E-10</v>
      </c>
      <c r="L15" s="389">
        <f t="shared" si="1"/>
        <v>-1273350.1660518243</v>
      </c>
      <c r="N15" s="387" t="s">
        <v>10</v>
      </c>
      <c r="O15" s="388">
        <f t="shared" si="0"/>
        <v>-5.8983763058980303E-9</v>
      </c>
      <c r="P15" s="388">
        <f t="shared" si="0"/>
        <v>-8.149072527885437E-10</v>
      </c>
      <c r="Q15" s="388">
        <f t="shared" si="0"/>
        <v>-225940.83961758693</v>
      </c>
      <c r="R15" s="388">
        <f t="shared" si="0"/>
        <v>-1.7462298274040222E-10</v>
      </c>
      <c r="S15" s="388">
        <f t="shared" si="0"/>
        <v>-2.8133702774842578E-10</v>
      </c>
      <c r="T15" s="388">
        <f t="shared" si="0"/>
        <v>1.3339255626002947E-11</v>
      </c>
      <c r="U15" s="388">
        <f t="shared" si="0"/>
        <v>-1.5522042910257974E-10</v>
      </c>
      <c r="V15" s="388">
        <f t="shared" si="0"/>
        <v>-3.2741809263825417E-11</v>
      </c>
      <c r="W15" s="388">
        <f t="shared" si="0"/>
        <v>13715.81194229032</v>
      </c>
      <c r="X15" s="388">
        <f t="shared" si="0"/>
        <v>-7.7610214551289872E-11</v>
      </c>
      <c r="Y15" s="389">
        <f t="shared" si="2"/>
        <v>-212225.02767530407</v>
      </c>
    </row>
    <row r="16" spans="1:25">
      <c r="A16" s="387" t="s">
        <v>11</v>
      </c>
      <c r="B16" s="388">
        <f>+'[5]Calculo Coef Actualizado'!B16-'[5]pagado 1er Sem'!B16</f>
        <v>0</v>
      </c>
      <c r="C16" s="388">
        <f>+'[5]Calculo Coef Actualizado'!C16-'[5]pagado 1er Sem'!C16</f>
        <v>0</v>
      </c>
      <c r="D16" s="388">
        <f>+'[5]Calculo Coef Actualizado'!D16-'[5]pagado 1er Sem'!D16</f>
        <v>3563722.4992991807</v>
      </c>
      <c r="E16" s="388">
        <f>+'[5]Calculo Coef Actualizado'!E16-'[5]pagado 1er Sem'!E16</f>
        <v>0</v>
      </c>
      <c r="F16" s="388">
        <f>+'[5]Calculo Coef Actualizado'!F16-'[5]pagado 1er Sem'!F16</f>
        <v>0</v>
      </c>
      <c r="G16" s="388">
        <f>+'[5]Calculo Coef Actualizado'!G16-'[5]pagado 1er Sem'!G16</f>
        <v>0</v>
      </c>
      <c r="H16" s="388">
        <f>+'[5]Calculo Coef Actualizado'!H16-'[5]pagado 1er Sem'!H16</f>
        <v>0</v>
      </c>
      <c r="I16" s="388">
        <f>+'[5]Calculo Coef Actualizado'!I16-'[5]pagado 1er Sem'!I16</f>
        <v>0</v>
      </c>
      <c r="J16" s="388">
        <f>+'[5]Calculo Coef Actualizado'!J16-'[5]pagado 1er Sem'!J16</f>
        <v>-21472.982159141218</v>
      </c>
      <c r="K16" s="388">
        <f>+'[5]Calculo Coef Actualizado'!K16-'[5]pagado 1er Sem'!K16</f>
        <v>0</v>
      </c>
      <c r="L16" s="389">
        <f t="shared" si="1"/>
        <v>3542249.5171400392</v>
      </c>
      <c r="N16" s="387" t="s">
        <v>11</v>
      </c>
      <c r="O16" s="388">
        <f t="shared" si="0"/>
        <v>0</v>
      </c>
      <c r="P16" s="388">
        <f t="shared" si="0"/>
        <v>0</v>
      </c>
      <c r="Q16" s="388">
        <f t="shared" si="0"/>
        <v>593953.74988319678</v>
      </c>
      <c r="R16" s="388">
        <f t="shared" si="0"/>
        <v>0</v>
      </c>
      <c r="S16" s="388">
        <f t="shared" si="0"/>
        <v>0</v>
      </c>
      <c r="T16" s="388">
        <f t="shared" si="0"/>
        <v>0</v>
      </c>
      <c r="U16" s="388">
        <f t="shared" si="0"/>
        <v>0</v>
      </c>
      <c r="V16" s="388">
        <f t="shared" si="0"/>
        <v>0</v>
      </c>
      <c r="W16" s="388">
        <f t="shared" si="0"/>
        <v>-3578.8303598568696</v>
      </c>
      <c r="X16" s="388">
        <f t="shared" si="0"/>
        <v>0</v>
      </c>
      <c r="Y16" s="389">
        <f t="shared" si="2"/>
        <v>590374.91952333995</v>
      </c>
    </row>
    <row r="17" spans="1:25">
      <c r="A17" s="387" t="s">
        <v>12</v>
      </c>
      <c r="B17" s="388">
        <f>+'[5]Calculo Coef Actualizado'!B17-'[5]pagado 1er Sem'!B17</f>
        <v>0</v>
      </c>
      <c r="C17" s="388">
        <f>+'[5]Calculo Coef Actualizado'!C17-'[5]pagado 1er Sem'!C17</f>
        <v>0</v>
      </c>
      <c r="D17" s="388">
        <f>+'[5]Calculo Coef Actualizado'!D17-'[5]pagado 1er Sem'!D17</f>
        <v>-541622.78290608828</v>
      </c>
      <c r="E17" s="388">
        <f>+'[5]Calculo Coef Actualizado'!E17-'[5]pagado 1er Sem'!E17</f>
        <v>0</v>
      </c>
      <c r="F17" s="388">
        <f>+'[5]Calculo Coef Actualizado'!F17-'[5]pagado 1er Sem'!F17</f>
        <v>0</v>
      </c>
      <c r="G17" s="388">
        <f>+'[5]Calculo Coef Actualizado'!G17-'[5]pagado 1er Sem'!G17</f>
        <v>0</v>
      </c>
      <c r="H17" s="388">
        <f>+'[5]Calculo Coef Actualizado'!H17-'[5]pagado 1er Sem'!H17</f>
        <v>0</v>
      </c>
      <c r="I17" s="388">
        <f>+'[5]Calculo Coef Actualizado'!I17-'[5]pagado 1er Sem'!I17</f>
        <v>0</v>
      </c>
      <c r="J17" s="388">
        <f>+'[5]Calculo Coef Actualizado'!J17-'[5]pagado 1er Sem'!J17</f>
        <v>-14746.181047439779</v>
      </c>
      <c r="K17" s="388">
        <f>+'[5]Calculo Coef Actualizado'!K17-'[5]pagado 1er Sem'!K17</f>
        <v>0</v>
      </c>
      <c r="L17" s="389">
        <f t="shared" si="1"/>
        <v>-556368.96395352809</v>
      </c>
      <c r="N17" s="387" t="s">
        <v>12</v>
      </c>
      <c r="O17" s="388">
        <f t="shared" si="0"/>
        <v>0</v>
      </c>
      <c r="P17" s="388">
        <f t="shared" si="0"/>
        <v>0</v>
      </c>
      <c r="Q17" s="388">
        <f t="shared" si="0"/>
        <v>-90270.463817681375</v>
      </c>
      <c r="R17" s="388">
        <f t="shared" si="0"/>
        <v>0</v>
      </c>
      <c r="S17" s="388">
        <f t="shared" si="0"/>
        <v>0</v>
      </c>
      <c r="T17" s="388">
        <f t="shared" si="0"/>
        <v>0</v>
      </c>
      <c r="U17" s="388">
        <f t="shared" si="0"/>
        <v>0</v>
      </c>
      <c r="V17" s="388">
        <f t="shared" si="0"/>
        <v>0</v>
      </c>
      <c r="W17" s="388">
        <f t="shared" si="0"/>
        <v>-2457.6968412399633</v>
      </c>
      <c r="X17" s="388">
        <f t="shared" si="0"/>
        <v>0</v>
      </c>
      <c r="Y17" s="389">
        <f t="shared" si="2"/>
        <v>-92728.160658921333</v>
      </c>
    </row>
    <row r="18" spans="1:25">
      <c r="A18" s="387" t="s">
        <v>13</v>
      </c>
      <c r="B18" s="388">
        <f>+'[5]Calculo Coef Actualizado'!B18-'[5]pagado 1er Sem'!B18</f>
        <v>0</v>
      </c>
      <c r="C18" s="388">
        <f>+'[5]Calculo Coef Actualizado'!C18-'[5]pagado 1er Sem'!C18</f>
        <v>-1.862645149230957E-9</v>
      </c>
      <c r="D18" s="388">
        <f>+'[5]Calculo Coef Actualizado'!D18-'[5]pagado 1er Sem'!D18</f>
        <v>-347687.67776507488</v>
      </c>
      <c r="E18" s="388">
        <f>+'[5]Calculo Coef Actualizado'!E18-'[5]pagado 1er Sem'!E18</f>
        <v>0</v>
      </c>
      <c r="F18" s="388">
        <f>+'[5]Calculo Coef Actualizado'!F18-'[5]pagado 1er Sem'!F18</f>
        <v>0</v>
      </c>
      <c r="G18" s="388">
        <f>+'[5]Calculo Coef Actualizado'!G18-'[5]pagado 1er Sem'!G18</f>
        <v>0</v>
      </c>
      <c r="H18" s="388">
        <f>+'[5]Calculo Coef Actualizado'!H18-'[5]pagado 1er Sem'!H18</f>
        <v>0</v>
      </c>
      <c r="I18" s="388">
        <f>+'[5]Calculo Coef Actualizado'!I18-'[5]pagado 1er Sem'!I18</f>
        <v>0</v>
      </c>
      <c r="J18" s="388">
        <f>+'[5]Calculo Coef Actualizado'!J18-'[5]pagado 1er Sem'!J18</f>
        <v>31092.92366131593</v>
      </c>
      <c r="K18" s="388">
        <f>+'[5]Calculo Coef Actualizado'!K18-'[5]pagado 1er Sem'!K18</f>
        <v>0</v>
      </c>
      <c r="L18" s="389">
        <f t="shared" si="1"/>
        <v>-316594.75410376082</v>
      </c>
      <c r="N18" s="387" t="s">
        <v>13</v>
      </c>
      <c r="O18" s="388">
        <f t="shared" si="0"/>
        <v>0</v>
      </c>
      <c r="P18" s="388">
        <f t="shared" si="0"/>
        <v>-3.1044085820515949E-10</v>
      </c>
      <c r="Q18" s="388">
        <f t="shared" si="0"/>
        <v>-57947.94629417915</v>
      </c>
      <c r="R18" s="388">
        <f t="shared" si="0"/>
        <v>0</v>
      </c>
      <c r="S18" s="388">
        <f t="shared" si="0"/>
        <v>0</v>
      </c>
      <c r="T18" s="388">
        <f t="shared" si="0"/>
        <v>0</v>
      </c>
      <c r="U18" s="388">
        <f t="shared" si="0"/>
        <v>0</v>
      </c>
      <c r="V18" s="388">
        <f t="shared" si="0"/>
        <v>0</v>
      </c>
      <c r="W18" s="388">
        <f t="shared" si="0"/>
        <v>5182.1539435526547</v>
      </c>
      <c r="X18" s="388">
        <f t="shared" si="0"/>
        <v>0</v>
      </c>
      <c r="Y18" s="389">
        <f t="shared" si="2"/>
        <v>-52765.792350626805</v>
      </c>
    </row>
    <row r="19" spans="1:25">
      <c r="A19" s="387" t="s">
        <v>14</v>
      </c>
      <c r="B19" s="388">
        <f>+'[5]Calculo Coef Actualizado'!B19-'[5]pagado 1er Sem'!B19</f>
        <v>0</v>
      </c>
      <c r="C19" s="388">
        <f>+'[5]Calculo Coef Actualizado'!C19-'[5]pagado 1er Sem'!C19</f>
        <v>0</v>
      </c>
      <c r="D19" s="388">
        <f>+'[5]Calculo Coef Actualizado'!D19-'[5]pagado 1er Sem'!D19</f>
        <v>-726004.39353838435</v>
      </c>
      <c r="E19" s="388">
        <f>+'[5]Calculo Coef Actualizado'!E19-'[5]pagado 1er Sem'!E19</f>
        <v>0</v>
      </c>
      <c r="F19" s="388">
        <f>+'[5]Calculo Coef Actualizado'!F19-'[5]pagado 1er Sem'!F19</f>
        <v>-4.1909515857696533E-9</v>
      </c>
      <c r="G19" s="388">
        <f>+'[5]Calculo Coef Actualizado'!G19-'[5]pagado 1er Sem'!G19</f>
        <v>0</v>
      </c>
      <c r="H19" s="388">
        <f>+'[5]Calculo Coef Actualizado'!H19-'[5]pagado 1er Sem'!H19</f>
        <v>0</v>
      </c>
      <c r="I19" s="388">
        <f>+'[5]Calculo Coef Actualizado'!I19-'[5]pagado 1er Sem'!I19</f>
        <v>-4.6566128730773926E-10</v>
      </c>
      <c r="J19" s="388">
        <f>+'[5]Calculo Coef Actualizado'!J19-'[5]pagado 1er Sem'!J19</f>
        <v>103531.85401757015</v>
      </c>
      <c r="K19" s="388">
        <f>+'[5]Calculo Coef Actualizado'!K19-'[5]pagado 1er Sem'!K19</f>
        <v>0</v>
      </c>
      <c r="L19" s="389">
        <f t="shared" si="1"/>
        <v>-622472.53952081886</v>
      </c>
      <c r="N19" s="387" t="s">
        <v>14</v>
      </c>
      <c r="O19" s="388">
        <f t="shared" si="0"/>
        <v>0</v>
      </c>
      <c r="P19" s="388">
        <f t="shared" si="0"/>
        <v>0</v>
      </c>
      <c r="Q19" s="388">
        <f t="shared" si="0"/>
        <v>-121000.73225639739</v>
      </c>
      <c r="R19" s="388">
        <f t="shared" si="0"/>
        <v>0</v>
      </c>
      <c r="S19" s="388">
        <f t="shared" si="0"/>
        <v>-6.9849193096160889E-10</v>
      </c>
      <c r="T19" s="388">
        <f t="shared" si="0"/>
        <v>0</v>
      </c>
      <c r="U19" s="388">
        <f t="shared" si="0"/>
        <v>0</v>
      </c>
      <c r="V19" s="388">
        <f t="shared" si="0"/>
        <v>-7.7610214551289872E-11</v>
      </c>
      <c r="W19" s="388">
        <f t="shared" si="0"/>
        <v>17255.309002928359</v>
      </c>
      <c r="X19" s="388">
        <f t="shared" si="0"/>
        <v>0</v>
      </c>
      <c r="Y19" s="389">
        <f t="shared" si="2"/>
        <v>-103745.42325346979</v>
      </c>
    </row>
    <row r="20" spans="1:25">
      <c r="A20" s="387" t="s">
        <v>15</v>
      </c>
      <c r="B20" s="388">
        <f>+'[5]Calculo Coef Actualizado'!B20-'[5]pagado 1er Sem'!B20</f>
        <v>0</v>
      </c>
      <c r="C20" s="388">
        <f>+'[5]Calculo Coef Actualizado'!C20-'[5]pagado 1er Sem'!C20</f>
        <v>0</v>
      </c>
      <c r="D20" s="388">
        <f>+'[5]Calculo Coef Actualizado'!D20-'[5]pagado 1er Sem'!D20</f>
        <v>42383.366589996265</v>
      </c>
      <c r="E20" s="388">
        <f>+'[5]Calculo Coef Actualizado'!E20-'[5]pagado 1er Sem'!E20</f>
        <v>0</v>
      </c>
      <c r="F20" s="388">
        <f>+'[5]Calculo Coef Actualizado'!F20-'[5]pagado 1er Sem'!F20</f>
        <v>0</v>
      </c>
      <c r="G20" s="388">
        <f>+'[5]Calculo Coef Actualizado'!G20-'[5]pagado 1er Sem'!G20</f>
        <v>0</v>
      </c>
      <c r="H20" s="388">
        <f>+'[5]Calculo Coef Actualizado'!H20-'[5]pagado 1er Sem'!H20</f>
        <v>0</v>
      </c>
      <c r="I20" s="388">
        <f>+'[5]Calculo Coef Actualizado'!I20-'[5]pagado 1er Sem'!I20</f>
        <v>0</v>
      </c>
      <c r="J20" s="388">
        <f>+'[5]Calculo Coef Actualizado'!J20-'[5]pagado 1er Sem'!J20</f>
        <v>-49170.1661319587</v>
      </c>
      <c r="K20" s="388">
        <f>+'[5]Calculo Coef Actualizado'!K20-'[5]pagado 1er Sem'!K20</f>
        <v>0</v>
      </c>
      <c r="L20" s="389">
        <f t="shared" si="1"/>
        <v>-6786.7995419624349</v>
      </c>
      <c r="N20" s="387" t="s">
        <v>15</v>
      </c>
      <c r="O20" s="388">
        <f t="shared" si="0"/>
        <v>0</v>
      </c>
      <c r="P20" s="388">
        <f t="shared" si="0"/>
        <v>0</v>
      </c>
      <c r="Q20" s="388">
        <f t="shared" si="0"/>
        <v>7063.8944316660445</v>
      </c>
      <c r="R20" s="388">
        <f t="shared" si="0"/>
        <v>0</v>
      </c>
      <c r="S20" s="388">
        <f t="shared" si="0"/>
        <v>0</v>
      </c>
      <c r="T20" s="388">
        <f t="shared" si="0"/>
        <v>0</v>
      </c>
      <c r="U20" s="388">
        <f t="shared" si="0"/>
        <v>0</v>
      </c>
      <c r="V20" s="388">
        <f t="shared" si="0"/>
        <v>0</v>
      </c>
      <c r="W20" s="388">
        <f t="shared" si="0"/>
        <v>-8195.027688659784</v>
      </c>
      <c r="X20" s="388">
        <f t="shared" si="0"/>
        <v>0</v>
      </c>
      <c r="Y20" s="389">
        <f t="shared" si="2"/>
        <v>-1131.1332569937395</v>
      </c>
    </row>
    <row r="21" spans="1:25">
      <c r="A21" s="387" t="s">
        <v>16</v>
      </c>
      <c r="B21" s="388">
        <f>+'[5]Calculo Coef Actualizado'!B21-'[5]pagado 1er Sem'!B21</f>
        <v>-7.4505805969238281E-9</v>
      </c>
      <c r="C21" s="388">
        <f>+'[5]Calculo Coef Actualizado'!C21-'[5]pagado 1er Sem'!C21</f>
        <v>-1.0477378964424133E-9</v>
      </c>
      <c r="D21" s="388">
        <f>+'[5]Calculo Coef Actualizado'!D21-'[5]pagado 1er Sem'!D21</f>
        <v>-820869.51410534023</v>
      </c>
      <c r="E21" s="388">
        <f>+'[5]Calculo Coef Actualizado'!E21-'[5]pagado 1er Sem'!E21</f>
        <v>-2.3283064365386963E-10</v>
      </c>
      <c r="F21" s="388">
        <f>+'[5]Calculo Coef Actualizado'!F21-'[5]pagado 1er Sem'!F21</f>
        <v>0</v>
      </c>
      <c r="G21" s="388">
        <f>+'[5]Calculo Coef Actualizado'!G21-'[5]pagado 1er Sem'!G21</f>
        <v>0</v>
      </c>
      <c r="H21" s="388">
        <f>+'[5]Calculo Coef Actualizado'!H21-'[5]pagado 1er Sem'!H21</f>
        <v>0</v>
      </c>
      <c r="I21" s="388">
        <f>+'[5]Calculo Coef Actualizado'!I21-'[5]pagado 1er Sem'!I21</f>
        <v>0</v>
      </c>
      <c r="J21" s="388">
        <f>+'[5]Calculo Coef Actualizado'!J21-'[5]pagado 1er Sem'!J21</f>
        <v>30231.93316359583</v>
      </c>
      <c r="K21" s="388">
        <f>+'[5]Calculo Coef Actualizado'!K21-'[5]pagado 1er Sem'!K21</f>
        <v>0</v>
      </c>
      <c r="L21" s="389">
        <f t="shared" si="1"/>
        <v>-790637.58094175311</v>
      </c>
      <c r="N21" s="387" t="s">
        <v>16</v>
      </c>
      <c r="O21" s="388">
        <f t="shared" si="0"/>
        <v>-1.241763432820638E-9</v>
      </c>
      <c r="P21" s="388">
        <f t="shared" si="0"/>
        <v>-1.7462298274040222E-10</v>
      </c>
      <c r="Q21" s="388">
        <f t="shared" si="0"/>
        <v>-136811.58568422336</v>
      </c>
      <c r="R21" s="388">
        <f t="shared" si="0"/>
        <v>-3.8805107275644936E-11</v>
      </c>
      <c r="S21" s="388">
        <f t="shared" si="0"/>
        <v>0</v>
      </c>
      <c r="T21" s="388">
        <f t="shared" si="0"/>
        <v>0</v>
      </c>
      <c r="U21" s="388">
        <f t="shared" si="0"/>
        <v>0</v>
      </c>
      <c r="V21" s="388">
        <f t="shared" si="0"/>
        <v>0</v>
      </c>
      <c r="W21" s="388">
        <f t="shared" si="0"/>
        <v>5038.6555272659716</v>
      </c>
      <c r="X21" s="388">
        <f t="shared" si="0"/>
        <v>0</v>
      </c>
      <c r="Y21" s="389">
        <f t="shared" si="2"/>
        <v>-131772.93015695884</v>
      </c>
    </row>
    <row r="22" spans="1:25">
      <c r="A22" s="387" t="s">
        <v>17</v>
      </c>
      <c r="B22" s="388">
        <f>+'[5]Calculo Coef Actualizado'!B22-'[5]pagado 1er Sem'!B22</f>
        <v>0</v>
      </c>
      <c r="C22" s="388">
        <f>+'[5]Calculo Coef Actualizado'!C22-'[5]pagado 1er Sem'!C22</f>
        <v>0</v>
      </c>
      <c r="D22" s="388">
        <f>+'[5]Calculo Coef Actualizado'!D22-'[5]pagado 1er Sem'!D22</f>
        <v>-475308.75831287575</v>
      </c>
      <c r="E22" s="388">
        <f>+'[5]Calculo Coef Actualizado'!E22-'[5]pagado 1er Sem'!E22</f>
        <v>0</v>
      </c>
      <c r="F22" s="388">
        <f>+'[5]Calculo Coef Actualizado'!F22-'[5]pagado 1er Sem'!F22</f>
        <v>0</v>
      </c>
      <c r="G22" s="388">
        <f>+'[5]Calculo Coef Actualizado'!G22-'[5]pagado 1er Sem'!G22</f>
        <v>0</v>
      </c>
      <c r="H22" s="388">
        <f>+'[5]Calculo Coef Actualizado'!H22-'[5]pagado 1er Sem'!H22</f>
        <v>0</v>
      </c>
      <c r="I22" s="388">
        <f>+'[5]Calculo Coef Actualizado'!I22-'[5]pagado 1er Sem'!I22</f>
        <v>0</v>
      </c>
      <c r="J22" s="388">
        <f>+'[5]Calculo Coef Actualizado'!J22-'[5]pagado 1er Sem'!J22</f>
        <v>-31039.896861670422</v>
      </c>
      <c r="K22" s="388">
        <f>+'[5]Calculo Coef Actualizado'!K22-'[5]pagado 1er Sem'!K22</f>
        <v>0</v>
      </c>
      <c r="L22" s="389">
        <f t="shared" si="1"/>
        <v>-506348.65517454618</v>
      </c>
      <c r="N22" s="387" t="s">
        <v>17</v>
      </c>
      <c r="O22" s="388">
        <f t="shared" ref="O22:X47" si="3">+B22/6</f>
        <v>0</v>
      </c>
      <c r="P22" s="388">
        <f t="shared" si="3"/>
        <v>0</v>
      </c>
      <c r="Q22" s="388">
        <f t="shared" si="3"/>
        <v>-79218.126385479292</v>
      </c>
      <c r="R22" s="388">
        <f t="shared" si="3"/>
        <v>0</v>
      </c>
      <c r="S22" s="388">
        <f t="shared" si="3"/>
        <v>0</v>
      </c>
      <c r="T22" s="388">
        <f t="shared" si="3"/>
        <v>0</v>
      </c>
      <c r="U22" s="388">
        <f t="shared" si="3"/>
        <v>0</v>
      </c>
      <c r="V22" s="388">
        <f t="shared" si="3"/>
        <v>0</v>
      </c>
      <c r="W22" s="388">
        <f t="shared" si="3"/>
        <v>-5173.3161436117371</v>
      </c>
      <c r="X22" s="388">
        <f t="shared" si="3"/>
        <v>0</v>
      </c>
      <c r="Y22" s="389">
        <f t="shared" si="2"/>
        <v>-84391.442529091029</v>
      </c>
    </row>
    <row r="23" spans="1:25">
      <c r="A23" s="387" t="s">
        <v>18</v>
      </c>
      <c r="B23" s="388">
        <f>+'[5]Calculo Coef Actualizado'!B23-'[5]pagado 1er Sem'!B23</f>
        <v>0</v>
      </c>
      <c r="C23" s="388">
        <f>+'[5]Calculo Coef Actualizado'!C23-'[5]pagado 1er Sem'!C23</f>
        <v>0</v>
      </c>
      <c r="D23" s="388">
        <f>+'[5]Calculo Coef Actualizado'!D23-'[5]pagado 1er Sem'!D23</f>
        <v>-116065.77466190932</v>
      </c>
      <c r="E23" s="388">
        <f>+'[5]Calculo Coef Actualizado'!E23-'[5]pagado 1er Sem'!E23</f>
        <v>0</v>
      </c>
      <c r="F23" s="388">
        <f>+'[5]Calculo Coef Actualizado'!F23-'[5]pagado 1er Sem'!F23</f>
        <v>0</v>
      </c>
      <c r="G23" s="388">
        <f>+'[5]Calculo Coef Actualizado'!G23-'[5]pagado 1er Sem'!G23</f>
        <v>0</v>
      </c>
      <c r="H23" s="388">
        <f>+'[5]Calculo Coef Actualizado'!H23-'[5]pagado 1er Sem'!H23</f>
        <v>0</v>
      </c>
      <c r="I23" s="388">
        <f>+'[5]Calculo Coef Actualizado'!I23-'[5]pagado 1er Sem'!I23</f>
        <v>0</v>
      </c>
      <c r="J23" s="388">
        <f>+'[5]Calculo Coef Actualizado'!J23-'[5]pagado 1er Sem'!J23</f>
        <v>113349.45647841413</v>
      </c>
      <c r="K23" s="388">
        <f>+'[5]Calculo Coef Actualizado'!K23-'[5]pagado 1er Sem'!K23</f>
        <v>0</v>
      </c>
      <c r="L23" s="389">
        <f t="shared" si="1"/>
        <v>-2716.3181834951974</v>
      </c>
      <c r="N23" s="387" t="s">
        <v>18</v>
      </c>
      <c r="O23" s="388">
        <f t="shared" si="3"/>
        <v>0</v>
      </c>
      <c r="P23" s="388">
        <f t="shared" si="3"/>
        <v>0</v>
      </c>
      <c r="Q23" s="388">
        <f t="shared" si="3"/>
        <v>-19344.295776984887</v>
      </c>
      <c r="R23" s="388">
        <f t="shared" si="3"/>
        <v>0</v>
      </c>
      <c r="S23" s="388">
        <f t="shared" si="3"/>
        <v>0</v>
      </c>
      <c r="T23" s="388">
        <f t="shared" si="3"/>
        <v>0</v>
      </c>
      <c r="U23" s="388">
        <f t="shared" si="3"/>
        <v>0</v>
      </c>
      <c r="V23" s="388">
        <f t="shared" si="3"/>
        <v>0</v>
      </c>
      <c r="W23" s="388">
        <f t="shared" si="3"/>
        <v>18891.576079735689</v>
      </c>
      <c r="X23" s="388">
        <f t="shared" si="3"/>
        <v>0</v>
      </c>
      <c r="Y23" s="389">
        <f t="shared" si="2"/>
        <v>-452.71969724919836</v>
      </c>
    </row>
    <row r="24" spans="1:25">
      <c r="A24" s="387" t="s">
        <v>19</v>
      </c>
      <c r="B24" s="388">
        <f>+'[5]Calculo Coef Actualizado'!B24-'[5]pagado 1er Sem'!B24</f>
        <v>0</v>
      </c>
      <c r="C24" s="388">
        <f>+'[5]Calculo Coef Actualizado'!C24-'[5]pagado 1er Sem'!C24</f>
        <v>0</v>
      </c>
      <c r="D24" s="388">
        <f>+'[5]Calculo Coef Actualizado'!D24-'[5]pagado 1er Sem'!D24</f>
        <v>-115282.06427430629</v>
      </c>
      <c r="E24" s="388">
        <f>+'[5]Calculo Coef Actualizado'!E24-'[5]pagado 1er Sem'!E24</f>
        <v>0</v>
      </c>
      <c r="F24" s="388">
        <f>+'[5]Calculo Coef Actualizado'!F24-'[5]pagado 1er Sem'!F24</f>
        <v>0</v>
      </c>
      <c r="G24" s="388">
        <f>+'[5]Calculo Coef Actualizado'!G24-'[5]pagado 1er Sem'!G24</f>
        <v>0</v>
      </c>
      <c r="H24" s="388">
        <f>+'[5]Calculo Coef Actualizado'!H24-'[5]pagado 1er Sem'!H24</f>
        <v>0</v>
      </c>
      <c r="I24" s="388">
        <f>+'[5]Calculo Coef Actualizado'!I24-'[5]pagado 1er Sem'!I24</f>
        <v>0</v>
      </c>
      <c r="J24" s="388">
        <f>+'[5]Calculo Coef Actualizado'!J24-'[5]pagado 1er Sem'!J24</f>
        <v>15312.97549083487</v>
      </c>
      <c r="K24" s="388">
        <f>+'[5]Calculo Coef Actualizado'!K24-'[5]pagado 1er Sem'!K24</f>
        <v>0</v>
      </c>
      <c r="L24" s="389">
        <f t="shared" si="1"/>
        <v>-99969.088783471423</v>
      </c>
      <c r="N24" s="387" t="s">
        <v>19</v>
      </c>
      <c r="O24" s="388">
        <f t="shared" si="3"/>
        <v>0</v>
      </c>
      <c r="P24" s="388">
        <f t="shared" si="3"/>
        <v>0</v>
      </c>
      <c r="Q24" s="388">
        <f t="shared" si="3"/>
        <v>-19213.677379051049</v>
      </c>
      <c r="R24" s="388">
        <f t="shared" si="3"/>
        <v>0</v>
      </c>
      <c r="S24" s="388">
        <f t="shared" si="3"/>
        <v>0</v>
      </c>
      <c r="T24" s="388">
        <f t="shared" si="3"/>
        <v>0</v>
      </c>
      <c r="U24" s="388">
        <f t="shared" si="3"/>
        <v>0</v>
      </c>
      <c r="V24" s="388">
        <f t="shared" si="3"/>
        <v>0</v>
      </c>
      <c r="W24" s="388">
        <f t="shared" si="3"/>
        <v>2552.1625818058114</v>
      </c>
      <c r="X24" s="388">
        <f t="shared" si="3"/>
        <v>0</v>
      </c>
      <c r="Y24" s="389">
        <f t="shared" si="2"/>
        <v>-16661.514797245236</v>
      </c>
    </row>
    <row r="25" spans="1:25">
      <c r="A25" s="387" t="s">
        <v>20</v>
      </c>
      <c r="B25" s="388">
        <f>+'[5]Calculo Coef Actualizado'!B25-'[5]pagado 1er Sem'!B25</f>
        <v>0</v>
      </c>
      <c r="C25" s="388">
        <f>+'[5]Calculo Coef Actualizado'!C25-'[5]pagado 1er Sem'!C25</f>
        <v>0</v>
      </c>
      <c r="D25" s="388">
        <f>+'[5]Calculo Coef Actualizado'!D25-'[5]pagado 1er Sem'!D25</f>
        <v>-330655.52942657424</v>
      </c>
      <c r="E25" s="388">
        <f>+'[5]Calculo Coef Actualizado'!E25-'[5]pagado 1er Sem'!E25</f>
        <v>0</v>
      </c>
      <c r="F25" s="388">
        <f>+'[5]Calculo Coef Actualizado'!F25-'[5]pagado 1er Sem'!F25</f>
        <v>0</v>
      </c>
      <c r="G25" s="388">
        <f>+'[5]Calculo Coef Actualizado'!G25-'[5]pagado 1er Sem'!G25</f>
        <v>0</v>
      </c>
      <c r="H25" s="388">
        <f>+'[5]Calculo Coef Actualizado'!H25-'[5]pagado 1er Sem'!H25</f>
        <v>0</v>
      </c>
      <c r="I25" s="388">
        <f>+'[5]Calculo Coef Actualizado'!I25-'[5]pagado 1er Sem'!I25</f>
        <v>0</v>
      </c>
      <c r="J25" s="388">
        <f>+'[5]Calculo Coef Actualizado'!J25-'[5]pagado 1er Sem'!J25</f>
        <v>-111310.77114391513</v>
      </c>
      <c r="K25" s="388">
        <f>+'[5]Calculo Coef Actualizado'!K25-'[5]pagado 1er Sem'!K25</f>
        <v>0</v>
      </c>
      <c r="L25" s="389">
        <f t="shared" si="1"/>
        <v>-441966.30057048937</v>
      </c>
      <c r="N25" s="387" t="s">
        <v>20</v>
      </c>
      <c r="O25" s="388">
        <f t="shared" si="3"/>
        <v>0</v>
      </c>
      <c r="P25" s="388">
        <f t="shared" si="3"/>
        <v>0</v>
      </c>
      <c r="Q25" s="388">
        <f t="shared" si="3"/>
        <v>-55109.254904429043</v>
      </c>
      <c r="R25" s="388">
        <f t="shared" si="3"/>
        <v>0</v>
      </c>
      <c r="S25" s="388">
        <f t="shared" si="3"/>
        <v>0</v>
      </c>
      <c r="T25" s="388">
        <f t="shared" si="3"/>
        <v>0</v>
      </c>
      <c r="U25" s="388">
        <f t="shared" si="3"/>
        <v>0</v>
      </c>
      <c r="V25" s="388">
        <f t="shared" si="3"/>
        <v>0</v>
      </c>
      <c r="W25" s="388">
        <f t="shared" si="3"/>
        <v>-18551.795190652523</v>
      </c>
      <c r="X25" s="388">
        <f t="shared" si="3"/>
        <v>0</v>
      </c>
      <c r="Y25" s="389">
        <f t="shared" si="2"/>
        <v>-73661.050095081562</v>
      </c>
    </row>
    <row r="26" spans="1:25">
      <c r="A26" s="387" t="s">
        <v>21</v>
      </c>
      <c r="B26" s="388">
        <f>+'[5]Calculo Coef Actualizado'!B26-'[5]pagado 1er Sem'!B26</f>
        <v>0</v>
      </c>
      <c r="C26" s="388">
        <f>+'[5]Calculo Coef Actualizado'!C26-'[5]pagado 1er Sem'!C26</f>
        <v>0</v>
      </c>
      <c r="D26" s="388">
        <f>+'[5]Calculo Coef Actualizado'!D26-'[5]pagado 1er Sem'!D26</f>
        <v>-731766.17149658874</v>
      </c>
      <c r="E26" s="388">
        <f>+'[5]Calculo Coef Actualizado'!E26-'[5]pagado 1er Sem'!E26</f>
        <v>0</v>
      </c>
      <c r="F26" s="388">
        <f>+'[5]Calculo Coef Actualizado'!F26-'[5]pagado 1er Sem'!F26</f>
        <v>0</v>
      </c>
      <c r="G26" s="388">
        <f>+'[5]Calculo Coef Actualizado'!G26-'[5]pagado 1er Sem'!G26</f>
        <v>0</v>
      </c>
      <c r="H26" s="388">
        <f>+'[5]Calculo Coef Actualizado'!H26-'[5]pagado 1er Sem'!H26</f>
        <v>0</v>
      </c>
      <c r="I26" s="388">
        <f>+'[5]Calculo Coef Actualizado'!I26-'[5]pagado 1er Sem'!I26</f>
        <v>0</v>
      </c>
      <c r="J26" s="388">
        <f>+'[5]Calculo Coef Actualizado'!J26-'[5]pagado 1er Sem'!J26</f>
        <v>3623.5210018619546</v>
      </c>
      <c r="K26" s="388">
        <f>+'[5]Calculo Coef Actualizado'!K26-'[5]pagado 1er Sem'!K26</f>
        <v>0</v>
      </c>
      <c r="L26" s="389">
        <f t="shared" si="1"/>
        <v>-728142.65049472684</v>
      </c>
      <c r="N26" s="387" t="s">
        <v>21</v>
      </c>
      <c r="O26" s="388">
        <f t="shared" si="3"/>
        <v>0</v>
      </c>
      <c r="P26" s="388">
        <f t="shared" si="3"/>
        <v>0</v>
      </c>
      <c r="Q26" s="388">
        <f t="shared" si="3"/>
        <v>-121961.02858276479</v>
      </c>
      <c r="R26" s="388">
        <f t="shared" si="3"/>
        <v>0</v>
      </c>
      <c r="S26" s="388">
        <f t="shared" si="3"/>
        <v>0</v>
      </c>
      <c r="T26" s="388">
        <f t="shared" si="3"/>
        <v>0</v>
      </c>
      <c r="U26" s="388">
        <f t="shared" si="3"/>
        <v>0</v>
      </c>
      <c r="V26" s="388">
        <f t="shared" si="3"/>
        <v>0</v>
      </c>
      <c r="W26" s="388">
        <f t="shared" si="3"/>
        <v>603.92016697699239</v>
      </c>
      <c r="X26" s="388">
        <f t="shared" si="3"/>
        <v>0</v>
      </c>
      <c r="Y26" s="389">
        <f t="shared" si="2"/>
        <v>-121357.10841578779</v>
      </c>
    </row>
    <row r="27" spans="1:25">
      <c r="A27" s="387" t="s">
        <v>22</v>
      </c>
      <c r="B27" s="388">
        <f>+'[5]Calculo Coef Actualizado'!B27-'[5]pagado 1er Sem'!B27</f>
        <v>-1.257285475730896E-8</v>
      </c>
      <c r="C27" s="388">
        <f>+'[5]Calculo Coef Actualizado'!C27-'[5]pagado 1er Sem'!C27</f>
        <v>-1.7462298274040222E-9</v>
      </c>
      <c r="D27" s="388">
        <f>+'[5]Calculo Coef Actualizado'!D27-'[5]pagado 1er Sem'!D27</f>
        <v>-1257257.5097217003</v>
      </c>
      <c r="E27" s="388">
        <f>+'[5]Calculo Coef Actualizado'!E27-'[5]pagado 1er Sem'!E27</f>
        <v>-3.4924596548080444E-10</v>
      </c>
      <c r="F27" s="388">
        <f>+'[5]Calculo Coef Actualizado'!F27-'[5]pagado 1er Sem'!F27</f>
        <v>-5.8207660913467407E-10</v>
      </c>
      <c r="G27" s="388">
        <f>+'[5]Calculo Coef Actualizado'!G27-'[5]pagado 1er Sem'!G27</f>
        <v>2.9103830456733704E-11</v>
      </c>
      <c r="H27" s="388">
        <f>+'[5]Calculo Coef Actualizado'!H27-'[5]pagado 1er Sem'!H27</f>
        <v>-3.2014213502407074E-10</v>
      </c>
      <c r="I27" s="388">
        <f>+'[5]Calculo Coef Actualizado'!I27-'[5]pagado 1er Sem'!I27</f>
        <v>-6.9121597334742546E-11</v>
      </c>
      <c r="J27" s="388">
        <f>+'[5]Calculo Coef Actualizado'!J27-'[5]pagado 1er Sem'!J27</f>
        <v>25850.093938104659</v>
      </c>
      <c r="K27" s="388">
        <f>+'[5]Calculo Coef Actualizado'!K27-'[5]pagado 1er Sem'!K27</f>
        <v>-1.6007106751203537E-10</v>
      </c>
      <c r="L27" s="389">
        <f t="shared" si="1"/>
        <v>-1231407.4157836114</v>
      </c>
      <c r="N27" s="387" t="s">
        <v>22</v>
      </c>
      <c r="O27" s="388">
        <f t="shared" si="3"/>
        <v>-2.0954757928848267E-9</v>
      </c>
      <c r="P27" s="388">
        <f t="shared" si="3"/>
        <v>-2.9103830456733704E-10</v>
      </c>
      <c r="Q27" s="388">
        <f t="shared" si="3"/>
        <v>-209542.91828695007</v>
      </c>
      <c r="R27" s="388">
        <f t="shared" si="3"/>
        <v>-5.8207660913467407E-11</v>
      </c>
      <c r="S27" s="388">
        <f t="shared" si="3"/>
        <v>-9.701276818911235E-11</v>
      </c>
      <c r="T27" s="388">
        <f t="shared" si="3"/>
        <v>4.850638409455617E-12</v>
      </c>
      <c r="U27" s="388">
        <f t="shared" si="3"/>
        <v>-5.3357022504011788E-11</v>
      </c>
      <c r="V27" s="388">
        <f t="shared" si="3"/>
        <v>-1.152026622245709E-11</v>
      </c>
      <c r="W27" s="388">
        <f t="shared" si="3"/>
        <v>4308.3489896841102</v>
      </c>
      <c r="X27" s="388">
        <f t="shared" si="3"/>
        <v>-2.6678511252005894E-11</v>
      </c>
      <c r="Y27" s="389">
        <f t="shared" si="2"/>
        <v>-205234.56929726858</v>
      </c>
    </row>
    <row r="28" spans="1:25">
      <c r="A28" s="387" t="s">
        <v>23</v>
      </c>
      <c r="B28" s="388">
        <f>+'[5]Calculo Coef Actualizado'!B28-'[5]pagado 1er Sem'!B28</f>
        <v>0</v>
      </c>
      <c r="C28" s="388">
        <f>+'[5]Calculo Coef Actualizado'!C28-'[5]pagado 1er Sem'!C28</f>
        <v>0</v>
      </c>
      <c r="D28" s="388">
        <f>+'[5]Calculo Coef Actualizado'!D28-'[5]pagado 1er Sem'!D28</f>
        <v>383566.22286429157</v>
      </c>
      <c r="E28" s="388">
        <f>+'[5]Calculo Coef Actualizado'!E28-'[5]pagado 1er Sem'!E28</f>
        <v>0</v>
      </c>
      <c r="F28" s="388">
        <f>+'[5]Calculo Coef Actualizado'!F28-'[5]pagado 1er Sem'!F28</f>
        <v>0</v>
      </c>
      <c r="G28" s="388">
        <f>+'[5]Calculo Coef Actualizado'!G28-'[5]pagado 1er Sem'!G28</f>
        <v>0</v>
      </c>
      <c r="H28" s="388">
        <f>+'[5]Calculo Coef Actualizado'!H28-'[5]pagado 1er Sem'!H28</f>
        <v>0</v>
      </c>
      <c r="I28" s="388">
        <f>+'[5]Calculo Coef Actualizado'!I28-'[5]pagado 1er Sem'!I28</f>
        <v>0</v>
      </c>
      <c r="J28" s="388">
        <f>+'[5]Calculo Coef Actualizado'!J28-'[5]pagado 1er Sem'!J28</f>
        <v>4598.0861897408904</v>
      </c>
      <c r="K28" s="388">
        <f>+'[5]Calculo Coef Actualizado'!K28-'[5]pagado 1er Sem'!K28</f>
        <v>0</v>
      </c>
      <c r="L28" s="389">
        <f t="shared" si="1"/>
        <v>388164.30905403243</v>
      </c>
      <c r="N28" s="387" t="s">
        <v>23</v>
      </c>
      <c r="O28" s="388">
        <f t="shared" si="3"/>
        <v>0</v>
      </c>
      <c r="P28" s="388">
        <f t="shared" si="3"/>
        <v>0</v>
      </c>
      <c r="Q28" s="388">
        <f t="shared" si="3"/>
        <v>63927.703810715262</v>
      </c>
      <c r="R28" s="388">
        <f t="shared" si="3"/>
        <v>0</v>
      </c>
      <c r="S28" s="388">
        <f t="shared" si="3"/>
        <v>0</v>
      </c>
      <c r="T28" s="388">
        <f t="shared" si="3"/>
        <v>0</v>
      </c>
      <c r="U28" s="388">
        <f t="shared" si="3"/>
        <v>0</v>
      </c>
      <c r="V28" s="388">
        <f t="shared" si="3"/>
        <v>0</v>
      </c>
      <c r="W28" s="388">
        <f t="shared" si="3"/>
        <v>766.3476982901484</v>
      </c>
      <c r="X28" s="388">
        <f t="shared" si="3"/>
        <v>0</v>
      </c>
      <c r="Y28" s="389">
        <f t="shared" si="2"/>
        <v>64694.05150900541</v>
      </c>
    </row>
    <row r="29" spans="1:25">
      <c r="A29" s="387" t="s">
        <v>24</v>
      </c>
      <c r="B29" s="388">
        <f>+'[5]Calculo Coef Actualizado'!B29-'[5]pagado 1er Sem'!B29</f>
        <v>-6.7055225372314453E-8</v>
      </c>
      <c r="C29" s="388">
        <f>+'[5]Calculo Coef Actualizado'!C29-'[5]pagado 1er Sem'!C29</f>
        <v>-9.3132257461547852E-9</v>
      </c>
      <c r="D29" s="388">
        <f>+'[5]Calculo Coef Actualizado'!D29-'[5]pagado 1er Sem'!D29</f>
        <v>2127023.4987113648</v>
      </c>
      <c r="E29" s="388">
        <f>+'[5]Calculo Coef Actualizado'!E29-'[5]pagado 1er Sem'!E29</f>
        <v>-1.9790604710578918E-9</v>
      </c>
      <c r="F29" s="388">
        <f>+'[5]Calculo Coef Actualizado'!F29-'[5]pagado 1er Sem'!F29</f>
        <v>-3.2596290111541748E-9</v>
      </c>
      <c r="G29" s="388">
        <f>+'[5]Calculo Coef Actualizado'!G29-'[5]pagado 1er Sem'!G29</f>
        <v>1.5279510989785194E-10</v>
      </c>
      <c r="H29" s="388">
        <f>+'[5]Calculo Coef Actualizado'!H29-'[5]pagado 1er Sem'!H29</f>
        <v>-1.7462298274040222E-9</v>
      </c>
      <c r="I29" s="388">
        <f>+'[5]Calculo Coef Actualizado'!I29-'[5]pagado 1er Sem'!I29</f>
        <v>-3.637978807091713E-10</v>
      </c>
      <c r="J29" s="388">
        <f>+'[5]Calculo Coef Actualizado'!J29-'[5]pagado 1er Sem'!J29</f>
        <v>95951.013400319032</v>
      </c>
      <c r="K29" s="388">
        <f>+'[5]Calculo Coef Actualizado'!K29-'[5]pagado 1er Sem'!K29</f>
        <v>-8.7311491370201111E-10</v>
      </c>
      <c r="L29" s="389">
        <f t="shared" si="1"/>
        <v>2222974.5121115991</v>
      </c>
      <c r="N29" s="387" t="s">
        <v>24</v>
      </c>
      <c r="O29" s="388">
        <f t="shared" si="3"/>
        <v>-1.1175870895385742E-8</v>
      </c>
      <c r="P29" s="388">
        <f t="shared" si="3"/>
        <v>-1.5522042910257976E-9</v>
      </c>
      <c r="Q29" s="388">
        <f t="shared" si="3"/>
        <v>354503.91645189415</v>
      </c>
      <c r="R29" s="388">
        <f t="shared" si="3"/>
        <v>-3.2984341184298199E-10</v>
      </c>
      <c r="S29" s="388">
        <f t="shared" si="3"/>
        <v>-5.4327150185902917E-10</v>
      </c>
      <c r="T29" s="388">
        <f t="shared" si="3"/>
        <v>2.5465851649641991E-11</v>
      </c>
      <c r="U29" s="388">
        <f t="shared" si="3"/>
        <v>-2.9103830456733704E-10</v>
      </c>
      <c r="V29" s="388">
        <f t="shared" si="3"/>
        <v>-6.063298011819522E-11</v>
      </c>
      <c r="W29" s="388">
        <f t="shared" si="3"/>
        <v>15991.835566719839</v>
      </c>
      <c r="X29" s="388">
        <f t="shared" si="3"/>
        <v>-1.4551915228366852E-10</v>
      </c>
      <c r="Y29" s="389">
        <f t="shared" si="2"/>
        <v>370495.75201859989</v>
      </c>
    </row>
    <row r="30" spans="1:25">
      <c r="A30" s="387" t="s">
        <v>25</v>
      </c>
      <c r="B30" s="388">
        <f>+'[5]Calculo Coef Actualizado'!B30-'[5]pagado 1er Sem'!B30</f>
        <v>0</v>
      </c>
      <c r="C30" s="388">
        <f>+'[5]Calculo Coef Actualizado'!C30-'[5]pagado 1er Sem'!C30</f>
        <v>0</v>
      </c>
      <c r="D30" s="388">
        <f>+'[5]Calculo Coef Actualizado'!D30-'[5]pagado 1er Sem'!D30</f>
        <v>-361553.86404298712</v>
      </c>
      <c r="E30" s="388">
        <f>+'[5]Calculo Coef Actualizado'!E30-'[5]pagado 1er Sem'!E30</f>
        <v>0</v>
      </c>
      <c r="F30" s="388">
        <f>+'[5]Calculo Coef Actualizado'!F30-'[5]pagado 1er Sem'!F30</f>
        <v>0</v>
      </c>
      <c r="G30" s="388">
        <f>+'[5]Calculo Coef Actualizado'!G30-'[5]pagado 1er Sem'!G30</f>
        <v>0</v>
      </c>
      <c r="H30" s="388">
        <f>+'[5]Calculo Coef Actualizado'!H30-'[5]pagado 1er Sem'!H30</f>
        <v>0</v>
      </c>
      <c r="I30" s="388">
        <f>+'[5]Calculo Coef Actualizado'!I30-'[5]pagado 1er Sem'!I30</f>
        <v>0</v>
      </c>
      <c r="J30" s="388">
        <f>+'[5]Calculo Coef Actualizado'!J30-'[5]pagado 1er Sem'!J30</f>
        <v>-277948.12544025015</v>
      </c>
      <c r="K30" s="388">
        <f>+'[5]Calculo Coef Actualizado'!K30-'[5]pagado 1er Sem'!K30</f>
        <v>0</v>
      </c>
      <c r="L30" s="389">
        <f t="shared" si="1"/>
        <v>-639501.98948323727</v>
      </c>
      <c r="N30" s="387" t="s">
        <v>25</v>
      </c>
      <c r="O30" s="388">
        <f t="shared" si="3"/>
        <v>0</v>
      </c>
      <c r="P30" s="388">
        <f t="shared" si="3"/>
        <v>0</v>
      </c>
      <c r="Q30" s="388">
        <f t="shared" si="3"/>
        <v>-60258.977340497855</v>
      </c>
      <c r="R30" s="388">
        <f t="shared" si="3"/>
        <v>0</v>
      </c>
      <c r="S30" s="388">
        <f t="shared" si="3"/>
        <v>0</v>
      </c>
      <c r="T30" s="388">
        <f t="shared" si="3"/>
        <v>0</v>
      </c>
      <c r="U30" s="388">
        <f t="shared" si="3"/>
        <v>0</v>
      </c>
      <c r="V30" s="388">
        <f t="shared" si="3"/>
        <v>0</v>
      </c>
      <c r="W30" s="388">
        <f t="shared" si="3"/>
        <v>-46324.687573375028</v>
      </c>
      <c r="X30" s="388">
        <f t="shared" si="3"/>
        <v>0</v>
      </c>
      <c r="Y30" s="389">
        <f t="shared" si="2"/>
        <v>-106583.66491387288</v>
      </c>
    </row>
    <row r="31" spans="1:25">
      <c r="A31" s="387" t="s">
        <v>26</v>
      </c>
      <c r="B31" s="388">
        <f>+'[5]Calculo Coef Actualizado'!B31-'[5]pagado 1er Sem'!B31</f>
        <v>0</v>
      </c>
      <c r="C31" s="388">
        <f>+'[5]Calculo Coef Actualizado'!C31-'[5]pagado 1er Sem'!C31</f>
        <v>0</v>
      </c>
      <c r="D31" s="388">
        <f>+'[5]Calculo Coef Actualizado'!D31-'[5]pagado 1er Sem'!D31</f>
        <v>-699177.33364179824</v>
      </c>
      <c r="E31" s="388">
        <f>+'[5]Calculo Coef Actualizado'!E31-'[5]pagado 1er Sem'!E31</f>
        <v>0</v>
      </c>
      <c r="F31" s="388">
        <f>+'[5]Calculo Coef Actualizado'!F31-'[5]pagado 1er Sem'!F31</f>
        <v>0</v>
      </c>
      <c r="G31" s="388">
        <f>+'[5]Calculo Coef Actualizado'!G31-'[5]pagado 1er Sem'!G31</f>
        <v>0</v>
      </c>
      <c r="H31" s="388">
        <f>+'[5]Calculo Coef Actualizado'!H31-'[5]pagado 1er Sem'!H31</f>
        <v>0</v>
      </c>
      <c r="I31" s="388">
        <f>+'[5]Calculo Coef Actualizado'!I31-'[5]pagado 1er Sem'!I31</f>
        <v>0</v>
      </c>
      <c r="J31" s="388">
        <f>+'[5]Calculo Coef Actualizado'!J31-'[5]pagado 1er Sem'!J31</f>
        <v>-14682.962342052197</v>
      </c>
      <c r="K31" s="388">
        <f>+'[5]Calculo Coef Actualizado'!K31-'[5]pagado 1er Sem'!K31</f>
        <v>0</v>
      </c>
      <c r="L31" s="389">
        <f t="shared" si="1"/>
        <v>-713860.29598385049</v>
      </c>
      <c r="N31" s="387" t="s">
        <v>26</v>
      </c>
      <c r="O31" s="388">
        <f t="shared" si="3"/>
        <v>0</v>
      </c>
      <c r="P31" s="388">
        <f t="shared" si="3"/>
        <v>0</v>
      </c>
      <c r="Q31" s="388">
        <f t="shared" si="3"/>
        <v>-116529.55560696637</v>
      </c>
      <c r="R31" s="388">
        <f t="shared" si="3"/>
        <v>0</v>
      </c>
      <c r="S31" s="388">
        <f t="shared" si="3"/>
        <v>0</v>
      </c>
      <c r="T31" s="388">
        <f t="shared" si="3"/>
        <v>0</v>
      </c>
      <c r="U31" s="388">
        <f t="shared" si="3"/>
        <v>0</v>
      </c>
      <c r="V31" s="388">
        <f t="shared" si="3"/>
        <v>0</v>
      </c>
      <c r="W31" s="388">
        <f t="shared" si="3"/>
        <v>-2447.1603903420328</v>
      </c>
      <c r="X31" s="388">
        <f t="shared" si="3"/>
        <v>0</v>
      </c>
      <c r="Y31" s="389">
        <f t="shared" si="2"/>
        <v>-118976.71599730841</v>
      </c>
    </row>
    <row r="32" spans="1:25">
      <c r="A32" s="387" t="s">
        <v>27</v>
      </c>
      <c r="B32" s="388">
        <f>+'[5]Calculo Coef Actualizado'!B32-'[5]pagado 1er Sem'!B32</f>
        <v>0</v>
      </c>
      <c r="C32" s="388">
        <f>+'[5]Calculo Coef Actualizado'!C32-'[5]pagado 1er Sem'!C32</f>
        <v>0</v>
      </c>
      <c r="D32" s="388">
        <f>+'[5]Calculo Coef Actualizado'!D32-'[5]pagado 1er Sem'!D32</f>
        <v>323291.21727896389</v>
      </c>
      <c r="E32" s="388">
        <f>+'[5]Calculo Coef Actualizado'!E32-'[5]pagado 1er Sem'!E32</f>
        <v>0</v>
      </c>
      <c r="F32" s="388">
        <f>+'[5]Calculo Coef Actualizado'!F32-'[5]pagado 1er Sem'!F32</f>
        <v>0</v>
      </c>
      <c r="G32" s="388">
        <f>+'[5]Calculo Coef Actualizado'!G32-'[5]pagado 1er Sem'!G32</f>
        <v>0</v>
      </c>
      <c r="H32" s="388">
        <f>+'[5]Calculo Coef Actualizado'!H32-'[5]pagado 1er Sem'!H32</f>
        <v>0</v>
      </c>
      <c r="I32" s="388">
        <f>+'[5]Calculo Coef Actualizado'!I32-'[5]pagado 1er Sem'!I32</f>
        <v>0</v>
      </c>
      <c r="J32" s="388">
        <f>+'[5]Calculo Coef Actualizado'!J32-'[5]pagado 1er Sem'!J32</f>
        <v>-35618.603205986728</v>
      </c>
      <c r="K32" s="388">
        <f>+'[5]Calculo Coef Actualizado'!K32-'[5]pagado 1er Sem'!K32</f>
        <v>0</v>
      </c>
      <c r="L32" s="389">
        <f t="shared" si="1"/>
        <v>287672.61407297716</v>
      </c>
      <c r="N32" s="387" t="s">
        <v>27</v>
      </c>
      <c r="O32" s="388">
        <f t="shared" si="3"/>
        <v>0</v>
      </c>
      <c r="P32" s="388">
        <f t="shared" si="3"/>
        <v>0</v>
      </c>
      <c r="Q32" s="388">
        <f t="shared" si="3"/>
        <v>53881.869546493981</v>
      </c>
      <c r="R32" s="388">
        <f t="shared" si="3"/>
        <v>0</v>
      </c>
      <c r="S32" s="388">
        <f t="shared" si="3"/>
        <v>0</v>
      </c>
      <c r="T32" s="388">
        <f t="shared" si="3"/>
        <v>0</v>
      </c>
      <c r="U32" s="388">
        <f t="shared" si="3"/>
        <v>0</v>
      </c>
      <c r="V32" s="388">
        <f t="shared" si="3"/>
        <v>0</v>
      </c>
      <c r="W32" s="388">
        <f t="shared" si="3"/>
        <v>-5936.4338676644547</v>
      </c>
      <c r="X32" s="388">
        <f t="shared" si="3"/>
        <v>0</v>
      </c>
      <c r="Y32" s="389">
        <f t="shared" si="2"/>
        <v>47945.435678829526</v>
      </c>
    </row>
    <row r="33" spans="1:25">
      <c r="A33" s="387" t="s">
        <v>28</v>
      </c>
      <c r="B33" s="388">
        <f>+'[5]Calculo Coef Actualizado'!B33-'[5]pagado 1er Sem'!B33</f>
        <v>0</v>
      </c>
      <c r="C33" s="388">
        <f>+'[5]Calculo Coef Actualizado'!C33-'[5]pagado 1er Sem'!C33</f>
        <v>0</v>
      </c>
      <c r="D33" s="388">
        <f>+'[5]Calculo Coef Actualizado'!D33-'[5]pagado 1er Sem'!D33</f>
        <v>399576.78210931225</v>
      </c>
      <c r="E33" s="388">
        <f>+'[5]Calculo Coef Actualizado'!E33-'[5]pagado 1er Sem'!E33</f>
        <v>0</v>
      </c>
      <c r="F33" s="388">
        <f>+'[5]Calculo Coef Actualizado'!F33-'[5]pagado 1er Sem'!F33</f>
        <v>0</v>
      </c>
      <c r="G33" s="388">
        <f>+'[5]Calculo Coef Actualizado'!G33-'[5]pagado 1er Sem'!G33</f>
        <v>0</v>
      </c>
      <c r="H33" s="388">
        <f>+'[5]Calculo Coef Actualizado'!H33-'[5]pagado 1er Sem'!H33</f>
        <v>0</v>
      </c>
      <c r="I33" s="388">
        <f>+'[5]Calculo Coef Actualizado'!I33-'[5]pagado 1er Sem'!I33</f>
        <v>0</v>
      </c>
      <c r="J33" s="388">
        <f>+'[5]Calculo Coef Actualizado'!J33-'[5]pagado 1er Sem'!J33</f>
        <v>-31262.942592289452</v>
      </c>
      <c r="K33" s="388">
        <f>+'[5]Calculo Coef Actualizado'!K33-'[5]pagado 1er Sem'!K33</f>
        <v>0</v>
      </c>
      <c r="L33" s="389">
        <f t="shared" si="1"/>
        <v>368313.83951702277</v>
      </c>
      <c r="N33" s="387" t="s">
        <v>28</v>
      </c>
      <c r="O33" s="388">
        <f t="shared" si="3"/>
        <v>0</v>
      </c>
      <c r="P33" s="388">
        <f t="shared" si="3"/>
        <v>0</v>
      </c>
      <c r="Q33" s="388">
        <f t="shared" si="3"/>
        <v>66596.130351552041</v>
      </c>
      <c r="R33" s="388">
        <f t="shared" si="3"/>
        <v>0</v>
      </c>
      <c r="S33" s="388">
        <f t="shared" si="3"/>
        <v>0</v>
      </c>
      <c r="T33" s="388">
        <f t="shared" si="3"/>
        <v>0</v>
      </c>
      <c r="U33" s="388">
        <f t="shared" si="3"/>
        <v>0</v>
      </c>
      <c r="V33" s="388">
        <f t="shared" si="3"/>
        <v>0</v>
      </c>
      <c r="W33" s="388">
        <f t="shared" si="3"/>
        <v>-5210.4904320482419</v>
      </c>
      <c r="X33" s="388">
        <f t="shared" si="3"/>
        <v>0</v>
      </c>
      <c r="Y33" s="389">
        <f t="shared" si="2"/>
        <v>61385.639919503796</v>
      </c>
    </row>
    <row r="34" spans="1:25">
      <c r="A34" s="387" t="s">
        <v>29</v>
      </c>
      <c r="B34" s="388">
        <f>+'[5]Calculo Coef Actualizado'!B34-'[5]pagado 1er Sem'!B34</f>
        <v>0</v>
      </c>
      <c r="C34" s="388">
        <f>+'[5]Calculo Coef Actualizado'!C34-'[5]pagado 1er Sem'!C34</f>
        <v>0</v>
      </c>
      <c r="D34" s="388">
        <f>+'[5]Calculo Coef Actualizado'!D34-'[5]pagado 1er Sem'!D34</f>
        <v>118700.98606201215</v>
      </c>
      <c r="E34" s="388">
        <f>+'[5]Calculo Coef Actualizado'!E34-'[5]pagado 1er Sem'!E34</f>
        <v>0</v>
      </c>
      <c r="F34" s="388">
        <f>+'[5]Calculo Coef Actualizado'!F34-'[5]pagado 1er Sem'!F34</f>
        <v>0</v>
      </c>
      <c r="G34" s="388">
        <f>+'[5]Calculo Coef Actualizado'!G34-'[5]pagado 1er Sem'!G34</f>
        <v>0</v>
      </c>
      <c r="H34" s="388">
        <f>+'[5]Calculo Coef Actualizado'!H34-'[5]pagado 1er Sem'!H34</f>
        <v>0</v>
      </c>
      <c r="I34" s="388">
        <f>+'[5]Calculo Coef Actualizado'!I34-'[5]pagado 1er Sem'!I34</f>
        <v>0</v>
      </c>
      <c r="J34" s="388">
        <f>+'[5]Calculo Coef Actualizado'!J34-'[5]pagado 1er Sem'!J34</f>
        <v>-13775.221724326067</v>
      </c>
      <c r="K34" s="388">
        <f>+'[5]Calculo Coef Actualizado'!K34-'[5]pagado 1er Sem'!K34</f>
        <v>0</v>
      </c>
      <c r="L34" s="389">
        <f t="shared" si="1"/>
        <v>104925.76433768608</v>
      </c>
      <c r="N34" s="387" t="s">
        <v>29</v>
      </c>
      <c r="O34" s="388">
        <f t="shared" si="3"/>
        <v>0</v>
      </c>
      <c r="P34" s="388">
        <f t="shared" si="3"/>
        <v>0</v>
      </c>
      <c r="Q34" s="388">
        <f t="shared" si="3"/>
        <v>19783.497677002026</v>
      </c>
      <c r="R34" s="388">
        <f t="shared" si="3"/>
        <v>0</v>
      </c>
      <c r="S34" s="388">
        <f t="shared" si="3"/>
        <v>0</v>
      </c>
      <c r="T34" s="388">
        <f t="shared" si="3"/>
        <v>0</v>
      </c>
      <c r="U34" s="388">
        <f t="shared" si="3"/>
        <v>0</v>
      </c>
      <c r="V34" s="388">
        <f t="shared" si="3"/>
        <v>0</v>
      </c>
      <c r="W34" s="388">
        <f t="shared" si="3"/>
        <v>-2295.8702873876778</v>
      </c>
      <c r="X34" s="388">
        <f t="shared" si="3"/>
        <v>0</v>
      </c>
      <c r="Y34" s="389">
        <f t="shared" si="2"/>
        <v>17487.627389614347</v>
      </c>
    </row>
    <row r="35" spans="1:25">
      <c r="A35" s="387" t="s">
        <v>30</v>
      </c>
      <c r="B35" s="388">
        <f>+'[5]Calculo Coef Actualizado'!B35-'[5]pagado 1er Sem'!B35</f>
        <v>-2.6077032089233398E-8</v>
      </c>
      <c r="C35" s="388">
        <f>+'[5]Calculo Coef Actualizado'!C35-'[5]pagado 1er Sem'!C35</f>
        <v>-3.4924596548080444E-9</v>
      </c>
      <c r="D35" s="388">
        <f>+'[5]Calculo Coef Actualizado'!D35-'[5]pagado 1er Sem'!D35</f>
        <v>405316.70828373753</v>
      </c>
      <c r="E35" s="388">
        <f>+'[5]Calculo Coef Actualizado'!E35-'[5]pagado 1er Sem'!E35</f>
        <v>-7.5669959187507629E-10</v>
      </c>
      <c r="F35" s="388">
        <f>+'[5]Calculo Coef Actualizado'!F35-'[5]pagado 1er Sem'!F35</f>
        <v>-1.280568540096283E-9</v>
      </c>
      <c r="G35" s="388">
        <f>+'[5]Calculo Coef Actualizado'!G35-'[5]pagado 1er Sem'!G35</f>
        <v>6.184563972055912E-11</v>
      </c>
      <c r="H35" s="388">
        <f>+'[5]Calculo Coef Actualizado'!H35-'[5]pagado 1er Sem'!H35</f>
        <v>-6.9849193096160889E-10</v>
      </c>
      <c r="I35" s="388">
        <f>+'[5]Calculo Coef Actualizado'!I35-'[5]pagado 1er Sem'!I35</f>
        <v>-1.4551915228366852E-10</v>
      </c>
      <c r="J35" s="388">
        <f>+'[5]Calculo Coef Actualizado'!J35-'[5]pagado 1er Sem'!J35</f>
        <v>25490.836248541687</v>
      </c>
      <c r="K35" s="388">
        <f>+'[5]Calculo Coef Actualizado'!K35-'[5]pagado 1er Sem'!K35</f>
        <v>-3.3469405025243759E-10</v>
      </c>
      <c r="L35" s="389">
        <f t="shared" si="1"/>
        <v>430807.54453224654</v>
      </c>
      <c r="N35" s="387" t="s">
        <v>30</v>
      </c>
      <c r="O35" s="388">
        <f t="shared" si="3"/>
        <v>-4.3461720148722333E-9</v>
      </c>
      <c r="P35" s="388">
        <f t="shared" si="3"/>
        <v>-5.8207660913467407E-10</v>
      </c>
      <c r="Q35" s="388">
        <f t="shared" si="3"/>
        <v>67552.784713956251</v>
      </c>
      <c r="R35" s="388">
        <f t="shared" si="3"/>
        <v>-1.2611659864584604E-10</v>
      </c>
      <c r="S35" s="388">
        <f t="shared" si="3"/>
        <v>-2.1342809001604715E-10</v>
      </c>
      <c r="T35" s="388">
        <f t="shared" si="3"/>
        <v>1.0307606620093187E-11</v>
      </c>
      <c r="U35" s="388">
        <f t="shared" si="3"/>
        <v>-1.1641532182693481E-10</v>
      </c>
      <c r="V35" s="388">
        <f t="shared" si="3"/>
        <v>-2.4253192047278087E-11</v>
      </c>
      <c r="W35" s="388">
        <f t="shared" si="3"/>
        <v>4248.4727080902812</v>
      </c>
      <c r="X35" s="388">
        <f t="shared" si="3"/>
        <v>-5.5782341708739601E-11</v>
      </c>
      <c r="Y35" s="389">
        <f t="shared" si="2"/>
        <v>71801.257422041061</v>
      </c>
    </row>
    <row r="36" spans="1:25">
      <c r="A36" s="387" t="s">
        <v>31</v>
      </c>
      <c r="B36" s="388">
        <f>+'[5]Calculo Coef Actualizado'!B36-'[5]pagado 1er Sem'!B36</f>
        <v>0</v>
      </c>
      <c r="C36" s="388">
        <f>+'[5]Calculo Coef Actualizado'!C36-'[5]pagado 1er Sem'!C36</f>
        <v>0</v>
      </c>
      <c r="D36" s="388">
        <f>+'[5]Calculo Coef Actualizado'!D36-'[5]pagado 1er Sem'!D36</f>
        <v>0</v>
      </c>
      <c r="E36" s="388">
        <f>+'[5]Calculo Coef Actualizado'!E36-'[5]pagado 1er Sem'!E36</f>
        <v>0</v>
      </c>
      <c r="F36" s="388">
        <f>+'[5]Calculo Coef Actualizado'!F36-'[5]pagado 1er Sem'!F36</f>
        <v>0</v>
      </c>
      <c r="G36" s="388">
        <f>+'[5]Calculo Coef Actualizado'!G36-'[5]pagado 1er Sem'!G36</f>
        <v>0</v>
      </c>
      <c r="H36" s="388">
        <f>+'[5]Calculo Coef Actualizado'!H36-'[5]pagado 1er Sem'!H36</f>
        <v>0</v>
      </c>
      <c r="I36" s="388">
        <f>+'[5]Calculo Coef Actualizado'!I36-'[5]pagado 1er Sem'!I36</f>
        <v>0</v>
      </c>
      <c r="J36" s="388">
        <f>+'[5]Calculo Coef Actualizado'!J36-'[5]pagado 1er Sem'!J36</f>
        <v>113115.72696529329</v>
      </c>
      <c r="K36" s="388">
        <f>+'[5]Calculo Coef Actualizado'!K36-'[5]pagado 1er Sem'!K36</f>
        <v>0</v>
      </c>
      <c r="L36" s="389">
        <f t="shared" si="1"/>
        <v>113115.72696529329</v>
      </c>
      <c r="N36" s="387" t="s">
        <v>31</v>
      </c>
      <c r="O36" s="388">
        <f t="shared" si="3"/>
        <v>0</v>
      </c>
      <c r="P36" s="388">
        <f t="shared" si="3"/>
        <v>0</v>
      </c>
      <c r="Q36" s="388">
        <f t="shared" si="3"/>
        <v>0</v>
      </c>
      <c r="R36" s="388">
        <f t="shared" si="3"/>
        <v>0</v>
      </c>
      <c r="S36" s="388">
        <f t="shared" si="3"/>
        <v>0</v>
      </c>
      <c r="T36" s="388">
        <f t="shared" si="3"/>
        <v>0</v>
      </c>
      <c r="U36" s="388">
        <f t="shared" si="3"/>
        <v>0</v>
      </c>
      <c r="V36" s="388">
        <f t="shared" si="3"/>
        <v>0</v>
      </c>
      <c r="W36" s="388">
        <f t="shared" si="3"/>
        <v>18852.621160882216</v>
      </c>
      <c r="X36" s="388">
        <f t="shared" si="3"/>
        <v>0</v>
      </c>
      <c r="Y36" s="389">
        <f t="shared" si="2"/>
        <v>18852.621160882216</v>
      </c>
    </row>
    <row r="37" spans="1:25">
      <c r="A37" s="387" t="s">
        <v>32</v>
      </c>
      <c r="B37" s="388">
        <f>+'[5]Calculo Coef Actualizado'!B37-'[5]pagado 1er Sem'!B37</f>
        <v>0</v>
      </c>
      <c r="C37" s="388">
        <f>+'[5]Calculo Coef Actualizado'!C37-'[5]pagado 1er Sem'!C37</f>
        <v>0</v>
      </c>
      <c r="D37" s="388">
        <f>+'[5]Calculo Coef Actualizado'!D37-'[5]pagado 1er Sem'!D37</f>
        <v>-594171.73573832796</v>
      </c>
      <c r="E37" s="388">
        <f>+'[5]Calculo Coef Actualizado'!E37-'[5]pagado 1er Sem'!E37</f>
        <v>0</v>
      </c>
      <c r="F37" s="388">
        <f>+'[5]Calculo Coef Actualizado'!F37-'[5]pagado 1er Sem'!F37</f>
        <v>0</v>
      </c>
      <c r="G37" s="388">
        <f>+'[5]Calculo Coef Actualizado'!G37-'[5]pagado 1er Sem'!G37</f>
        <v>0</v>
      </c>
      <c r="H37" s="388">
        <f>+'[5]Calculo Coef Actualizado'!H37-'[5]pagado 1er Sem'!H37</f>
        <v>0</v>
      </c>
      <c r="I37" s="388">
        <f>+'[5]Calculo Coef Actualizado'!I37-'[5]pagado 1er Sem'!I37</f>
        <v>0</v>
      </c>
      <c r="J37" s="388">
        <f>+'[5]Calculo Coef Actualizado'!J37-'[5]pagado 1er Sem'!J37</f>
        <v>-29597.936778108546</v>
      </c>
      <c r="K37" s="388">
        <f>+'[5]Calculo Coef Actualizado'!K37-'[5]pagado 1er Sem'!K37</f>
        <v>0</v>
      </c>
      <c r="L37" s="389">
        <f t="shared" si="1"/>
        <v>-623769.67251643655</v>
      </c>
      <c r="N37" s="387" t="s">
        <v>32</v>
      </c>
      <c r="O37" s="388">
        <f t="shared" si="3"/>
        <v>0</v>
      </c>
      <c r="P37" s="388">
        <f t="shared" si="3"/>
        <v>0</v>
      </c>
      <c r="Q37" s="388">
        <f t="shared" si="3"/>
        <v>-99028.62262305466</v>
      </c>
      <c r="R37" s="388">
        <f t="shared" si="3"/>
        <v>0</v>
      </c>
      <c r="S37" s="388">
        <f t="shared" si="3"/>
        <v>0</v>
      </c>
      <c r="T37" s="388">
        <f t="shared" si="3"/>
        <v>0</v>
      </c>
      <c r="U37" s="388">
        <f t="shared" si="3"/>
        <v>0</v>
      </c>
      <c r="V37" s="388">
        <f t="shared" si="3"/>
        <v>0</v>
      </c>
      <c r="W37" s="388">
        <f t="shared" si="3"/>
        <v>-4932.9894630180906</v>
      </c>
      <c r="X37" s="388">
        <f t="shared" si="3"/>
        <v>0</v>
      </c>
      <c r="Y37" s="389">
        <f t="shared" si="2"/>
        <v>-103961.61208607275</v>
      </c>
    </row>
    <row r="38" spans="1:25">
      <c r="A38" s="387" t="s">
        <v>33</v>
      </c>
      <c r="B38" s="388">
        <f>+'[5]Calculo Coef Actualizado'!B38-'[5]pagado 1er Sem'!B38</f>
        <v>0</v>
      </c>
      <c r="C38" s="388">
        <f>+'[5]Calculo Coef Actualizado'!C38-'[5]pagado 1er Sem'!C38</f>
        <v>0</v>
      </c>
      <c r="D38" s="388">
        <f>+'[5]Calculo Coef Actualizado'!D38-'[5]pagado 1er Sem'!D38</f>
        <v>-206766.53474938567</v>
      </c>
      <c r="E38" s="388">
        <f>+'[5]Calculo Coef Actualizado'!E38-'[5]pagado 1er Sem'!E38</f>
        <v>0</v>
      </c>
      <c r="F38" s="388">
        <f>+'[5]Calculo Coef Actualizado'!F38-'[5]pagado 1er Sem'!F38</f>
        <v>0</v>
      </c>
      <c r="G38" s="388">
        <f>+'[5]Calculo Coef Actualizado'!G38-'[5]pagado 1er Sem'!G38</f>
        <v>0</v>
      </c>
      <c r="H38" s="388">
        <f>+'[5]Calculo Coef Actualizado'!H38-'[5]pagado 1er Sem'!H38</f>
        <v>0</v>
      </c>
      <c r="I38" s="388">
        <f>+'[5]Calculo Coef Actualizado'!I38-'[5]pagado 1er Sem'!I38</f>
        <v>0</v>
      </c>
      <c r="J38" s="388">
        <f>+'[5]Calculo Coef Actualizado'!J38-'[5]pagado 1er Sem'!J38</f>
        <v>-11529.238162005553</v>
      </c>
      <c r="K38" s="388">
        <f>+'[5]Calculo Coef Actualizado'!K38-'[5]pagado 1er Sem'!K38</f>
        <v>0</v>
      </c>
      <c r="L38" s="389">
        <f t="shared" si="1"/>
        <v>-218295.77291139122</v>
      </c>
      <c r="N38" s="387" t="s">
        <v>33</v>
      </c>
      <c r="O38" s="388">
        <f t="shared" si="3"/>
        <v>0</v>
      </c>
      <c r="P38" s="388">
        <f t="shared" si="3"/>
        <v>0</v>
      </c>
      <c r="Q38" s="388">
        <f t="shared" si="3"/>
        <v>-34461.089124897611</v>
      </c>
      <c r="R38" s="388">
        <f t="shared" si="3"/>
        <v>0</v>
      </c>
      <c r="S38" s="388">
        <f t="shared" si="3"/>
        <v>0</v>
      </c>
      <c r="T38" s="388">
        <f t="shared" si="3"/>
        <v>0</v>
      </c>
      <c r="U38" s="388">
        <f t="shared" si="3"/>
        <v>0</v>
      </c>
      <c r="V38" s="388">
        <f t="shared" si="3"/>
        <v>0</v>
      </c>
      <c r="W38" s="388">
        <f t="shared" si="3"/>
        <v>-1921.5396936675922</v>
      </c>
      <c r="X38" s="388">
        <f t="shared" si="3"/>
        <v>0</v>
      </c>
      <c r="Y38" s="389">
        <f t="shared" si="2"/>
        <v>-36382.628818565201</v>
      </c>
    </row>
    <row r="39" spans="1:25">
      <c r="A39" s="387" t="s">
        <v>34</v>
      </c>
      <c r="B39" s="388">
        <f>+'[5]Calculo Coef Actualizado'!B39-'[5]pagado 1er Sem'!B39</f>
        <v>0</v>
      </c>
      <c r="C39" s="388">
        <f>+'[5]Calculo Coef Actualizado'!C39-'[5]pagado 1er Sem'!C39</f>
        <v>0</v>
      </c>
      <c r="D39" s="388">
        <f>+'[5]Calculo Coef Actualizado'!D39-'[5]pagado 1er Sem'!D39</f>
        <v>-3517398.0282832556</v>
      </c>
      <c r="E39" s="388">
        <f>+'[5]Calculo Coef Actualizado'!E39-'[5]pagado 1er Sem'!E39</f>
        <v>0</v>
      </c>
      <c r="F39" s="388">
        <f>+'[5]Calculo Coef Actualizado'!F39-'[5]pagado 1er Sem'!F39</f>
        <v>0</v>
      </c>
      <c r="G39" s="388">
        <f>+'[5]Calculo Coef Actualizado'!G39-'[5]pagado 1er Sem'!G39</f>
        <v>0</v>
      </c>
      <c r="H39" s="388">
        <f>+'[5]Calculo Coef Actualizado'!H39-'[5]pagado 1er Sem'!H39</f>
        <v>0</v>
      </c>
      <c r="I39" s="388">
        <f>+'[5]Calculo Coef Actualizado'!I39-'[5]pagado 1er Sem'!I39</f>
        <v>0</v>
      </c>
      <c r="J39" s="388">
        <f>+'[5]Calculo Coef Actualizado'!J39-'[5]pagado 1er Sem'!J39</f>
        <v>-38332.968518898168</v>
      </c>
      <c r="K39" s="388">
        <f>+'[5]Calculo Coef Actualizado'!K39-'[5]pagado 1er Sem'!K39</f>
        <v>0</v>
      </c>
      <c r="L39" s="389">
        <f t="shared" si="1"/>
        <v>-3555730.996802154</v>
      </c>
      <c r="N39" s="387" t="s">
        <v>34</v>
      </c>
      <c r="O39" s="388">
        <f t="shared" si="3"/>
        <v>0</v>
      </c>
      <c r="P39" s="388">
        <f t="shared" si="3"/>
        <v>0</v>
      </c>
      <c r="Q39" s="388">
        <f t="shared" si="3"/>
        <v>-586233.00471387594</v>
      </c>
      <c r="R39" s="388">
        <f t="shared" si="3"/>
        <v>0</v>
      </c>
      <c r="S39" s="388">
        <f t="shared" si="3"/>
        <v>0</v>
      </c>
      <c r="T39" s="388">
        <f t="shared" si="3"/>
        <v>0</v>
      </c>
      <c r="U39" s="388">
        <f t="shared" si="3"/>
        <v>0</v>
      </c>
      <c r="V39" s="388">
        <f t="shared" si="3"/>
        <v>0</v>
      </c>
      <c r="W39" s="388">
        <f t="shared" si="3"/>
        <v>-6388.8280864830276</v>
      </c>
      <c r="X39" s="388">
        <f t="shared" si="3"/>
        <v>0</v>
      </c>
      <c r="Y39" s="389">
        <f t="shared" si="2"/>
        <v>-592621.832800359</v>
      </c>
    </row>
    <row r="40" spans="1:25">
      <c r="A40" s="387" t="s">
        <v>35</v>
      </c>
      <c r="B40" s="388">
        <f>+'[5]Calculo Coef Actualizado'!B40-'[5]pagado 1er Sem'!B40</f>
        <v>0</v>
      </c>
      <c r="C40" s="388">
        <f>+'[5]Calculo Coef Actualizado'!C40-'[5]pagado 1er Sem'!C40</f>
        <v>0</v>
      </c>
      <c r="D40" s="388">
        <f>+'[5]Calculo Coef Actualizado'!D40-'[5]pagado 1er Sem'!D40</f>
        <v>-146236.28688375652</v>
      </c>
      <c r="E40" s="388">
        <f>+'[5]Calculo Coef Actualizado'!E40-'[5]pagado 1er Sem'!E40</f>
        <v>0</v>
      </c>
      <c r="F40" s="388">
        <f>+'[5]Calculo Coef Actualizado'!F40-'[5]pagado 1er Sem'!F40</f>
        <v>0</v>
      </c>
      <c r="G40" s="388">
        <f>+'[5]Calculo Coef Actualizado'!G40-'[5]pagado 1er Sem'!G40</f>
        <v>0</v>
      </c>
      <c r="H40" s="388">
        <f>+'[5]Calculo Coef Actualizado'!H40-'[5]pagado 1er Sem'!H40</f>
        <v>0</v>
      </c>
      <c r="I40" s="388">
        <f>+'[5]Calculo Coef Actualizado'!I40-'[5]pagado 1er Sem'!I40</f>
        <v>0</v>
      </c>
      <c r="J40" s="388">
        <f>+'[5]Calculo Coef Actualizado'!J40-'[5]pagado 1er Sem'!J40</f>
        <v>-77996.765976069059</v>
      </c>
      <c r="K40" s="388">
        <f>+'[5]Calculo Coef Actualizado'!K40-'[5]pagado 1er Sem'!K40</f>
        <v>0</v>
      </c>
      <c r="L40" s="389">
        <f t="shared" si="1"/>
        <v>-224233.05285982558</v>
      </c>
      <c r="N40" s="387" t="s">
        <v>35</v>
      </c>
      <c r="O40" s="388">
        <f t="shared" si="3"/>
        <v>0</v>
      </c>
      <c r="P40" s="388">
        <f t="shared" si="3"/>
        <v>0</v>
      </c>
      <c r="Q40" s="388">
        <f t="shared" si="3"/>
        <v>-24372.714480626088</v>
      </c>
      <c r="R40" s="388">
        <f t="shared" si="3"/>
        <v>0</v>
      </c>
      <c r="S40" s="388">
        <f t="shared" si="3"/>
        <v>0</v>
      </c>
      <c r="T40" s="388">
        <f t="shared" si="3"/>
        <v>0</v>
      </c>
      <c r="U40" s="388">
        <f t="shared" si="3"/>
        <v>0</v>
      </c>
      <c r="V40" s="388">
        <f t="shared" si="3"/>
        <v>0</v>
      </c>
      <c r="W40" s="388">
        <f t="shared" si="3"/>
        <v>-12999.46099601151</v>
      </c>
      <c r="X40" s="388">
        <f t="shared" si="3"/>
        <v>0</v>
      </c>
      <c r="Y40" s="389">
        <f t="shared" si="2"/>
        <v>-37372.175476637596</v>
      </c>
    </row>
    <row r="41" spans="1:25">
      <c r="A41" s="387" t="s">
        <v>36</v>
      </c>
      <c r="B41" s="388">
        <f>+'[5]Calculo Coef Actualizado'!B41-'[5]pagado 1er Sem'!B41</f>
        <v>-7.2643160820007324E-8</v>
      </c>
      <c r="C41" s="388">
        <f>+'[5]Calculo Coef Actualizado'!C41-'[5]pagado 1er Sem'!C41</f>
        <v>-9.5460563898086548E-9</v>
      </c>
      <c r="D41" s="388">
        <f>+'[5]Calculo Coef Actualizado'!D41-'[5]pagado 1er Sem'!D41</f>
        <v>-21836.133719290199</v>
      </c>
      <c r="E41" s="388">
        <f>+'[5]Calculo Coef Actualizado'!E41-'[5]pagado 1er Sem'!E41</f>
        <v>-2.0954757928848267E-9</v>
      </c>
      <c r="F41" s="388">
        <f>+'[5]Calculo Coef Actualizado'!F41-'[5]pagado 1er Sem'!F41</f>
        <v>-3.3760443329811096E-9</v>
      </c>
      <c r="G41" s="388">
        <f>+'[5]Calculo Coef Actualizado'!G41-'[5]pagado 1er Sem'!G41</f>
        <v>1.6370904631912708E-10</v>
      </c>
      <c r="H41" s="388">
        <f>+'[5]Calculo Coef Actualizado'!H41-'[5]pagado 1er Sem'!H41</f>
        <v>-1.8044374883174896E-9</v>
      </c>
      <c r="I41" s="388">
        <f>+'[5]Calculo Coef Actualizado'!I41-'[5]pagado 1er Sem'!I41</f>
        <v>-3.92901711165905E-10</v>
      </c>
      <c r="J41" s="388">
        <f>+'[5]Calculo Coef Actualizado'!J41-'[5]pagado 1er Sem'!J41</f>
        <v>75003.652298476256</v>
      </c>
      <c r="K41" s="388">
        <f>+'[5]Calculo Coef Actualizado'!K41-'[5]pagado 1er Sem'!K41</f>
        <v>-9.0221874415874481E-10</v>
      </c>
      <c r="L41" s="389">
        <f t="shared" si="1"/>
        <v>53167.518579095457</v>
      </c>
      <c r="N41" s="387" t="s">
        <v>36</v>
      </c>
      <c r="O41" s="388">
        <f t="shared" si="3"/>
        <v>-1.2107193470001221E-8</v>
      </c>
      <c r="P41" s="388">
        <f t="shared" si="3"/>
        <v>-1.5910093983014424E-9</v>
      </c>
      <c r="Q41" s="388">
        <f t="shared" si="3"/>
        <v>-3639.3556198817</v>
      </c>
      <c r="R41" s="388">
        <f t="shared" si="3"/>
        <v>-3.4924596548080444E-10</v>
      </c>
      <c r="S41" s="388">
        <f t="shared" si="3"/>
        <v>-5.6267405549685157E-10</v>
      </c>
      <c r="T41" s="388">
        <f t="shared" si="3"/>
        <v>2.7284841053187847E-11</v>
      </c>
      <c r="U41" s="388">
        <f t="shared" si="3"/>
        <v>-3.0073958138624829E-10</v>
      </c>
      <c r="V41" s="388">
        <f t="shared" si="3"/>
        <v>-6.5483618527650833E-11</v>
      </c>
      <c r="W41" s="388">
        <f t="shared" si="3"/>
        <v>12500.608716412709</v>
      </c>
      <c r="X41" s="388">
        <f t="shared" si="3"/>
        <v>-1.5036979069312414E-10</v>
      </c>
      <c r="Y41" s="389">
        <f t="shared" si="2"/>
        <v>8861.2530965159094</v>
      </c>
    </row>
    <row r="42" spans="1:25">
      <c r="A42" s="387" t="s">
        <v>37</v>
      </c>
      <c r="B42" s="388">
        <f>+'[5]Calculo Coef Actualizado'!B42-'[5]pagado 1er Sem'!B42</f>
        <v>0</v>
      </c>
      <c r="C42" s="388">
        <f>+'[5]Calculo Coef Actualizado'!C42-'[5]pagado 1er Sem'!C42</f>
        <v>0</v>
      </c>
      <c r="D42" s="388">
        <f>+'[5]Calculo Coef Actualizado'!D42-'[5]pagado 1er Sem'!D42</f>
        <v>813088.30440665316</v>
      </c>
      <c r="E42" s="388">
        <f>+'[5]Calculo Coef Actualizado'!E42-'[5]pagado 1er Sem'!E42</f>
        <v>0</v>
      </c>
      <c r="F42" s="388">
        <f>+'[5]Calculo Coef Actualizado'!F42-'[5]pagado 1er Sem'!F42</f>
        <v>0</v>
      </c>
      <c r="G42" s="388">
        <f>+'[5]Calculo Coef Actualizado'!G42-'[5]pagado 1er Sem'!G42</f>
        <v>0</v>
      </c>
      <c r="H42" s="388">
        <f>+'[5]Calculo Coef Actualizado'!H42-'[5]pagado 1er Sem'!H42</f>
        <v>0</v>
      </c>
      <c r="I42" s="388">
        <f>+'[5]Calculo Coef Actualizado'!I42-'[5]pagado 1er Sem'!I42</f>
        <v>0</v>
      </c>
      <c r="J42" s="388">
        <f>+'[5]Calculo Coef Actualizado'!J42-'[5]pagado 1er Sem'!J42</f>
        <v>-8814.5636296678858</v>
      </c>
      <c r="K42" s="388">
        <f>+'[5]Calculo Coef Actualizado'!K42-'[5]pagado 1er Sem'!K42</f>
        <v>0</v>
      </c>
      <c r="L42" s="389">
        <f t="shared" si="1"/>
        <v>804273.7407769853</v>
      </c>
      <c r="N42" s="387" t="s">
        <v>37</v>
      </c>
      <c r="O42" s="388">
        <f t="shared" si="3"/>
        <v>0</v>
      </c>
      <c r="P42" s="388">
        <f t="shared" si="3"/>
        <v>0</v>
      </c>
      <c r="Q42" s="388">
        <f t="shared" si="3"/>
        <v>135514.71740110885</v>
      </c>
      <c r="R42" s="388">
        <f t="shared" si="3"/>
        <v>0</v>
      </c>
      <c r="S42" s="388">
        <f t="shared" si="3"/>
        <v>0</v>
      </c>
      <c r="T42" s="388">
        <f t="shared" si="3"/>
        <v>0</v>
      </c>
      <c r="U42" s="388">
        <f t="shared" si="3"/>
        <v>0</v>
      </c>
      <c r="V42" s="388">
        <f t="shared" si="3"/>
        <v>0</v>
      </c>
      <c r="W42" s="388">
        <f t="shared" si="3"/>
        <v>-1469.0939382779809</v>
      </c>
      <c r="X42" s="388">
        <f t="shared" si="3"/>
        <v>0</v>
      </c>
      <c r="Y42" s="389">
        <f t="shared" si="2"/>
        <v>134045.62346283087</v>
      </c>
    </row>
    <row r="43" spans="1:25">
      <c r="A43" s="387" t="s">
        <v>38</v>
      </c>
      <c r="B43" s="388">
        <f>+'[5]Calculo Coef Actualizado'!B43-'[5]pagado 1er Sem'!B43</f>
        <v>0</v>
      </c>
      <c r="C43" s="388">
        <f>+'[5]Calculo Coef Actualizado'!C43-'[5]pagado 1er Sem'!C43</f>
        <v>0</v>
      </c>
      <c r="D43" s="388">
        <f>+'[5]Calculo Coef Actualizado'!D43-'[5]pagado 1er Sem'!D43</f>
        <v>943418.069986491</v>
      </c>
      <c r="E43" s="388">
        <f>+'[5]Calculo Coef Actualizado'!E43-'[5]pagado 1er Sem'!E43</f>
        <v>0</v>
      </c>
      <c r="F43" s="388">
        <f>+'[5]Calculo Coef Actualizado'!F43-'[5]pagado 1er Sem'!F43</f>
        <v>0</v>
      </c>
      <c r="G43" s="388">
        <f>+'[5]Calculo Coef Actualizado'!G43-'[5]pagado 1er Sem'!G43</f>
        <v>0</v>
      </c>
      <c r="H43" s="388">
        <f>+'[5]Calculo Coef Actualizado'!H43-'[5]pagado 1er Sem'!H43</f>
        <v>0</v>
      </c>
      <c r="I43" s="388">
        <f>+'[5]Calculo Coef Actualizado'!I43-'[5]pagado 1er Sem'!I43</f>
        <v>0</v>
      </c>
      <c r="J43" s="388">
        <f>+'[5]Calculo Coef Actualizado'!J43-'[5]pagado 1er Sem'!J43</f>
        <v>-1035.3987255548127</v>
      </c>
      <c r="K43" s="388">
        <f>+'[5]Calculo Coef Actualizado'!K43-'[5]pagado 1er Sem'!K43</f>
        <v>0</v>
      </c>
      <c r="L43" s="389">
        <f t="shared" si="1"/>
        <v>942382.67126093619</v>
      </c>
      <c r="N43" s="387" t="s">
        <v>38</v>
      </c>
      <c r="O43" s="388">
        <f t="shared" si="3"/>
        <v>0</v>
      </c>
      <c r="P43" s="388">
        <f t="shared" si="3"/>
        <v>0</v>
      </c>
      <c r="Q43" s="388">
        <f t="shared" si="3"/>
        <v>157236.3449977485</v>
      </c>
      <c r="R43" s="388">
        <f t="shared" si="3"/>
        <v>0</v>
      </c>
      <c r="S43" s="388">
        <f t="shared" si="3"/>
        <v>0</v>
      </c>
      <c r="T43" s="388">
        <f t="shared" si="3"/>
        <v>0</v>
      </c>
      <c r="U43" s="388">
        <f t="shared" si="3"/>
        <v>0</v>
      </c>
      <c r="V43" s="388">
        <f t="shared" si="3"/>
        <v>0</v>
      </c>
      <c r="W43" s="388">
        <f t="shared" si="3"/>
        <v>-172.56645425913544</v>
      </c>
      <c r="X43" s="388">
        <f t="shared" si="3"/>
        <v>0</v>
      </c>
      <c r="Y43" s="389">
        <f t="shared" si="2"/>
        <v>157063.77854348937</v>
      </c>
    </row>
    <row r="44" spans="1:25">
      <c r="A44" s="387" t="s">
        <v>39</v>
      </c>
      <c r="B44" s="388">
        <f>+'[5]Calculo Coef Actualizado'!B44-'[5]pagado 1er Sem'!B44</f>
        <v>0</v>
      </c>
      <c r="C44" s="388">
        <f>+'[5]Calculo Coef Actualizado'!C44-'[5]pagado 1er Sem'!C44</f>
        <v>0</v>
      </c>
      <c r="D44" s="388">
        <f>+'[5]Calculo Coef Actualizado'!D44-'[5]pagado 1er Sem'!D44</f>
        <v>0</v>
      </c>
      <c r="E44" s="388">
        <f>+'[5]Calculo Coef Actualizado'!E44-'[5]pagado 1er Sem'!E44</f>
        <v>0</v>
      </c>
      <c r="F44" s="388">
        <f>+'[5]Calculo Coef Actualizado'!F44-'[5]pagado 1er Sem'!F44</f>
        <v>0</v>
      </c>
      <c r="G44" s="388">
        <f>+'[5]Calculo Coef Actualizado'!G44-'[5]pagado 1er Sem'!G44</f>
        <v>0</v>
      </c>
      <c r="H44" s="388">
        <f>+'[5]Calculo Coef Actualizado'!H44-'[5]pagado 1er Sem'!H44</f>
        <v>0</v>
      </c>
      <c r="I44" s="388">
        <f>+'[5]Calculo Coef Actualizado'!I44-'[5]pagado 1er Sem'!I44</f>
        <v>0</v>
      </c>
      <c r="J44" s="388">
        <f>+'[5]Calculo Coef Actualizado'!J44-'[5]pagado 1er Sem'!J44</f>
        <v>-62751.207127146423</v>
      </c>
      <c r="K44" s="388">
        <f>+'[5]Calculo Coef Actualizado'!K44-'[5]pagado 1er Sem'!K44</f>
        <v>0</v>
      </c>
      <c r="L44" s="389">
        <f t="shared" si="1"/>
        <v>-62751.207127146423</v>
      </c>
      <c r="N44" s="387" t="s">
        <v>39</v>
      </c>
      <c r="O44" s="388">
        <f t="shared" si="3"/>
        <v>0</v>
      </c>
      <c r="P44" s="388">
        <f t="shared" si="3"/>
        <v>0</v>
      </c>
      <c r="Q44" s="388">
        <f t="shared" si="3"/>
        <v>0</v>
      </c>
      <c r="R44" s="388">
        <f t="shared" si="3"/>
        <v>0</v>
      </c>
      <c r="S44" s="388">
        <f t="shared" si="3"/>
        <v>0</v>
      </c>
      <c r="T44" s="388">
        <f t="shared" si="3"/>
        <v>0</v>
      </c>
      <c r="U44" s="388">
        <f t="shared" si="3"/>
        <v>0</v>
      </c>
      <c r="V44" s="388">
        <f t="shared" si="3"/>
        <v>0</v>
      </c>
      <c r="W44" s="388">
        <f t="shared" si="3"/>
        <v>-10458.53452119107</v>
      </c>
      <c r="X44" s="388">
        <f t="shared" si="3"/>
        <v>0</v>
      </c>
      <c r="Y44" s="389">
        <f t="shared" si="2"/>
        <v>-10458.53452119107</v>
      </c>
    </row>
    <row r="45" spans="1:25">
      <c r="A45" s="387" t="s">
        <v>40</v>
      </c>
      <c r="B45" s="388">
        <f>+'[5]Calculo Coef Actualizado'!B45-'[5]pagado 1er Sem'!B45</f>
        <v>-2.7939677238464355E-8</v>
      </c>
      <c r="C45" s="388">
        <f>+'[5]Calculo Coef Actualizado'!C45-'[5]pagado 1er Sem'!C45</f>
        <v>-3.9581209421157837E-9</v>
      </c>
      <c r="D45" s="388">
        <f>+'[5]Calculo Coef Actualizado'!D45-'[5]pagado 1er Sem'!D45</f>
        <v>45180.081345803803</v>
      </c>
      <c r="E45" s="388">
        <f>+'[5]Calculo Coef Actualizado'!E45-'[5]pagado 1er Sem'!E45</f>
        <v>-8.149072527885437E-10</v>
      </c>
      <c r="F45" s="388">
        <f>+'[5]Calculo Coef Actualizado'!F45-'[5]pagado 1er Sem'!F45</f>
        <v>-1.3678800314664841E-9</v>
      </c>
      <c r="G45" s="388">
        <f>+'[5]Calculo Coef Actualizado'!G45-'[5]pagado 1er Sem'!G45</f>
        <v>6.730260793119669E-11</v>
      </c>
      <c r="H45" s="388">
        <f>+'[5]Calculo Coef Actualizado'!H45-'[5]pagado 1er Sem'!H45</f>
        <v>-7.4214767664670944E-10</v>
      </c>
      <c r="I45" s="388">
        <f>+'[5]Calculo Coef Actualizado'!I45-'[5]pagado 1er Sem'!I45</f>
        <v>-1.5643308870494366E-10</v>
      </c>
      <c r="J45" s="388">
        <f>+'[5]Calculo Coef Actualizado'!J45-'[5]pagado 1er Sem'!J45</f>
        <v>37433.950645635909</v>
      </c>
      <c r="K45" s="388">
        <f>+'[5]Calculo Coef Actualizado'!K45-'[5]pagado 1er Sem'!K45</f>
        <v>-3.7107383832335472E-10</v>
      </c>
      <c r="L45" s="389">
        <f t="shared" si="1"/>
        <v>82614.031991404423</v>
      </c>
      <c r="N45" s="387" t="s">
        <v>40</v>
      </c>
      <c r="O45" s="388">
        <f t="shared" si="3"/>
        <v>-4.6566128730773926E-9</v>
      </c>
      <c r="P45" s="388">
        <f t="shared" si="3"/>
        <v>-6.5968682368596398E-10</v>
      </c>
      <c r="Q45" s="388">
        <f t="shared" si="3"/>
        <v>7530.0135576339671</v>
      </c>
      <c r="R45" s="388">
        <f t="shared" si="3"/>
        <v>-1.3581787546475729E-10</v>
      </c>
      <c r="S45" s="388">
        <f t="shared" si="3"/>
        <v>-2.27980005244414E-10</v>
      </c>
      <c r="T45" s="388">
        <f t="shared" si="3"/>
        <v>1.1217101321866115E-11</v>
      </c>
      <c r="U45" s="388">
        <f t="shared" si="3"/>
        <v>-1.2369127944111824E-10</v>
      </c>
      <c r="V45" s="388">
        <f t="shared" si="3"/>
        <v>-2.6072181450823944E-11</v>
      </c>
      <c r="W45" s="388">
        <f t="shared" si="3"/>
        <v>6238.9917742726511</v>
      </c>
      <c r="X45" s="388">
        <f t="shared" si="3"/>
        <v>-6.184563972055912E-11</v>
      </c>
      <c r="Y45" s="389">
        <f t="shared" si="2"/>
        <v>13769.005331900738</v>
      </c>
    </row>
    <row r="46" spans="1:25">
      <c r="A46" s="387" t="s">
        <v>41</v>
      </c>
      <c r="B46" s="388">
        <f>+'[5]Calculo Coef Actualizado'!B46-'[5]pagado 1er Sem'!B46</f>
        <v>-2.9802322387695313E-8</v>
      </c>
      <c r="C46" s="388">
        <f>+'[5]Calculo Coef Actualizado'!C46-'[5]pagado 1er Sem'!C46</f>
        <v>-3.7252902984619141E-9</v>
      </c>
      <c r="D46" s="388">
        <f>+'[5]Calculo Coef Actualizado'!D46-'[5]pagado 1er Sem'!D46</f>
        <v>605399.88290828932</v>
      </c>
      <c r="E46" s="388">
        <f>+'[5]Calculo Coef Actualizado'!E46-'[5]pagado 1er Sem'!E46</f>
        <v>0</v>
      </c>
      <c r="F46" s="388">
        <f>+'[5]Calculo Coef Actualizado'!F46-'[5]pagado 1er Sem'!F46</f>
        <v>-1.280568540096283E-9</v>
      </c>
      <c r="G46" s="388">
        <f>+'[5]Calculo Coef Actualizado'!G46-'[5]pagado 1er Sem'!G46</f>
        <v>6.5483618527650833E-11</v>
      </c>
      <c r="H46" s="388">
        <f>+'[5]Calculo Coef Actualizado'!H46-'[5]pagado 1er Sem'!H46</f>
        <v>0</v>
      </c>
      <c r="I46" s="388">
        <f>+'[5]Calculo Coef Actualizado'!I46-'[5]pagado 1er Sem'!I46</f>
        <v>-1.6007106751203537E-10</v>
      </c>
      <c r="J46" s="388">
        <f>+'[5]Calculo Coef Actualizado'!J46-'[5]pagado 1er Sem'!J46</f>
        <v>66777.75852397806</v>
      </c>
      <c r="K46" s="388">
        <f>+'[5]Calculo Coef Actualizado'!K46-'[5]pagado 1er Sem'!K46</f>
        <v>0</v>
      </c>
      <c r="L46" s="389">
        <f t="shared" si="1"/>
        <v>672177.64143223257</v>
      </c>
      <c r="N46" s="387" t="s">
        <v>41</v>
      </c>
      <c r="O46" s="388">
        <f t="shared" si="3"/>
        <v>-4.9670537312825518E-9</v>
      </c>
      <c r="P46" s="388">
        <f t="shared" si="3"/>
        <v>-6.2088171641031898E-10</v>
      </c>
      <c r="Q46" s="388">
        <f t="shared" si="3"/>
        <v>100899.98048471489</v>
      </c>
      <c r="R46" s="388">
        <f t="shared" si="3"/>
        <v>0</v>
      </c>
      <c r="S46" s="388">
        <f t="shared" si="3"/>
        <v>-2.1342809001604715E-10</v>
      </c>
      <c r="T46" s="388">
        <f t="shared" si="3"/>
        <v>1.0913936421275139E-11</v>
      </c>
      <c r="U46" s="388">
        <f t="shared" si="3"/>
        <v>0</v>
      </c>
      <c r="V46" s="388">
        <f t="shared" si="3"/>
        <v>-2.6678511252005894E-11</v>
      </c>
      <c r="W46" s="388">
        <f t="shared" si="3"/>
        <v>11129.626420663009</v>
      </c>
      <c r="X46" s="388">
        <f t="shared" si="3"/>
        <v>0</v>
      </c>
      <c r="Y46" s="389">
        <f t="shared" si="2"/>
        <v>112029.60690537209</v>
      </c>
    </row>
    <row r="47" spans="1:25">
      <c r="A47" s="387" t="s">
        <v>42</v>
      </c>
      <c r="B47" s="388">
        <f>+'[5]Calculo Coef Actualizado'!B47-'[5]pagado 1er Sem'!B47</f>
        <v>0</v>
      </c>
      <c r="C47" s="388">
        <f>+'[5]Calculo Coef Actualizado'!C47-'[5]pagado 1er Sem'!C47</f>
        <v>0</v>
      </c>
      <c r="D47" s="388">
        <f>+'[5]Calculo Coef Actualizado'!D47-'[5]pagado 1er Sem'!D47</f>
        <v>-1644609.0589142493</v>
      </c>
      <c r="E47" s="388">
        <f>+'[5]Calculo Coef Actualizado'!E47-'[5]pagado 1er Sem'!E47</f>
        <v>0</v>
      </c>
      <c r="F47" s="388">
        <f>+'[5]Calculo Coef Actualizado'!F47-'[5]pagado 1er Sem'!F47</f>
        <v>0</v>
      </c>
      <c r="G47" s="388">
        <f>+'[5]Calculo Coef Actualizado'!G47-'[5]pagado 1er Sem'!G47</f>
        <v>0</v>
      </c>
      <c r="H47" s="388">
        <f>+'[5]Calculo Coef Actualizado'!H47-'[5]pagado 1er Sem'!H47</f>
        <v>0</v>
      </c>
      <c r="I47" s="388">
        <f>+'[5]Calculo Coef Actualizado'!I47-'[5]pagado 1er Sem'!I47</f>
        <v>0</v>
      </c>
      <c r="J47" s="388">
        <f>+'[5]Calculo Coef Actualizado'!J47-'[5]pagado 1er Sem'!J47</f>
        <v>16160.249121626926</v>
      </c>
      <c r="K47" s="388">
        <f>+'[5]Calculo Coef Actualizado'!K47-'[5]pagado 1er Sem'!K47</f>
        <v>0</v>
      </c>
      <c r="L47" s="389">
        <f t="shared" si="1"/>
        <v>-1628448.8097926225</v>
      </c>
      <c r="N47" s="387" t="s">
        <v>42</v>
      </c>
      <c r="O47" s="388">
        <f t="shared" si="3"/>
        <v>0</v>
      </c>
      <c r="P47" s="388">
        <f t="shared" si="3"/>
        <v>0</v>
      </c>
      <c r="Q47" s="388">
        <f t="shared" si="3"/>
        <v>-274101.50981904153</v>
      </c>
      <c r="R47" s="388">
        <f t="shared" si="3"/>
        <v>0</v>
      </c>
      <c r="S47" s="388">
        <f t="shared" si="3"/>
        <v>0</v>
      </c>
      <c r="T47" s="388">
        <f t="shared" ref="T47:X56" si="4">+G47/6</f>
        <v>0</v>
      </c>
      <c r="U47" s="388">
        <f t="shared" si="4"/>
        <v>0</v>
      </c>
      <c r="V47" s="388">
        <f t="shared" si="4"/>
        <v>0</v>
      </c>
      <c r="W47" s="388">
        <f t="shared" si="4"/>
        <v>2693.3748536044877</v>
      </c>
      <c r="X47" s="388">
        <f t="shared" si="4"/>
        <v>0</v>
      </c>
      <c r="Y47" s="389">
        <f t="shared" si="2"/>
        <v>-271408.13496543706</v>
      </c>
    </row>
    <row r="48" spans="1:25">
      <c r="A48" s="387" t="s">
        <v>43</v>
      </c>
      <c r="B48" s="388">
        <f>+'[5]Calculo Coef Actualizado'!B48-'[5]pagado 1er Sem'!B48</f>
        <v>0</v>
      </c>
      <c r="C48" s="388">
        <f>+'[5]Calculo Coef Actualizado'!C48-'[5]pagado 1er Sem'!C48</f>
        <v>0</v>
      </c>
      <c r="D48" s="388">
        <f>+'[5]Calculo Coef Actualizado'!D48-'[5]pagado 1er Sem'!D48</f>
        <v>-924928.64037517225</v>
      </c>
      <c r="E48" s="388">
        <f>+'[5]Calculo Coef Actualizado'!E48-'[5]pagado 1er Sem'!E48</f>
        <v>0</v>
      </c>
      <c r="F48" s="388">
        <f>+'[5]Calculo Coef Actualizado'!F48-'[5]pagado 1er Sem'!F48</f>
        <v>0</v>
      </c>
      <c r="G48" s="388">
        <f>+'[5]Calculo Coef Actualizado'!G48-'[5]pagado 1er Sem'!G48</f>
        <v>0</v>
      </c>
      <c r="H48" s="388">
        <f>+'[5]Calculo Coef Actualizado'!H48-'[5]pagado 1er Sem'!H48</f>
        <v>0</v>
      </c>
      <c r="I48" s="388">
        <f>+'[5]Calculo Coef Actualizado'!I48-'[5]pagado 1er Sem'!I48</f>
        <v>0</v>
      </c>
      <c r="J48" s="388">
        <f>+'[5]Calculo Coef Actualizado'!J48-'[5]pagado 1er Sem'!J48</f>
        <v>-35322.548723956905</v>
      </c>
      <c r="K48" s="388">
        <f>+'[5]Calculo Coef Actualizado'!K48-'[5]pagado 1er Sem'!K48</f>
        <v>0</v>
      </c>
      <c r="L48" s="389">
        <f t="shared" si="1"/>
        <v>-960251.18909912917</v>
      </c>
      <c r="N48" s="387" t="s">
        <v>43</v>
      </c>
      <c r="O48" s="388">
        <f t="shared" ref="O48:S56" si="5">+B48/6</f>
        <v>0</v>
      </c>
      <c r="P48" s="388">
        <f t="shared" si="5"/>
        <v>0</v>
      </c>
      <c r="Q48" s="388">
        <f t="shared" si="5"/>
        <v>-154154.77339586205</v>
      </c>
      <c r="R48" s="388">
        <f t="shared" si="5"/>
        <v>0</v>
      </c>
      <c r="S48" s="388">
        <f t="shared" si="5"/>
        <v>0</v>
      </c>
      <c r="T48" s="388">
        <f t="shared" si="4"/>
        <v>0</v>
      </c>
      <c r="U48" s="388">
        <f t="shared" si="4"/>
        <v>0</v>
      </c>
      <c r="V48" s="388">
        <f t="shared" si="4"/>
        <v>0</v>
      </c>
      <c r="W48" s="388">
        <f t="shared" si="4"/>
        <v>-5887.0914539928172</v>
      </c>
      <c r="X48" s="388">
        <f t="shared" si="4"/>
        <v>0</v>
      </c>
      <c r="Y48" s="389">
        <f t="shared" si="2"/>
        <v>-160041.86484985487</v>
      </c>
    </row>
    <row r="49" spans="1:25">
      <c r="A49" s="387" t="s">
        <v>44</v>
      </c>
      <c r="B49" s="388">
        <f>+'[5]Calculo Coef Actualizado'!B49-'[5]pagado 1er Sem'!B49</f>
        <v>0</v>
      </c>
      <c r="C49" s="388">
        <f>+'[5]Calculo Coef Actualizado'!C49-'[5]pagado 1er Sem'!C49</f>
        <v>0</v>
      </c>
      <c r="D49" s="388">
        <f>+'[5]Calculo Coef Actualizado'!D49-'[5]pagado 1er Sem'!D49</f>
        <v>-1392294.7967292597</v>
      </c>
      <c r="E49" s="388">
        <f>+'[5]Calculo Coef Actualizado'!E49-'[5]pagado 1er Sem'!E49</f>
        <v>0</v>
      </c>
      <c r="F49" s="388">
        <f>+'[5]Calculo Coef Actualizado'!F49-'[5]pagado 1er Sem'!F49</f>
        <v>0</v>
      </c>
      <c r="G49" s="388">
        <f>+'[5]Calculo Coef Actualizado'!G49-'[5]pagado 1er Sem'!G49</f>
        <v>0</v>
      </c>
      <c r="H49" s="388">
        <f>+'[5]Calculo Coef Actualizado'!H49-'[5]pagado 1er Sem'!H49</f>
        <v>0</v>
      </c>
      <c r="I49" s="388">
        <f>+'[5]Calculo Coef Actualizado'!I49-'[5]pagado 1er Sem'!I49</f>
        <v>0</v>
      </c>
      <c r="J49" s="388">
        <f>+'[5]Calculo Coef Actualizado'!J49-'[5]pagado 1er Sem'!J49</f>
        <v>853.71280723402742</v>
      </c>
      <c r="K49" s="388">
        <f>+'[5]Calculo Coef Actualizado'!K49-'[5]pagado 1er Sem'!K49</f>
        <v>0</v>
      </c>
      <c r="L49" s="389">
        <f t="shared" si="1"/>
        <v>-1391441.0839220257</v>
      </c>
      <c r="N49" s="387" t="s">
        <v>44</v>
      </c>
      <c r="O49" s="388">
        <f t="shared" si="5"/>
        <v>0</v>
      </c>
      <c r="P49" s="388">
        <f t="shared" si="5"/>
        <v>0</v>
      </c>
      <c r="Q49" s="388">
        <f t="shared" si="5"/>
        <v>-232049.13278820994</v>
      </c>
      <c r="R49" s="388">
        <f t="shared" si="5"/>
        <v>0</v>
      </c>
      <c r="S49" s="388">
        <f t="shared" si="5"/>
        <v>0</v>
      </c>
      <c r="T49" s="388">
        <f t="shared" si="4"/>
        <v>0</v>
      </c>
      <c r="U49" s="388">
        <f t="shared" si="4"/>
        <v>0</v>
      </c>
      <c r="V49" s="388">
        <f t="shared" si="4"/>
        <v>0</v>
      </c>
      <c r="W49" s="388">
        <f t="shared" si="4"/>
        <v>142.2854678723379</v>
      </c>
      <c r="X49" s="388">
        <f t="shared" si="4"/>
        <v>0</v>
      </c>
      <c r="Y49" s="389">
        <f t="shared" si="2"/>
        <v>-231906.84732033761</v>
      </c>
    </row>
    <row r="50" spans="1:25">
      <c r="A50" s="387" t="s">
        <v>45</v>
      </c>
      <c r="B50" s="388">
        <f>+'[5]Calculo Coef Actualizado'!B50-'[5]pagado 1er Sem'!B50</f>
        <v>0</v>
      </c>
      <c r="C50" s="388">
        <f>+'[5]Calculo Coef Actualizado'!C50-'[5]pagado 1er Sem'!C50</f>
        <v>0</v>
      </c>
      <c r="D50" s="388">
        <f>+'[5]Calculo Coef Actualizado'!D50-'[5]pagado 1er Sem'!D50</f>
        <v>-104611.1887723566</v>
      </c>
      <c r="E50" s="388">
        <f>+'[5]Calculo Coef Actualizado'!E50-'[5]pagado 1er Sem'!E50</f>
        <v>0</v>
      </c>
      <c r="F50" s="388">
        <f>+'[5]Calculo Coef Actualizado'!F50-'[5]pagado 1er Sem'!F50</f>
        <v>0</v>
      </c>
      <c r="G50" s="388">
        <f>+'[5]Calculo Coef Actualizado'!G50-'[5]pagado 1er Sem'!G50</f>
        <v>0</v>
      </c>
      <c r="H50" s="388">
        <f>+'[5]Calculo Coef Actualizado'!H50-'[5]pagado 1er Sem'!H50</f>
        <v>0</v>
      </c>
      <c r="I50" s="388">
        <f>+'[5]Calculo Coef Actualizado'!I50-'[5]pagado 1er Sem'!I50</f>
        <v>0</v>
      </c>
      <c r="J50" s="388">
        <f>+'[5]Calculo Coef Actualizado'!J50-'[5]pagado 1er Sem'!J50</f>
        <v>33435.520858106669</v>
      </c>
      <c r="K50" s="388">
        <f>+'[5]Calculo Coef Actualizado'!K50-'[5]pagado 1er Sem'!K50</f>
        <v>0</v>
      </c>
      <c r="L50" s="389">
        <f t="shared" si="1"/>
        <v>-71175.667914249934</v>
      </c>
      <c r="N50" s="387" t="s">
        <v>45</v>
      </c>
      <c r="O50" s="388">
        <f t="shared" si="5"/>
        <v>0</v>
      </c>
      <c r="P50" s="388">
        <f t="shared" si="5"/>
        <v>0</v>
      </c>
      <c r="Q50" s="388">
        <f t="shared" si="5"/>
        <v>-17435.198128726101</v>
      </c>
      <c r="R50" s="388">
        <f t="shared" si="5"/>
        <v>0</v>
      </c>
      <c r="S50" s="388">
        <f t="shared" si="5"/>
        <v>0</v>
      </c>
      <c r="T50" s="388">
        <f t="shared" si="4"/>
        <v>0</v>
      </c>
      <c r="U50" s="388">
        <f t="shared" si="4"/>
        <v>0</v>
      </c>
      <c r="V50" s="388">
        <f t="shared" si="4"/>
        <v>0</v>
      </c>
      <c r="W50" s="388">
        <f t="shared" si="4"/>
        <v>5572.5868096844451</v>
      </c>
      <c r="X50" s="388">
        <f t="shared" si="4"/>
        <v>0</v>
      </c>
      <c r="Y50" s="389">
        <f t="shared" si="2"/>
        <v>-11862.611319041654</v>
      </c>
    </row>
    <row r="51" spans="1:25">
      <c r="A51" s="387" t="s">
        <v>46</v>
      </c>
      <c r="B51" s="388">
        <f>+'[5]Calculo Coef Actualizado'!B51-'[5]pagado 1er Sem'!B51</f>
        <v>0</v>
      </c>
      <c r="C51" s="388">
        <f>+'[5]Calculo Coef Actualizado'!C51-'[5]pagado 1er Sem'!C51</f>
        <v>0</v>
      </c>
      <c r="D51" s="388">
        <f>+'[5]Calculo Coef Actualizado'!D51-'[5]pagado 1er Sem'!D51</f>
        <v>627173.85204850603</v>
      </c>
      <c r="E51" s="388">
        <f>+'[5]Calculo Coef Actualizado'!E51-'[5]pagado 1er Sem'!E51</f>
        <v>0</v>
      </c>
      <c r="F51" s="388">
        <f>+'[5]Calculo Coef Actualizado'!F51-'[5]pagado 1er Sem'!F51</f>
        <v>0</v>
      </c>
      <c r="G51" s="388">
        <f>+'[5]Calculo Coef Actualizado'!G51-'[5]pagado 1er Sem'!G51</f>
        <v>0</v>
      </c>
      <c r="H51" s="388">
        <f>+'[5]Calculo Coef Actualizado'!H51-'[5]pagado 1er Sem'!H51</f>
        <v>0</v>
      </c>
      <c r="I51" s="388">
        <f>+'[5]Calculo Coef Actualizado'!I51-'[5]pagado 1er Sem'!I51</f>
        <v>0</v>
      </c>
      <c r="J51" s="388">
        <f>+'[5]Calculo Coef Actualizado'!J51-'[5]pagado 1er Sem'!J51</f>
        <v>11267.260215716437</v>
      </c>
      <c r="K51" s="388">
        <f>+'[5]Calculo Coef Actualizado'!K51-'[5]pagado 1er Sem'!K51</f>
        <v>0</v>
      </c>
      <c r="L51" s="389">
        <f t="shared" si="1"/>
        <v>638441.11226422247</v>
      </c>
      <c r="N51" s="387" t="s">
        <v>46</v>
      </c>
      <c r="O51" s="388">
        <f t="shared" si="5"/>
        <v>0</v>
      </c>
      <c r="P51" s="388">
        <f t="shared" si="5"/>
        <v>0</v>
      </c>
      <c r="Q51" s="388">
        <f t="shared" si="5"/>
        <v>104528.97534141767</v>
      </c>
      <c r="R51" s="388">
        <f t="shared" si="5"/>
        <v>0</v>
      </c>
      <c r="S51" s="388">
        <f t="shared" si="5"/>
        <v>0</v>
      </c>
      <c r="T51" s="388">
        <f t="shared" si="4"/>
        <v>0</v>
      </c>
      <c r="U51" s="388">
        <f t="shared" si="4"/>
        <v>0</v>
      </c>
      <c r="V51" s="388">
        <f t="shared" si="4"/>
        <v>0</v>
      </c>
      <c r="W51" s="388">
        <f t="shared" si="4"/>
        <v>1877.8767026194062</v>
      </c>
      <c r="X51" s="388">
        <f t="shared" si="4"/>
        <v>0</v>
      </c>
      <c r="Y51" s="389">
        <f t="shared" si="2"/>
        <v>106406.85204403708</v>
      </c>
    </row>
    <row r="52" spans="1:25">
      <c r="A52" s="387" t="s">
        <v>47</v>
      </c>
      <c r="B52" s="388">
        <f>+'[5]Calculo Coef Actualizado'!B52-'[5]pagado 1er Sem'!B52</f>
        <v>0</v>
      </c>
      <c r="C52" s="388">
        <f>+'[5]Calculo Coef Actualizado'!C52-'[5]pagado 1er Sem'!C52</f>
        <v>0</v>
      </c>
      <c r="D52" s="388">
        <f>+'[5]Calculo Coef Actualizado'!D52-'[5]pagado 1er Sem'!D52</f>
        <v>-120510.50404844806</v>
      </c>
      <c r="E52" s="388">
        <f>+'[5]Calculo Coef Actualizado'!E52-'[5]pagado 1er Sem'!E52</f>
        <v>0</v>
      </c>
      <c r="F52" s="388">
        <f>+'[5]Calculo Coef Actualizado'!F52-'[5]pagado 1er Sem'!F52</f>
        <v>0</v>
      </c>
      <c r="G52" s="388">
        <f>+'[5]Calculo Coef Actualizado'!G52-'[5]pagado 1er Sem'!G52</f>
        <v>0</v>
      </c>
      <c r="H52" s="388">
        <f>+'[5]Calculo Coef Actualizado'!H52-'[5]pagado 1er Sem'!H52</f>
        <v>0</v>
      </c>
      <c r="I52" s="388">
        <f>+'[5]Calculo Coef Actualizado'!I52-'[5]pagado 1er Sem'!I52</f>
        <v>0</v>
      </c>
      <c r="J52" s="388">
        <f>+'[5]Calculo Coef Actualizado'!J52-'[5]pagado 1er Sem'!J52</f>
        <v>-150261.55378709408</v>
      </c>
      <c r="K52" s="388">
        <f>+'[5]Calculo Coef Actualizado'!K52-'[5]pagado 1er Sem'!K52</f>
        <v>0</v>
      </c>
      <c r="L52" s="389">
        <f t="shared" si="1"/>
        <v>-270772.05783554213</v>
      </c>
      <c r="N52" s="387" t="s">
        <v>47</v>
      </c>
      <c r="O52" s="388">
        <f t="shared" si="5"/>
        <v>0</v>
      </c>
      <c r="P52" s="388">
        <f t="shared" si="5"/>
        <v>0</v>
      </c>
      <c r="Q52" s="388">
        <f t="shared" si="5"/>
        <v>-20085.084008074675</v>
      </c>
      <c r="R52" s="388">
        <f t="shared" si="5"/>
        <v>0</v>
      </c>
      <c r="S52" s="388">
        <f t="shared" si="5"/>
        <v>0</v>
      </c>
      <c r="T52" s="388">
        <f t="shared" si="4"/>
        <v>0</v>
      </c>
      <c r="U52" s="388">
        <f t="shared" si="4"/>
        <v>0</v>
      </c>
      <c r="V52" s="388">
        <f t="shared" si="4"/>
        <v>0</v>
      </c>
      <c r="W52" s="388">
        <f t="shared" si="4"/>
        <v>-25043.592297849013</v>
      </c>
      <c r="X52" s="388">
        <f t="shared" si="4"/>
        <v>0</v>
      </c>
      <c r="Y52" s="389">
        <f t="shared" si="2"/>
        <v>-45128.676305923684</v>
      </c>
    </row>
    <row r="53" spans="1:25">
      <c r="A53" s="387" t="s">
        <v>48</v>
      </c>
      <c r="B53" s="388">
        <f>+'[5]Calculo Coef Actualizado'!B53-'[5]pagado 1er Sem'!B53</f>
        <v>0</v>
      </c>
      <c r="C53" s="388">
        <f>+'[5]Calculo Coef Actualizado'!C53-'[5]pagado 1er Sem'!C53</f>
        <v>0</v>
      </c>
      <c r="D53" s="388">
        <f>+'[5]Calculo Coef Actualizado'!D53-'[5]pagado 1er Sem'!D53</f>
        <v>-112687.56705060136</v>
      </c>
      <c r="E53" s="388">
        <f>+'[5]Calculo Coef Actualizado'!E53-'[5]pagado 1er Sem'!E53</f>
        <v>0</v>
      </c>
      <c r="F53" s="388">
        <f>+'[5]Calculo Coef Actualizado'!F53-'[5]pagado 1er Sem'!F53</f>
        <v>0</v>
      </c>
      <c r="G53" s="388">
        <f>+'[5]Calculo Coef Actualizado'!G53-'[5]pagado 1er Sem'!G53</f>
        <v>0</v>
      </c>
      <c r="H53" s="388">
        <f>+'[5]Calculo Coef Actualizado'!H53-'[5]pagado 1er Sem'!H53</f>
        <v>0</v>
      </c>
      <c r="I53" s="388">
        <f>+'[5]Calculo Coef Actualizado'!I53-'[5]pagado 1er Sem'!I53</f>
        <v>0</v>
      </c>
      <c r="J53" s="388">
        <f>+'[5]Calculo Coef Actualizado'!J53-'[5]pagado 1er Sem'!J53</f>
        <v>-30925.985110220034</v>
      </c>
      <c r="K53" s="388">
        <f>+'[5]Calculo Coef Actualizado'!K53-'[5]pagado 1er Sem'!K53</f>
        <v>0</v>
      </c>
      <c r="L53" s="389">
        <f t="shared" si="1"/>
        <v>-143613.55216082139</v>
      </c>
      <c r="N53" s="387" t="s">
        <v>48</v>
      </c>
      <c r="O53" s="388">
        <f t="shared" si="5"/>
        <v>0</v>
      </c>
      <c r="P53" s="388">
        <f t="shared" si="5"/>
        <v>0</v>
      </c>
      <c r="Q53" s="388">
        <f t="shared" si="5"/>
        <v>-18781.261175100226</v>
      </c>
      <c r="R53" s="388">
        <f t="shared" si="5"/>
        <v>0</v>
      </c>
      <c r="S53" s="388">
        <f t="shared" si="5"/>
        <v>0</v>
      </c>
      <c r="T53" s="388">
        <f t="shared" si="4"/>
        <v>0</v>
      </c>
      <c r="U53" s="388">
        <f t="shared" si="4"/>
        <v>0</v>
      </c>
      <c r="V53" s="388">
        <f t="shared" si="4"/>
        <v>0</v>
      </c>
      <c r="W53" s="388">
        <f t="shared" si="4"/>
        <v>-5154.3308517033392</v>
      </c>
      <c r="X53" s="388">
        <f t="shared" si="4"/>
        <v>0</v>
      </c>
      <c r="Y53" s="389">
        <f t="shared" si="2"/>
        <v>-23935.592026803566</v>
      </c>
    </row>
    <row r="54" spans="1:25">
      <c r="A54" s="387" t="s">
        <v>49</v>
      </c>
      <c r="B54" s="388">
        <f>+'[5]Calculo Coef Actualizado'!B54-'[5]pagado 1er Sem'!B54</f>
        <v>0</v>
      </c>
      <c r="C54" s="388">
        <f>+'[5]Calculo Coef Actualizado'!C54-'[5]pagado 1er Sem'!C54</f>
        <v>0</v>
      </c>
      <c r="D54" s="388">
        <f>+'[5]Calculo Coef Actualizado'!D54-'[5]pagado 1er Sem'!D54</f>
        <v>316953.22447803337</v>
      </c>
      <c r="E54" s="388">
        <f>+'[5]Calculo Coef Actualizado'!E54-'[5]pagado 1er Sem'!E54</f>
        <v>0</v>
      </c>
      <c r="F54" s="388">
        <f>+'[5]Calculo Coef Actualizado'!F54-'[5]pagado 1er Sem'!F54</f>
        <v>0</v>
      </c>
      <c r="G54" s="388">
        <f>+'[5]Calculo Coef Actualizado'!G54-'[5]pagado 1er Sem'!G54</f>
        <v>0</v>
      </c>
      <c r="H54" s="388">
        <f>+'[5]Calculo Coef Actualizado'!H54-'[5]pagado 1er Sem'!H54</f>
        <v>0</v>
      </c>
      <c r="I54" s="388">
        <f>+'[5]Calculo Coef Actualizado'!I54-'[5]pagado 1er Sem'!I54</f>
        <v>0</v>
      </c>
      <c r="J54" s="388">
        <f>+'[5]Calculo Coef Actualizado'!J54-'[5]pagado 1er Sem'!J54</f>
        <v>41687.556431731675</v>
      </c>
      <c r="K54" s="388">
        <f>+'[5]Calculo Coef Actualizado'!K54-'[5]pagado 1er Sem'!K54</f>
        <v>0</v>
      </c>
      <c r="L54" s="389">
        <f t="shared" si="1"/>
        <v>358640.78090976505</v>
      </c>
      <c r="N54" s="387" t="s">
        <v>49</v>
      </c>
      <c r="O54" s="388">
        <f t="shared" si="5"/>
        <v>0</v>
      </c>
      <c r="P54" s="388">
        <f t="shared" si="5"/>
        <v>0</v>
      </c>
      <c r="Q54" s="388">
        <f t="shared" si="5"/>
        <v>52825.537413005564</v>
      </c>
      <c r="R54" s="388">
        <f t="shared" si="5"/>
        <v>0</v>
      </c>
      <c r="S54" s="388">
        <f t="shared" si="5"/>
        <v>0</v>
      </c>
      <c r="T54" s="388">
        <f t="shared" si="4"/>
        <v>0</v>
      </c>
      <c r="U54" s="388">
        <f t="shared" si="4"/>
        <v>0</v>
      </c>
      <c r="V54" s="388">
        <f t="shared" si="4"/>
        <v>0</v>
      </c>
      <c r="W54" s="388">
        <f t="shared" si="4"/>
        <v>6947.9260719552794</v>
      </c>
      <c r="X54" s="388">
        <f t="shared" si="4"/>
        <v>0</v>
      </c>
      <c r="Y54" s="389">
        <f t="shared" si="2"/>
        <v>59773.463484960841</v>
      </c>
    </row>
    <row r="55" spans="1:25">
      <c r="A55" s="387" t="s">
        <v>50</v>
      </c>
      <c r="B55" s="388">
        <f>+'[5]Calculo Coef Actualizado'!B55-'[5]pagado 1er Sem'!B55</f>
        <v>-2.9802322387695313E-8</v>
      </c>
      <c r="C55" s="388">
        <f>+'[5]Calculo Coef Actualizado'!C55-'[5]pagado 1er Sem'!C55</f>
        <v>-3.9581209421157837E-9</v>
      </c>
      <c r="D55" s="388">
        <f>+'[5]Calculo Coef Actualizado'!D55-'[5]pagado 1er Sem'!D55</f>
        <v>637830.56534978049</v>
      </c>
      <c r="E55" s="388">
        <f>+'[5]Calculo Coef Actualizado'!E55-'[5]pagado 1er Sem'!E55</f>
        <v>-8.440110832452774E-10</v>
      </c>
      <c r="F55" s="388">
        <f>+'[5]Calculo Coef Actualizado'!F55-'[5]pagado 1er Sem'!F55</f>
        <v>-1.3387762010097504E-9</v>
      </c>
      <c r="G55" s="388">
        <f>+'[5]Calculo Coef Actualizado'!G55-'[5]pagado 1er Sem'!G55</f>
        <v>6.9121597334742546E-11</v>
      </c>
      <c r="H55" s="388">
        <f>+'[5]Calculo Coef Actualizado'!H55-'[5]pagado 1er Sem'!H55</f>
        <v>-7.8580342233181E-10</v>
      </c>
      <c r="I55" s="388">
        <f>+'[5]Calculo Coef Actualizado'!I55-'[5]pagado 1er Sem'!I55</f>
        <v>-1.6007106751203537E-10</v>
      </c>
      <c r="J55" s="388">
        <f>+'[5]Calculo Coef Actualizado'!J55-'[5]pagado 1er Sem'!J55</f>
        <v>46278.861971259124</v>
      </c>
      <c r="K55" s="388">
        <f>+'[5]Calculo Coef Actualizado'!K55-'[5]pagado 1er Sem'!K55</f>
        <v>-3.7834979593753815E-10</v>
      </c>
      <c r="L55" s="389">
        <f t="shared" si="1"/>
        <v>684109.42732100259</v>
      </c>
      <c r="N55" s="387" t="s">
        <v>50</v>
      </c>
      <c r="O55" s="388">
        <f t="shared" si="5"/>
        <v>-4.9670537312825518E-9</v>
      </c>
      <c r="P55" s="388">
        <f t="shared" si="5"/>
        <v>-6.5968682368596398E-10</v>
      </c>
      <c r="Q55" s="388">
        <f t="shared" si="5"/>
        <v>106305.09422496341</v>
      </c>
      <c r="R55" s="388">
        <f t="shared" si="5"/>
        <v>-1.4066851387421289E-10</v>
      </c>
      <c r="S55" s="388">
        <f t="shared" si="5"/>
        <v>-2.231293668349584E-10</v>
      </c>
      <c r="T55" s="388">
        <f t="shared" si="4"/>
        <v>1.152026622245709E-11</v>
      </c>
      <c r="U55" s="388">
        <f t="shared" si="4"/>
        <v>-1.3096723705530167E-10</v>
      </c>
      <c r="V55" s="388">
        <f t="shared" si="4"/>
        <v>-2.6678511252005894E-11</v>
      </c>
      <c r="W55" s="388">
        <f t="shared" si="4"/>
        <v>7713.143661876521</v>
      </c>
      <c r="X55" s="388">
        <f t="shared" si="4"/>
        <v>-6.305829932292302E-11</v>
      </c>
      <c r="Y55" s="389">
        <f t="shared" si="2"/>
        <v>114018.23788683373</v>
      </c>
    </row>
    <row r="56" spans="1:25" ht="13.5" thickBot="1">
      <c r="A56" s="387" t="s">
        <v>51</v>
      </c>
      <c r="B56" s="388">
        <f>+'[5]Calculo Coef Actualizado'!B56-'[5]pagado 1er Sem'!B56</f>
        <v>0</v>
      </c>
      <c r="C56" s="388">
        <f>+'[5]Calculo Coef Actualizado'!C56-'[5]pagado 1er Sem'!C56</f>
        <v>0</v>
      </c>
      <c r="D56" s="388">
        <f>+'[5]Calculo Coef Actualizado'!D56-'[5]pagado 1er Sem'!D56</f>
        <v>-172018.29445200833</v>
      </c>
      <c r="E56" s="388">
        <f>+'[5]Calculo Coef Actualizado'!E56-'[5]pagado 1er Sem'!E56</f>
        <v>0</v>
      </c>
      <c r="F56" s="388">
        <f>+'[5]Calculo Coef Actualizado'!F56-'[5]pagado 1er Sem'!F56</f>
        <v>0</v>
      </c>
      <c r="G56" s="388">
        <f>+'[5]Calculo Coef Actualizado'!G56-'[5]pagado 1er Sem'!G56</f>
        <v>0</v>
      </c>
      <c r="H56" s="388">
        <f>+'[5]Calculo Coef Actualizado'!H56-'[5]pagado 1er Sem'!H56</f>
        <v>0</v>
      </c>
      <c r="I56" s="388">
        <f>+'[5]Calculo Coef Actualizado'!I56-'[5]pagado 1er Sem'!I56</f>
        <v>0</v>
      </c>
      <c r="J56" s="388">
        <f>+'[5]Calculo Coef Actualizado'!J56-'[5]pagado 1er Sem'!J56</f>
        <v>24488.658881197407</v>
      </c>
      <c r="K56" s="388">
        <f>+'[5]Calculo Coef Actualizado'!K56-'[5]pagado 1er Sem'!K56</f>
        <v>0</v>
      </c>
      <c r="L56" s="389">
        <f t="shared" si="1"/>
        <v>-147529.63557081093</v>
      </c>
      <c r="N56" s="387" t="s">
        <v>51</v>
      </c>
      <c r="O56" s="388">
        <f t="shared" si="5"/>
        <v>0</v>
      </c>
      <c r="P56" s="388">
        <f t="shared" si="5"/>
        <v>0</v>
      </c>
      <c r="Q56" s="388">
        <f t="shared" si="5"/>
        <v>-28669.715742001386</v>
      </c>
      <c r="R56" s="388">
        <f t="shared" si="5"/>
        <v>0</v>
      </c>
      <c r="S56" s="388">
        <f t="shared" si="5"/>
        <v>0</v>
      </c>
      <c r="T56" s="388">
        <f t="shared" si="4"/>
        <v>0</v>
      </c>
      <c r="U56" s="388">
        <f t="shared" si="4"/>
        <v>0</v>
      </c>
      <c r="V56" s="388">
        <f t="shared" si="4"/>
        <v>0</v>
      </c>
      <c r="W56" s="388">
        <f t="shared" si="4"/>
        <v>4081.4431468662347</v>
      </c>
      <c r="X56" s="388">
        <f t="shared" si="4"/>
        <v>0</v>
      </c>
      <c r="Y56" s="389">
        <f t="shared" si="2"/>
        <v>-24588.272595135153</v>
      </c>
    </row>
    <row r="57" spans="1:25" ht="14.25" thickTop="1" thickBot="1">
      <c r="A57" s="390" t="s">
        <v>52</v>
      </c>
      <c r="B57" s="391">
        <f t="shared" ref="B57:E57" si="6">SUM(B6:B56)</f>
        <v>-3.3574178814888E-7</v>
      </c>
      <c r="C57" s="391">
        <f t="shared" si="6"/>
        <v>-4.71482053399086E-8</v>
      </c>
      <c r="D57" s="391">
        <f t="shared" si="6"/>
        <v>7.7299773693084717E-8</v>
      </c>
      <c r="E57" s="391">
        <f t="shared" si="6"/>
        <v>-8.9057721197605133E-9</v>
      </c>
      <c r="F57" s="391">
        <f>SUM(F6:F56)</f>
        <v>-2.0227162167429924E-8</v>
      </c>
      <c r="G57" s="391">
        <f t="shared" ref="G57:L57" si="7">SUM(G6:G56)</f>
        <v>7.8216544352471828E-10</v>
      </c>
      <c r="H57" s="391">
        <f t="shared" si="7"/>
        <v>-8.047209121286869E-9</v>
      </c>
      <c r="I57" s="391">
        <f t="shared" si="7"/>
        <v>-2.3246684577316046E-9</v>
      </c>
      <c r="J57" s="391">
        <f t="shared" si="7"/>
        <v>-9.9999901503906585E-3</v>
      </c>
      <c r="K57" s="391">
        <f t="shared" si="7"/>
        <v>-3.9945007301867008E-9</v>
      </c>
      <c r="L57" s="392">
        <f t="shared" si="7"/>
        <v>-1.000034116441384E-2</v>
      </c>
      <c r="N57" s="390" t="s">
        <v>52</v>
      </c>
      <c r="O57" s="391">
        <f t="shared" ref="O57:R57" si="8">SUM(O6:O56)</f>
        <v>-5.595696469148001E-8</v>
      </c>
      <c r="P57" s="391">
        <f t="shared" si="8"/>
        <v>-7.8580342233181E-9</v>
      </c>
      <c r="Q57" s="391">
        <f t="shared" si="8"/>
        <v>1.2627424439415336E-8</v>
      </c>
      <c r="R57" s="391">
        <f t="shared" si="8"/>
        <v>-1.4842953532934189E-9</v>
      </c>
      <c r="S57" s="391">
        <f>SUM(S6:S56)</f>
        <v>-3.3711936945716535E-9</v>
      </c>
      <c r="T57" s="391">
        <f t="shared" ref="T57:Y57" si="9">SUM(T6:T56)</f>
        <v>1.303609072541197E-10</v>
      </c>
      <c r="U57" s="391">
        <f t="shared" si="9"/>
        <v>-1.3412015202144782E-9</v>
      </c>
      <c r="V57" s="391">
        <f t="shared" si="9"/>
        <v>-3.8744474295526743E-10</v>
      </c>
      <c r="W57" s="391">
        <f t="shared" si="9"/>
        <v>-1.6666650221850432E-3</v>
      </c>
      <c r="X57" s="391">
        <f t="shared" si="9"/>
        <v>-6.6575012169778347E-10</v>
      </c>
      <c r="Y57" s="392">
        <f t="shared" si="9"/>
        <v>-1.6667235249769874E-3</v>
      </c>
    </row>
    <row r="58" spans="1:25" ht="13.5" thickTop="1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</row>
    <row r="59" spans="1:25">
      <c r="A59" s="394" t="s">
        <v>124</v>
      </c>
      <c r="B59" s="394"/>
      <c r="C59" s="394"/>
      <c r="D59" s="394"/>
      <c r="E59" s="394"/>
    </row>
    <row r="60" spans="1:25">
      <c r="A60" s="395"/>
    </row>
    <row r="61" spans="1:25">
      <c r="A61" s="395"/>
    </row>
    <row r="62" spans="1:25" ht="16.5" customHeight="1"/>
  </sheetData>
  <mergeCells count="8">
    <mergeCell ref="A4:L4"/>
    <mergeCell ref="N4:Y4"/>
    <mergeCell ref="A1:L1"/>
    <mergeCell ref="N1:Y1"/>
    <mergeCell ref="A2:L2"/>
    <mergeCell ref="N2:Y2"/>
    <mergeCell ref="A3:L3"/>
    <mergeCell ref="N3:Y3"/>
  </mergeCells>
  <printOptions horizontalCentered="1"/>
  <pageMargins left="0.39370078740157483" right="0.39370078740157483" top="0.47244094488188981" bottom="0.15748031496062992" header="0.15748031496062992" footer="0.15748031496062992"/>
  <pageSetup scale="75" orientation="landscape" r:id="rId1"/>
  <headerFooter alignWithMargins="0">
    <oddHeader>&amp;L&amp;"Arial,Negrita"ANEXO IV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63" customWidth="1"/>
    <col min="12" max="12" width="11.42578125" style="75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9" t="s">
        <v>111</v>
      </c>
      <c r="C1" s="59" t="s">
        <v>149</v>
      </c>
      <c r="D1" s="74" t="s">
        <v>148</v>
      </c>
      <c r="E1" s="59" t="s">
        <v>113</v>
      </c>
      <c r="F1" s="59" t="s">
        <v>132</v>
      </c>
      <c r="G1" s="59" t="s">
        <v>126</v>
      </c>
      <c r="H1" s="59" t="s">
        <v>145</v>
      </c>
      <c r="I1" s="59" t="s">
        <v>146</v>
      </c>
      <c r="J1" s="59" t="s">
        <v>175</v>
      </c>
      <c r="K1" s="60" t="s">
        <v>53</v>
      </c>
      <c r="M1" s="18" t="s">
        <v>0</v>
      </c>
      <c r="N1" s="59" t="s">
        <v>111</v>
      </c>
      <c r="O1" s="59" t="s">
        <v>149</v>
      </c>
      <c r="P1" s="74" t="s">
        <v>148</v>
      </c>
      <c r="Q1" s="59" t="s">
        <v>113</v>
      </c>
      <c r="R1" s="59" t="s">
        <v>132</v>
      </c>
      <c r="S1" s="59" t="s">
        <v>126</v>
      </c>
      <c r="T1" s="59" t="s">
        <v>145</v>
      </c>
      <c r="U1" s="59" t="s">
        <v>146</v>
      </c>
      <c r="V1" s="59" t="s">
        <v>175</v>
      </c>
      <c r="W1" s="60" t="s">
        <v>53</v>
      </c>
    </row>
    <row r="2" spans="1:23" ht="13.5" thickTop="1">
      <c r="A2" s="19" t="s">
        <v>1</v>
      </c>
      <c r="B2" s="76" t="e">
        <f>+'[6]1er Sem coef act'!B2-'[6]1er Sem distribuido'!B2</f>
        <v>#REF!</v>
      </c>
      <c r="C2" s="76" t="e">
        <f>+'[6]1er Sem coef act'!C2-'[6]1er Sem distribuido'!C2</f>
        <v>#REF!</v>
      </c>
      <c r="D2" s="76" t="e">
        <f>+'[6]1er Sem coef act'!D2-'[6]1er Sem distribuido'!D2</f>
        <v>#REF!</v>
      </c>
      <c r="E2" s="76" t="e">
        <f>+'[6]1er Sem coef act'!E2-'[6]1er Sem distribuido'!E2</f>
        <v>#REF!</v>
      </c>
      <c r="F2" s="76" t="e">
        <f>+'[6]1er Sem coef act'!F2-'[6]1er Sem distribuido'!F2</f>
        <v>#REF!</v>
      </c>
      <c r="G2" s="76" t="e">
        <f>+'[6]1er Sem coef act'!G2-'[6]1er Sem distribuido'!G2</f>
        <v>#REF!</v>
      </c>
      <c r="H2" s="76" t="e">
        <f>+'[6]1er Sem coef act'!H2-'[6]1er Sem distribuido'!H2</f>
        <v>#REF!</v>
      </c>
      <c r="I2" s="76" t="e">
        <f>+'[6]1er Sem coef act'!I2-'[6]1er Sem distribuido'!I2</f>
        <v>#REF!</v>
      </c>
      <c r="J2" s="76" t="e">
        <f>+'[6]1er Sem coef act'!J2-'[6]1er Sem distribuido'!J2</f>
        <v>#REF!</v>
      </c>
      <c r="K2" s="77" t="e">
        <f t="shared" ref="K2:K52" si="0">SUM(B2:J2)</f>
        <v>#REF!</v>
      </c>
      <c r="M2" s="19" t="s">
        <v>1</v>
      </c>
      <c r="N2" s="76">
        <v>0</v>
      </c>
      <c r="O2" s="76">
        <v>0</v>
      </c>
      <c r="P2" s="76">
        <f>(-751624.504116406/6)</f>
        <v>-125270.75068606767</v>
      </c>
      <c r="Q2" s="76">
        <v>0</v>
      </c>
      <c r="R2" s="76">
        <v>0</v>
      </c>
      <c r="S2" s="76">
        <v>0</v>
      </c>
      <c r="T2" s="76">
        <v>0</v>
      </c>
      <c r="U2" s="76">
        <v>0</v>
      </c>
      <c r="V2" s="76">
        <f>(-49.5233118287942/6)</f>
        <v>-8.2538853047990326</v>
      </c>
      <c r="W2" s="77">
        <v>-751674.02742823481</v>
      </c>
    </row>
    <row r="3" spans="1:23">
      <c r="A3" s="19" t="s">
        <v>2</v>
      </c>
      <c r="B3" s="76" t="e">
        <f>+'[6]1er Sem coef act'!B3-'[6]1er Sem distribuido'!B3</f>
        <v>#REF!</v>
      </c>
      <c r="C3" s="76" t="e">
        <f>+'[6]1er Sem coef act'!C3-'[6]1er Sem distribuido'!C3</f>
        <v>#REF!</v>
      </c>
      <c r="D3" s="76" t="e">
        <f>+'[6]1er Sem coef act'!D3-'[6]1er Sem distribuido'!D3</f>
        <v>#REF!</v>
      </c>
      <c r="E3" s="76" t="e">
        <f>+'[6]1er Sem coef act'!E3-'[6]1er Sem distribuido'!E3</f>
        <v>#REF!</v>
      </c>
      <c r="F3" s="76" t="e">
        <f>+'[6]1er Sem coef act'!F3-'[6]1er Sem distribuido'!F3</f>
        <v>#REF!</v>
      </c>
      <c r="G3" s="76" t="e">
        <f>+'[6]1er Sem coef act'!G3-'[6]1er Sem distribuido'!G3</f>
        <v>#REF!</v>
      </c>
      <c r="H3" s="76" t="e">
        <f>+'[6]1er Sem coef act'!H3-'[6]1er Sem distribuido'!H3</f>
        <v>#REF!</v>
      </c>
      <c r="I3" s="76" t="e">
        <f>+'[6]1er Sem coef act'!I3-'[6]1er Sem distribuido'!I3</f>
        <v>#REF!</v>
      </c>
      <c r="J3" s="76" t="e">
        <f>+'[6]1er Sem coef act'!J3-'[6]1er Sem distribuido'!J3</f>
        <v>#REF!</v>
      </c>
      <c r="K3" s="77" t="e">
        <f t="shared" si="0"/>
        <v>#REF!</v>
      </c>
      <c r="M3" s="19" t="s">
        <v>2</v>
      </c>
      <c r="N3" s="76">
        <v>0</v>
      </c>
      <c r="O3" s="76">
        <v>0</v>
      </c>
      <c r="P3" s="76">
        <f>(429946.316578855/6)</f>
        <v>71657.719429809164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f>(688.590111504964/6)</f>
        <v>114.76501858416067</v>
      </c>
      <c r="W3" s="77">
        <v>430634.90669036022</v>
      </c>
    </row>
    <row r="4" spans="1:23">
      <c r="A4" s="19" t="s">
        <v>242</v>
      </c>
      <c r="B4" s="76" t="e">
        <f>+'[6]1er Sem coef act'!B4-'[6]1er Sem distribuido'!B4</f>
        <v>#REF!</v>
      </c>
      <c r="C4" s="76" t="e">
        <f>+'[6]1er Sem coef act'!C4-'[6]1er Sem distribuido'!C4</f>
        <v>#REF!</v>
      </c>
      <c r="D4" s="76" t="e">
        <f>+'[6]1er Sem coef act'!D4-'[6]1er Sem distribuido'!D4</f>
        <v>#REF!</v>
      </c>
      <c r="E4" s="76" t="e">
        <f>+'[6]1er Sem coef act'!E4-'[6]1er Sem distribuido'!E4</f>
        <v>#REF!</v>
      </c>
      <c r="F4" s="76" t="e">
        <f>+'[6]1er Sem coef act'!F4-'[6]1er Sem distribuido'!F4</f>
        <v>#REF!</v>
      </c>
      <c r="G4" s="76" t="e">
        <f>+'[6]1er Sem coef act'!G4-'[6]1er Sem distribuido'!G4</f>
        <v>#REF!</v>
      </c>
      <c r="H4" s="76" t="e">
        <f>+'[6]1er Sem coef act'!H4-'[6]1er Sem distribuido'!H4</f>
        <v>#REF!</v>
      </c>
      <c r="I4" s="76" t="e">
        <f>+'[6]1er Sem coef act'!I4-'[6]1er Sem distribuido'!I4</f>
        <v>#REF!</v>
      </c>
      <c r="J4" s="76" t="e">
        <f>+'[6]1er Sem coef act'!J4-'[6]1er Sem distribuido'!J4</f>
        <v>#REF!</v>
      </c>
      <c r="K4" s="77" t="e">
        <f t="shared" si="0"/>
        <v>#REF!</v>
      </c>
      <c r="M4" s="19" t="s">
        <v>242</v>
      </c>
      <c r="N4" s="76">
        <v>0</v>
      </c>
      <c r="O4" s="76">
        <v>0</v>
      </c>
      <c r="P4" s="76">
        <f>(1593133.38480329/6)</f>
        <v>265522.23080054834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f>(137.276240081977/6)</f>
        <v>22.879373346996164</v>
      </c>
      <c r="W4" s="77">
        <v>1593270.6610433715</v>
      </c>
    </row>
    <row r="5" spans="1:23">
      <c r="A5" s="19" t="s">
        <v>4</v>
      </c>
      <c r="B5" s="76" t="e">
        <f>+'[6]1er Sem coef act'!B5-'[6]1er Sem distribuido'!B5</f>
        <v>#REF!</v>
      </c>
      <c r="C5" s="76" t="e">
        <f>+'[6]1er Sem coef act'!C5-'[6]1er Sem distribuido'!C5</f>
        <v>#REF!</v>
      </c>
      <c r="D5" s="76" t="e">
        <f>+'[6]1er Sem coef act'!D5-'[6]1er Sem distribuido'!D5</f>
        <v>#REF!</v>
      </c>
      <c r="E5" s="76" t="e">
        <f>+'[6]1er Sem coef act'!E5-'[6]1er Sem distribuido'!E5</f>
        <v>#REF!</v>
      </c>
      <c r="F5" s="76" t="e">
        <f>+'[6]1er Sem coef act'!F5-'[6]1er Sem distribuido'!F5</f>
        <v>#REF!</v>
      </c>
      <c r="G5" s="76" t="e">
        <f>+'[6]1er Sem coef act'!G5-'[6]1er Sem distribuido'!G5</f>
        <v>#REF!</v>
      </c>
      <c r="H5" s="76" t="e">
        <f>+'[6]1er Sem coef act'!H5-'[6]1er Sem distribuido'!H5</f>
        <v>#REF!</v>
      </c>
      <c r="I5" s="76" t="e">
        <f>+'[6]1er Sem coef act'!I5-'[6]1er Sem distribuido'!I5</f>
        <v>#REF!</v>
      </c>
      <c r="J5" s="76" t="e">
        <f>+'[6]1er Sem coef act'!J5-'[6]1er Sem distribuido'!J5</f>
        <v>#REF!</v>
      </c>
      <c r="K5" s="77" t="e">
        <f t="shared" si="0"/>
        <v>#REF!</v>
      </c>
      <c r="M5" s="19" t="s">
        <v>4</v>
      </c>
      <c r="N5" s="76">
        <v>0</v>
      </c>
      <c r="O5" s="76">
        <v>4.1909515857696533E-9</v>
      </c>
      <c r="P5" s="76">
        <f>(-17180.8354262514/6)</f>
        <v>-2863.4725710419002</v>
      </c>
      <c r="Q5" s="76">
        <v>0</v>
      </c>
      <c r="R5" s="76">
        <v>0</v>
      </c>
      <c r="S5" s="76">
        <v>7.2759576141834259E-11</v>
      </c>
      <c r="T5" s="76">
        <v>0</v>
      </c>
      <c r="U5" s="76">
        <v>0</v>
      </c>
      <c r="V5" s="76">
        <f>(20912.6376491142/6)</f>
        <v>3485.4396081856999</v>
      </c>
      <c r="W5" s="77">
        <v>3731.8022228671034</v>
      </c>
    </row>
    <row r="6" spans="1:23">
      <c r="A6" s="19" t="s">
        <v>5</v>
      </c>
      <c r="B6" s="76" t="e">
        <f>+'[6]1er Sem coef act'!B6-'[6]1er Sem distribuido'!B6</f>
        <v>#REF!</v>
      </c>
      <c r="C6" s="76" t="e">
        <f>+'[6]1er Sem coef act'!C6-'[6]1er Sem distribuido'!C6</f>
        <v>#REF!</v>
      </c>
      <c r="D6" s="76" t="e">
        <f>+'[6]1er Sem coef act'!D6-'[6]1er Sem distribuido'!D6</f>
        <v>#REF!</v>
      </c>
      <c r="E6" s="76" t="e">
        <f>+'[6]1er Sem coef act'!E6-'[6]1er Sem distribuido'!E6</f>
        <v>#REF!</v>
      </c>
      <c r="F6" s="76" t="e">
        <f>+'[6]1er Sem coef act'!F6-'[6]1er Sem distribuido'!F6</f>
        <v>#REF!</v>
      </c>
      <c r="G6" s="76" t="e">
        <f>+'[6]1er Sem coef act'!G6-'[6]1er Sem distribuido'!G6</f>
        <v>#REF!</v>
      </c>
      <c r="H6" s="76" t="e">
        <f>+'[6]1er Sem coef act'!H6-'[6]1er Sem distribuido'!H6</f>
        <v>#REF!</v>
      </c>
      <c r="I6" s="76" t="e">
        <f>+'[6]1er Sem coef act'!I6-'[6]1er Sem distribuido'!I6</f>
        <v>#REF!</v>
      </c>
      <c r="J6" s="76" t="e">
        <f>+'[6]1er Sem coef act'!J6-'[6]1er Sem distribuido'!J6</f>
        <v>#REF!</v>
      </c>
      <c r="K6" s="77" t="e">
        <f t="shared" si="0"/>
        <v>#REF!</v>
      </c>
      <c r="M6" s="19" t="s">
        <v>5</v>
      </c>
      <c r="N6" s="76">
        <v>0</v>
      </c>
      <c r="O6" s="76">
        <v>0</v>
      </c>
      <c r="P6" s="76">
        <f>(-275183.21096846/6)</f>
        <v>-45863.868494743336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f>(-1236.31296374631/6)</f>
        <v>-206.05216062438501</v>
      </c>
      <c r="W6" s="77">
        <v>-276419.52393220592</v>
      </c>
    </row>
    <row r="7" spans="1:23">
      <c r="A7" s="19" t="s">
        <v>6</v>
      </c>
      <c r="B7" s="76" t="e">
        <f>+'[6]1er Sem coef act'!B7-'[6]1er Sem distribuido'!B7</f>
        <v>#REF!</v>
      </c>
      <c r="C7" s="76" t="e">
        <f>+'[6]1er Sem coef act'!C7-'[6]1er Sem distribuido'!C7</f>
        <v>#REF!</v>
      </c>
      <c r="D7" s="76" t="e">
        <f>+'[6]1er Sem coef act'!D7-'[6]1er Sem distribuido'!D7</f>
        <v>#REF!</v>
      </c>
      <c r="E7" s="76" t="e">
        <f>+'[6]1er Sem coef act'!E7-'[6]1er Sem distribuido'!E7</f>
        <v>#REF!</v>
      </c>
      <c r="F7" s="76" t="e">
        <f>+'[6]1er Sem coef act'!F7-'[6]1er Sem distribuido'!F7</f>
        <v>#REF!</v>
      </c>
      <c r="G7" s="76" t="e">
        <f>+'[6]1er Sem coef act'!G7-'[6]1er Sem distribuido'!G7</f>
        <v>#REF!</v>
      </c>
      <c r="H7" s="76" t="e">
        <f>+'[6]1er Sem coef act'!H7-'[6]1er Sem distribuido'!H7</f>
        <v>#REF!</v>
      </c>
      <c r="I7" s="76" t="e">
        <f>+'[6]1er Sem coef act'!I7-'[6]1er Sem distribuido'!I7</f>
        <v>#REF!</v>
      </c>
      <c r="J7" s="76" t="e">
        <f>+'[6]1er Sem coef act'!J7-'[6]1er Sem distribuido'!J7</f>
        <v>#REF!</v>
      </c>
      <c r="K7" s="77" t="e">
        <f t="shared" si="0"/>
        <v>#REF!</v>
      </c>
      <c r="M7" s="19" t="s">
        <v>6</v>
      </c>
      <c r="N7" s="76">
        <v>3.5762786865234375E-7</v>
      </c>
      <c r="O7" s="76">
        <v>5.5879354476928711E-8</v>
      </c>
      <c r="P7" s="76">
        <f>(-425177.449357113/6)</f>
        <v>-70862.908226185493</v>
      </c>
      <c r="Q7" s="76">
        <v>1.3038516044616699E-8</v>
      </c>
      <c r="R7" s="76">
        <v>2.0489096641540527E-8</v>
      </c>
      <c r="S7" s="76">
        <v>1.0477378964424133E-9</v>
      </c>
      <c r="T7" s="76">
        <v>9.3132257461547852E-9</v>
      </c>
      <c r="U7" s="76">
        <v>2.3283064365386963E-9</v>
      </c>
      <c r="V7" s="76">
        <f>(254659.352042157/6)</f>
        <v>42443.225340359502</v>
      </c>
      <c r="W7" s="77">
        <v>-170518.09731449594</v>
      </c>
    </row>
    <row r="8" spans="1:23">
      <c r="A8" s="19" t="s">
        <v>7</v>
      </c>
      <c r="B8" s="76" t="e">
        <f>+'[6]1er Sem coef act'!B8-'[6]1er Sem distribuido'!B8</f>
        <v>#REF!</v>
      </c>
      <c r="C8" s="76" t="e">
        <f>+'[6]1er Sem coef act'!C8-'[6]1er Sem distribuido'!C8</f>
        <v>#REF!</v>
      </c>
      <c r="D8" s="76" t="e">
        <f>+'[6]1er Sem coef act'!D8-'[6]1er Sem distribuido'!D8</f>
        <v>#REF!</v>
      </c>
      <c r="E8" s="76" t="e">
        <f>+'[6]1er Sem coef act'!E8-'[6]1er Sem distribuido'!E8</f>
        <v>#REF!</v>
      </c>
      <c r="F8" s="76" t="e">
        <f>+'[6]1er Sem coef act'!F8-'[6]1er Sem distribuido'!F8</f>
        <v>#REF!</v>
      </c>
      <c r="G8" s="76" t="e">
        <f>+'[6]1er Sem coef act'!G8-'[6]1er Sem distribuido'!G8</f>
        <v>#REF!</v>
      </c>
      <c r="H8" s="76" t="e">
        <f>+'[6]1er Sem coef act'!H8-'[6]1er Sem distribuido'!H8</f>
        <v>#REF!</v>
      </c>
      <c r="I8" s="76" t="e">
        <f>+'[6]1er Sem coef act'!I8-'[6]1er Sem distribuido'!I8</f>
        <v>#REF!</v>
      </c>
      <c r="J8" s="76" t="e">
        <f>+'[6]1er Sem coef act'!J8-'[6]1er Sem distribuido'!J8</f>
        <v>#REF!</v>
      </c>
      <c r="K8" s="77" t="e">
        <f t="shared" si="0"/>
        <v>#REF!</v>
      </c>
      <c r="M8" s="19" t="s">
        <v>7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f>(2830.50816723111/6)</f>
        <v>471.75136120518499</v>
      </c>
      <c r="W8" s="77">
        <v>2830.5081672311062</v>
      </c>
    </row>
    <row r="9" spans="1:23">
      <c r="A9" s="19" t="s">
        <v>8</v>
      </c>
      <c r="B9" s="76" t="e">
        <f>+'[6]1er Sem coef act'!B9-'[6]1er Sem distribuido'!B9</f>
        <v>#REF!</v>
      </c>
      <c r="C9" s="76" t="e">
        <f>+'[6]1er Sem coef act'!C9-'[6]1er Sem distribuido'!C9</f>
        <v>#REF!</v>
      </c>
      <c r="D9" s="76" t="e">
        <f>+'[6]1er Sem coef act'!D9-'[6]1er Sem distribuido'!D9</f>
        <v>#REF!</v>
      </c>
      <c r="E9" s="76" t="e">
        <f>+'[6]1er Sem coef act'!E9-'[6]1er Sem distribuido'!E9</f>
        <v>#REF!</v>
      </c>
      <c r="F9" s="76" t="e">
        <f>+'[6]1er Sem coef act'!F9-'[6]1er Sem distribuido'!F9</f>
        <v>#REF!</v>
      </c>
      <c r="G9" s="76" t="e">
        <f>+'[6]1er Sem coef act'!G9-'[6]1er Sem distribuido'!G9</f>
        <v>#REF!</v>
      </c>
      <c r="H9" s="76" t="e">
        <f>+'[6]1er Sem coef act'!H9-'[6]1er Sem distribuido'!H9</f>
        <v>#REF!</v>
      </c>
      <c r="I9" s="76" t="e">
        <f>+'[6]1er Sem coef act'!I9-'[6]1er Sem distribuido'!I9</f>
        <v>#REF!</v>
      </c>
      <c r="J9" s="76" t="e">
        <f>+'[6]1er Sem coef act'!J9-'[6]1er Sem distribuido'!J9</f>
        <v>#REF!</v>
      </c>
      <c r="K9" s="77" t="e">
        <f t="shared" si="0"/>
        <v>#REF!</v>
      </c>
      <c r="M9" s="19" t="s">
        <v>8</v>
      </c>
      <c r="N9" s="76">
        <v>0</v>
      </c>
      <c r="O9" s="76">
        <v>0</v>
      </c>
      <c r="P9" s="76">
        <f>(1156048.80239411/6)</f>
        <v>192674.80039901834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f>(1460.95238753285/6)</f>
        <v>243.49206458880835</v>
      </c>
      <c r="W9" s="77">
        <v>1157509.7547816415</v>
      </c>
    </row>
    <row r="10" spans="1:23">
      <c r="A10" s="19" t="s">
        <v>9</v>
      </c>
      <c r="B10" s="76" t="e">
        <f>+'[6]1er Sem coef act'!B10-'[6]1er Sem distribuido'!B10</f>
        <v>#REF!</v>
      </c>
      <c r="C10" s="76" t="e">
        <f>+'[6]1er Sem coef act'!C10-'[6]1er Sem distribuido'!C10</f>
        <v>#REF!</v>
      </c>
      <c r="D10" s="76" t="e">
        <f>+'[6]1er Sem coef act'!D10-'[6]1er Sem distribuido'!D10</f>
        <v>#REF!</v>
      </c>
      <c r="E10" s="76" t="e">
        <f>+'[6]1er Sem coef act'!E10-'[6]1er Sem distribuido'!E10</f>
        <v>#REF!</v>
      </c>
      <c r="F10" s="76" t="e">
        <f>+'[6]1er Sem coef act'!F10-'[6]1er Sem distribuido'!F10</f>
        <v>#REF!</v>
      </c>
      <c r="G10" s="76" t="e">
        <f>+'[6]1er Sem coef act'!G10-'[6]1er Sem distribuido'!G10</f>
        <v>#REF!</v>
      </c>
      <c r="H10" s="76" t="e">
        <f>+'[6]1er Sem coef act'!H10-'[6]1er Sem distribuido'!H10</f>
        <v>#REF!</v>
      </c>
      <c r="I10" s="76" t="e">
        <f>+'[6]1er Sem coef act'!I10-'[6]1er Sem distribuido'!I10</f>
        <v>#REF!</v>
      </c>
      <c r="J10" s="76" t="e">
        <f>+'[6]1er Sem coef act'!J10-'[6]1er Sem distribuido'!J10</f>
        <v>#REF!</v>
      </c>
      <c r="K10" s="77" t="e">
        <f t="shared" si="0"/>
        <v>#REF!</v>
      </c>
      <c r="M10" s="19" t="s">
        <v>9</v>
      </c>
      <c r="N10" s="76">
        <v>0</v>
      </c>
      <c r="O10" s="76">
        <v>0</v>
      </c>
      <c r="P10" s="76">
        <f>(-676548.752738139/6)</f>
        <v>-112758.1254563565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f>(-6182.26334804412/6)</f>
        <v>-1030.37722467402</v>
      </c>
      <c r="W10" s="77">
        <v>-682731.01608618349</v>
      </c>
    </row>
    <row r="11" spans="1:23">
      <c r="A11" s="19" t="s">
        <v>10</v>
      </c>
      <c r="B11" s="76" t="e">
        <f>+'[6]1er Sem coef act'!B11-'[6]1er Sem distribuido'!B11</f>
        <v>#REF!</v>
      </c>
      <c r="C11" s="76" t="e">
        <f>+'[6]1er Sem coef act'!C11-'[6]1er Sem distribuido'!C11</f>
        <v>#REF!</v>
      </c>
      <c r="D11" s="76" t="e">
        <f>+'[6]1er Sem coef act'!D11-'[6]1er Sem distribuido'!D11</f>
        <v>#REF!</v>
      </c>
      <c r="E11" s="76" t="e">
        <f>+'[6]1er Sem coef act'!E11-'[6]1er Sem distribuido'!E11</f>
        <v>#REF!</v>
      </c>
      <c r="F11" s="76" t="e">
        <f>+'[6]1er Sem coef act'!F11-'[6]1er Sem distribuido'!F11</f>
        <v>#REF!</v>
      </c>
      <c r="G11" s="76" t="e">
        <f>+'[6]1er Sem coef act'!G11-'[6]1er Sem distribuido'!G11</f>
        <v>#REF!</v>
      </c>
      <c r="H11" s="76" t="e">
        <f>+'[6]1er Sem coef act'!H11-'[6]1er Sem distribuido'!H11</f>
        <v>#REF!</v>
      </c>
      <c r="I11" s="76" t="e">
        <f>+'[6]1er Sem coef act'!I11-'[6]1er Sem distribuido'!I11</f>
        <v>#REF!</v>
      </c>
      <c r="J11" s="76" t="e">
        <f>+'[6]1er Sem coef act'!J11-'[6]1er Sem distribuido'!J11</f>
        <v>#REF!</v>
      </c>
      <c r="K11" s="77" t="e">
        <f t="shared" si="0"/>
        <v>#REF!</v>
      </c>
      <c r="M11" s="19" t="s">
        <v>10</v>
      </c>
      <c r="N11" s="76">
        <v>0</v>
      </c>
      <c r="O11" s="76">
        <v>0</v>
      </c>
      <c r="P11" s="76">
        <f>(1337596.65948047/6)</f>
        <v>222932.77658007832</v>
      </c>
      <c r="Q11" s="76">
        <v>2.9103830456733704E-10</v>
      </c>
      <c r="R11" s="76">
        <v>5.8207660913467407E-10</v>
      </c>
      <c r="S11" s="76">
        <v>0</v>
      </c>
      <c r="T11" s="76">
        <v>2.6193447411060333E-10</v>
      </c>
      <c r="U11" s="76">
        <v>5.8207660913467407E-11</v>
      </c>
      <c r="V11" s="76">
        <f>(6677.74926069751/6)</f>
        <v>1112.9582101162516</v>
      </c>
      <c r="W11" s="77">
        <v>1344274.4087411717</v>
      </c>
    </row>
    <row r="12" spans="1:23">
      <c r="A12" s="19" t="s">
        <v>11</v>
      </c>
      <c r="B12" s="76" t="e">
        <f>+'[6]1er Sem coef act'!B12-'[6]1er Sem distribuido'!B12</f>
        <v>#REF!</v>
      </c>
      <c r="C12" s="76" t="e">
        <f>+'[6]1er Sem coef act'!C12-'[6]1er Sem distribuido'!C12</f>
        <v>#REF!</v>
      </c>
      <c r="D12" s="76" t="e">
        <f>+'[6]1er Sem coef act'!D12-'[6]1er Sem distribuido'!D12</f>
        <v>#REF!</v>
      </c>
      <c r="E12" s="76" t="e">
        <f>+'[6]1er Sem coef act'!E12-'[6]1er Sem distribuido'!E12</f>
        <v>#REF!</v>
      </c>
      <c r="F12" s="76" t="e">
        <f>+'[6]1er Sem coef act'!F12-'[6]1er Sem distribuido'!F12</f>
        <v>#REF!</v>
      </c>
      <c r="G12" s="76" t="e">
        <f>+'[6]1er Sem coef act'!G12-'[6]1er Sem distribuido'!G12</f>
        <v>#REF!</v>
      </c>
      <c r="H12" s="76" t="e">
        <f>+'[6]1er Sem coef act'!H12-'[6]1er Sem distribuido'!H12</f>
        <v>#REF!</v>
      </c>
      <c r="I12" s="76" t="e">
        <f>+'[6]1er Sem coef act'!I12-'[6]1er Sem distribuido'!I12</f>
        <v>#REF!</v>
      </c>
      <c r="J12" s="76" t="e">
        <f>+'[6]1er Sem coef act'!J12-'[6]1er Sem distribuido'!J12</f>
        <v>#REF!</v>
      </c>
      <c r="K12" s="77" t="e">
        <f t="shared" si="0"/>
        <v>#REF!</v>
      </c>
      <c r="M12" s="19" t="s">
        <v>11</v>
      </c>
      <c r="N12" s="76">
        <v>0</v>
      </c>
      <c r="O12" s="76">
        <v>0</v>
      </c>
      <c r="P12" s="76">
        <f>(-3479361.47247573/6)</f>
        <v>-579893.57874595502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f>(-29805.267626765/6)</f>
        <v>-4967.5446044608334</v>
      </c>
      <c r="W12" s="77">
        <v>-3509166.7401024923</v>
      </c>
    </row>
    <row r="13" spans="1:23">
      <c r="A13" s="19" t="s">
        <v>12</v>
      </c>
      <c r="B13" s="76" t="e">
        <f>+'[6]1er Sem coef act'!B13-'[6]1er Sem distribuido'!B13</f>
        <v>#REF!</v>
      </c>
      <c r="C13" s="76" t="e">
        <f>+'[6]1er Sem coef act'!C13-'[6]1er Sem distribuido'!C13</f>
        <v>#REF!</v>
      </c>
      <c r="D13" s="76" t="e">
        <f>+'[6]1er Sem coef act'!D13-'[6]1er Sem distribuido'!D13</f>
        <v>#REF!</v>
      </c>
      <c r="E13" s="76" t="e">
        <f>+'[6]1er Sem coef act'!E13-'[6]1er Sem distribuido'!E13</f>
        <v>#REF!</v>
      </c>
      <c r="F13" s="76" t="e">
        <f>+'[6]1er Sem coef act'!F13-'[6]1er Sem distribuido'!F13</f>
        <v>#REF!</v>
      </c>
      <c r="G13" s="76" t="e">
        <f>+'[6]1er Sem coef act'!G13-'[6]1er Sem distribuido'!G13</f>
        <v>#REF!</v>
      </c>
      <c r="H13" s="76" t="e">
        <f>+'[6]1er Sem coef act'!H13-'[6]1er Sem distribuido'!H13</f>
        <v>#REF!</v>
      </c>
      <c r="I13" s="76" t="e">
        <f>+'[6]1er Sem coef act'!I13-'[6]1er Sem distribuido'!I13</f>
        <v>#REF!</v>
      </c>
      <c r="J13" s="76" t="e">
        <f>+'[6]1er Sem coef act'!J13-'[6]1er Sem distribuido'!J13</f>
        <v>#REF!</v>
      </c>
      <c r="K13" s="77" t="e">
        <f t="shared" si="0"/>
        <v>#REF!</v>
      </c>
      <c r="M13" s="19" t="s">
        <v>12</v>
      </c>
      <c r="N13" s="76">
        <v>0</v>
      </c>
      <c r="O13" s="76">
        <v>0</v>
      </c>
      <c r="P13" s="76">
        <f>(682103.562508308/6)</f>
        <v>113683.927084718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f>(1078.24124767451/6)</f>
        <v>179.70687461241835</v>
      </c>
      <c r="W13" s="77">
        <v>683181.80375598208</v>
      </c>
    </row>
    <row r="14" spans="1:23">
      <c r="A14" s="19" t="s">
        <v>13</v>
      </c>
      <c r="B14" s="76" t="e">
        <f>+'[6]1er Sem coef act'!B14-'[6]1er Sem distribuido'!B14</f>
        <v>#REF!</v>
      </c>
      <c r="C14" s="76" t="e">
        <f>+'[6]1er Sem coef act'!C14-'[6]1er Sem distribuido'!C14</f>
        <v>#REF!</v>
      </c>
      <c r="D14" s="76" t="e">
        <f>+'[6]1er Sem coef act'!D14-'[6]1er Sem distribuido'!D14</f>
        <v>#REF!</v>
      </c>
      <c r="E14" s="76" t="e">
        <f>+'[6]1er Sem coef act'!E14-'[6]1er Sem distribuido'!E14</f>
        <v>#REF!</v>
      </c>
      <c r="F14" s="76" t="e">
        <f>+'[6]1er Sem coef act'!F14-'[6]1er Sem distribuido'!F14</f>
        <v>#REF!</v>
      </c>
      <c r="G14" s="76" t="e">
        <f>+'[6]1er Sem coef act'!G14-'[6]1er Sem distribuido'!G14</f>
        <v>#REF!</v>
      </c>
      <c r="H14" s="76" t="e">
        <f>+'[6]1er Sem coef act'!H14-'[6]1er Sem distribuido'!H14</f>
        <v>#REF!</v>
      </c>
      <c r="I14" s="76" t="e">
        <f>+'[6]1er Sem coef act'!I14-'[6]1er Sem distribuido'!I14</f>
        <v>#REF!</v>
      </c>
      <c r="J14" s="76" t="e">
        <f>+'[6]1er Sem coef act'!J14-'[6]1er Sem distribuido'!J14</f>
        <v>#REF!</v>
      </c>
      <c r="K14" s="77" t="e">
        <f t="shared" si="0"/>
        <v>#REF!</v>
      </c>
      <c r="M14" s="19" t="s">
        <v>13</v>
      </c>
      <c r="N14" s="76">
        <v>0</v>
      </c>
      <c r="O14" s="76">
        <v>0</v>
      </c>
      <c r="P14" s="76">
        <f>(60866.6962344662/6)</f>
        <v>10144.449372411034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f>(4092.77655500022/6)</f>
        <v>682.12942583336996</v>
      </c>
      <c r="W14" s="77">
        <v>64959.472789466497</v>
      </c>
    </row>
    <row r="15" spans="1:23">
      <c r="A15" s="19" t="s">
        <v>14</v>
      </c>
      <c r="B15" s="76" t="e">
        <f>+'[6]1er Sem coef act'!B15-'[6]1er Sem distribuido'!B15</f>
        <v>#REF!</v>
      </c>
      <c r="C15" s="76" t="e">
        <f>+'[6]1er Sem coef act'!C15-'[6]1er Sem distribuido'!C15</f>
        <v>#REF!</v>
      </c>
      <c r="D15" s="76" t="e">
        <f>+'[6]1er Sem coef act'!D15-'[6]1er Sem distribuido'!D15</f>
        <v>#REF!</v>
      </c>
      <c r="E15" s="76" t="e">
        <f>+'[6]1er Sem coef act'!E15-'[6]1er Sem distribuido'!E15</f>
        <v>#REF!</v>
      </c>
      <c r="F15" s="76" t="e">
        <f>+'[6]1er Sem coef act'!F15-'[6]1er Sem distribuido'!F15</f>
        <v>#REF!</v>
      </c>
      <c r="G15" s="76" t="e">
        <f>+'[6]1er Sem coef act'!G15-'[6]1er Sem distribuido'!G15</f>
        <v>#REF!</v>
      </c>
      <c r="H15" s="76" t="e">
        <f>+'[6]1er Sem coef act'!H15-'[6]1er Sem distribuido'!H15</f>
        <v>#REF!</v>
      </c>
      <c r="I15" s="76" t="e">
        <f>+'[6]1er Sem coef act'!I15-'[6]1er Sem distribuido'!I15</f>
        <v>#REF!</v>
      </c>
      <c r="J15" s="76" t="e">
        <f>+'[6]1er Sem coef act'!J15-'[6]1er Sem distribuido'!J15</f>
        <v>#REF!</v>
      </c>
      <c r="K15" s="77" t="e">
        <f t="shared" si="0"/>
        <v>#REF!</v>
      </c>
      <c r="M15" s="19" t="s">
        <v>14</v>
      </c>
      <c r="N15" s="76">
        <v>0</v>
      </c>
      <c r="O15" s="76">
        <v>0</v>
      </c>
      <c r="P15" s="76">
        <f>(1090570.81724013/6)</f>
        <v>181761.80287335499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f>(242.682346421526/6)</f>
        <v>40.447057736921003</v>
      </c>
      <c r="W15" s="77">
        <v>1090813.4995865545</v>
      </c>
    </row>
    <row r="16" spans="1:23">
      <c r="A16" s="19" t="s">
        <v>15</v>
      </c>
      <c r="B16" s="76" t="e">
        <f>+'[6]1er Sem coef act'!B16-'[6]1er Sem distribuido'!B16</f>
        <v>#REF!</v>
      </c>
      <c r="C16" s="76" t="e">
        <f>+'[6]1er Sem coef act'!C16-'[6]1er Sem distribuido'!C16</f>
        <v>#REF!</v>
      </c>
      <c r="D16" s="76" t="e">
        <f>+'[6]1er Sem coef act'!D16-'[6]1er Sem distribuido'!D16</f>
        <v>#REF!</v>
      </c>
      <c r="E16" s="76" t="e">
        <f>+'[6]1er Sem coef act'!E16-'[6]1er Sem distribuido'!E16</f>
        <v>#REF!</v>
      </c>
      <c r="F16" s="76" t="e">
        <f>+'[6]1er Sem coef act'!F16-'[6]1er Sem distribuido'!F16</f>
        <v>#REF!</v>
      </c>
      <c r="G16" s="76" t="e">
        <f>+'[6]1er Sem coef act'!G16-'[6]1er Sem distribuido'!G16</f>
        <v>#REF!</v>
      </c>
      <c r="H16" s="76" t="e">
        <f>+'[6]1er Sem coef act'!H16-'[6]1er Sem distribuido'!H16</f>
        <v>#REF!</v>
      </c>
      <c r="I16" s="76" t="e">
        <f>+'[6]1er Sem coef act'!I16-'[6]1er Sem distribuido'!I16</f>
        <v>#REF!</v>
      </c>
      <c r="J16" s="76" t="e">
        <f>+'[6]1er Sem coef act'!J16-'[6]1er Sem distribuido'!J16</f>
        <v>#REF!</v>
      </c>
      <c r="K16" s="77" t="e">
        <f t="shared" si="0"/>
        <v>#REF!</v>
      </c>
      <c r="M16" s="19" t="s">
        <v>15</v>
      </c>
      <c r="N16" s="76">
        <v>0</v>
      </c>
      <c r="O16" s="76">
        <v>0</v>
      </c>
      <c r="P16" s="76">
        <f>(-2988106.96987732/6)</f>
        <v>-498017.82831288665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f>(-192.709598534828/6)</f>
        <v>-32.118266422471329</v>
      </c>
      <c r="W16" s="77">
        <v>-2988299.6794758555</v>
      </c>
    </row>
    <row r="17" spans="1:23">
      <c r="A17" s="19" t="s">
        <v>16</v>
      </c>
      <c r="B17" s="76" t="e">
        <f>+'[6]1er Sem coef act'!B17-'[6]1er Sem distribuido'!B17</f>
        <v>#REF!</v>
      </c>
      <c r="C17" s="76" t="e">
        <f>+'[6]1er Sem coef act'!C17-'[6]1er Sem distribuido'!C17</f>
        <v>#REF!</v>
      </c>
      <c r="D17" s="76" t="e">
        <f>+'[6]1er Sem coef act'!D17-'[6]1er Sem distribuido'!D17</f>
        <v>#REF!</v>
      </c>
      <c r="E17" s="76" t="e">
        <f>+'[6]1er Sem coef act'!E17-'[6]1er Sem distribuido'!E17</f>
        <v>#REF!</v>
      </c>
      <c r="F17" s="76" t="e">
        <f>+'[6]1er Sem coef act'!F17-'[6]1er Sem distribuido'!F17</f>
        <v>#REF!</v>
      </c>
      <c r="G17" s="76" t="e">
        <f>+'[6]1er Sem coef act'!G17-'[6]1er Sem distribuido'!G17</f>
        <v>#REF!</v>
      </c>
      <c r="H17" s="76" t="e">
        <f>+'[6]1er Sem coef act'!H17-'[6]1er Sem distribuido'!H17</f>
        <v>#REF!</v>
      </c>
      <c r="I17" s="76" t="e">
        <f>+'[6]1er Sem coef act'!I17-'[6]1er Sem distribuido'!I17</f>
        <v>#REF!</v>
      </c>
      <c r="J17" s="76" t="e">
        <f>+'[6]1er Sem coef act'!J17-'[6]1er Sem distribuido'!J17</f>
        <v>#REF!</v>
      </c>
      <c r="K17" s="77" t="e">
        <f t="shared" si="0"/>
        <v>#REF!</v>
      </c>
      <c r="M17" s="19" t="s">
        <v>16</v>
      </c>
      <c r="N17" s="76">
        <v>0</v>
      </c>
      <c r="O17" s="76">
        <v>0</v>
      </c>
      <c r="P17" s="76">
        <f>(-109788.293873443/6)</f>
        <v>-18298.048978907169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f>(688.047597858684/6)</f>
        <v>114.67459964311399</v>
      </c>
      <c r="W17" s="77">
        <v>-109100.24627558459</v>
      </c>
    </row>
    <row r="18" spans="1:23">
      <c r="A18" s="19" t="s">
        <v>17</v>
      </c>
      <c r="B18" s="76" t="e">
        <f>+'[6]1er Sem coef act'!B18-'[6]1er Sem distribuido'!B18</f>
        <v>#REF!</v>
      </c>
      <c r="C18" s="76" t="e">
        <f>+'[6]1er Sem coef act'!C18-'[6]1er Sem distribuido'!C18</f>
        <v>#REF!</v>
      </c>
      <c r="D18" s="76" t="e">
        <f>+'[6]1er Sem coef act'!D18-'[6]1er Sem distribuido'!D18</f>
        <v>#REF!</v>
      </c>
      <c r="E18" s="76" t="e">
        <f>+'[6]1er Sem coef act'!E18-'[6]1er Sem distribuido'!E18</f>
        <v>#REF!</v>
      </c>
      <c r="F18" s="76" t="e">
        <f>+'[6]1er Sem coef act'!F18-'[6]1er Sem distribuido'!F18</f>
        <v>#REF!</v>
      </c>
      <c r="G18" s="76" t="e">
        <f>+'[6]1er Sem coef act'!G18-'[6]1er Sem distribuido'!G18</f>
        <v>#REF!</v>
      </c>
      <c r="H18" s="76" t="e">
        <f>+'[6]1er Sem coef act'!H18-'[6]1er Sem distribuido'!H18</f>
        <v>#REF!</v>
      </c>
      <c r="I18" s="76" t="e">
        <f>+'[6]1er Sem coef act'!I18-'[6]1er Sem distribuido'!I18</f>
        <v>#REF!</v>
      </c>
      <c r="J18" s="76" t="e">
        <f>+'[6]1er Sem coef act'!J18-'[6]1er Sem distribuido'!J18</f>
        <v>#REF!</v>
      </c>
      <c r="K18" s="77" t="e">
        <f t="shared" si="0"/>
        <v>#REF!</v>
      </c>
      <c r="M18" s="19" t="s">
        <v>17</v>
      </c>
      <c r="N18" s="76">
        <v>0</v>
      </c>
      <c r="O18" s="76">
        <v>0</v>
      </c>
      <c r="P18" s="76">
        <f>(-1369871.77591246/6)</f>
        <v>-228311.96265207665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f>(303.989069943549/6)</f>
        <v>50.664844990591497</v>
      </c>
      <c r="W18" s="77">
        <v>-1369567.7868425178</v>
      </c>
    </row>
    <row r="19" spans="1:23">
      <c r="A19" s="19" t="s">
        <v>18</v>
      </c>
      <c r="B19" s="76" t="e">
        <f>+'[6]1er Sem coef act'!B19-'[6]1er Sem distribuido'!B19</f>
        <v>#REF!</v>
      </c>
      <c r="C19" s="76" t="e">
        <f>+'[6]1er Sem coef act'!C19-'[6]1er Sem distribuido'!C19</f>
        <v>#REF!</v>
      </c>
      <c r="D19" s="76" t="e">
        <f>+'[6]1er Sem coef act'!D19-'[6]1er Sem distribuido'!D19</f>
        <v>#REF!</v>
      </c>
      <c r="E19" s="76" t="e">
        <f>+'[6]1er Sem coef act'!E19-'[6]1er Sem distribuido'!E19</f>
        <v>#REF!</v>
      </c>
      <c r="F19" s="76" t="e">
        <f>+'[6]1er Sem coef act'!F19-'[6]1er Sem distribuido'!F19</f>
        <v>#REF!</v>
      </c>
      <c r="G19" s="76" t="e">
        <f>+'[6]1er Sem coef act'!G19-'[6]1er Sem distribuido'!G19</f>
        <v>#REF!</v>
      </c>
      <c r="H19" s="76" t="e">
        <f>+'[6]1er Sem coef act'!H19-'[6]1er Sem distribuido'!H19</f>
        <v>#REF!</v>
      </c>
      <c r="I19" s="76" t="e">
        <f>+'[6]1er Sem coef act'!I19-'[6]1er Sem distribuido'!I19</f>
        <v>#REF!</v>
      </c>
      <c r="J19" s="76" t="e">
        <f>+'[6]1er Sem coef act'!J19-'[6]1er Sem distribuido'!J19</f>
        <v>#REF!</v>
      </c>
      <c r="K19" s="77" t="e">
        <f t="shared" si="0"/>
        <v>#REF!</v>
      </c>
      <c r="M19" s="19" t="s">
        <v>18</v>
      </c>
      <c r="N19" s="76">
        <v>0</v>
      </c>
      <c r="O19" s="76">
        <v>0</v>
      </c>
      <c r="P19" s="76">
        <f>(-1480809.2618418/6)</f>
        <v>-246801.54364030002</v>
      </c>
      <c r="Q19" s="76">
        <v>1.862645149230957E-9</v>
      </c>
      <c r="R19" s="76">
        <v>0</v>
      </c>
      <c r="S19" s="76">
        <v>0</v>
      </c>
      <c r="T19" s="76">
        <v>0</v>
      </c>
      <c r="U19" s="76">
        <v>0</v>
      </c>
      <c r="V19" s="76">
        <f>(18589.2083189194/6)</f>
        <v>3098.2013864865671</v>
      </c>
      <c r="W19" s="77">
        <v>-1462220.0535228828</v>
      </c>
    </row>
    <row r="20" spans="1:23">
      <c r="A20" s="19" t="s">
        <v>19</v>
      </c>
      <c r="B20" s="76" t="e">
        <f>+'[6]1er Sem coef act'!B20-'[6]1er Sem distribuido'!B20</f>
        <v>#REF!</v>
      </c>
      <c r="C20" s="76" t="e">
        <f>+'[6]1er Sem coef act'!C20-'[6]1er Sem distribuido'!C20</f>
        <v>#REF!</v>
      </c>
      <c r="D20" s="76" t="e">
        <f>+'[6]1er Sem coef act'!D20-'[6]1er Sem distribuido'!D20</f>
        <v>#REF!</v>
      </c>
      <c r="E20" s="76" t="e">
        <f>+'[6]1er Sem coef act'!E20-'[6]1er Sem distribuido'!E20</f>
        <v>#REF!</v>
      </c>
      <c r="F20" s="76" t="e">
        <f>+'[6]1er Sem coef act'!F20-'[6]1er Sem distribuido'!F20</f>
        <v>#REF!</v>
      </c>
      <c r="G20" s="76" t="e">
        <f>+'[6]1er Sem coef act'!G20-'[6]1er Sem distribuido'!G20</f>
        <v>#REF!</v>
      </c>
      <c r="H20" s="76" t="e">
        <f>+'[6]1er Sem coef act'!H20-'[6]1er Sem distribuido'!H20</f>
        <v>#REF!</v>
      </c>
      <c r="I20" s="76" t="e">
        <f>+'[6]1er Sem coef act'!I20-'[6]1er Sem distribuido'!I20</f>
        <v>#REF!</v>
      </c>
      <c r="J20" s="76" t="e">
        <f>+'[6]1er Sem coef act'!J20-'[6]1er Sem distribuido'!J20</f>
        <v>#REF!</v>
      </c>
      <c r="K20" s="77" t="e">
        <f t="shared" si="0"/>
        <v>#REF!</v>
      </c>
      <c r="M20" s="19" t="s">
        <v>19</v>
      </c>
      <c r="N20" s="76">
        <v>0</v>
      </c>
      <c r="O20" s="76">
        <v>0</v>
      </c>
      <c r="P20" s="76">
        <f>(-959342.807652745/6)</f>
        <v>-159890.46794212417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f>(-1200.77151391748/6)</f>
        <v>-200.12858565291333</v>
      </c>
      <c r="W20" s="77">
        <v>-960543.57916666206</v>
      </c>
    </row>
    <row r="21" spans="1:23">
      <c r="A21" s="19" t="s">
        <v>20</v>
      </c>
      <c r="B21" s="76" t="e">
        <f>+'[6]1er Sem coef act'!B21-'[6]1er Sem distribuido'!B21</f>
        <v>#REF!</v>
      </c>
      <c r="C21" s="76" t="e">
        <f>+'[6]1er Sem coef act'!C21-'[6]1er Sem distribuido'!C21</f>
        <v>#REF!</v>
      </c>
      <c r="D21" s="76" t="e">
        <f>+'[6]1er Sem coef act'!D21-'[6]1er Sem distribuido'!D21</f>
        <v>#REF!</v>
      </c>
      <c r="E21" s="76" t="e">
        <f>+'[6]1er Sem coef act'!E21-'[6]1er Sem distribuido'!E21</f>
        <v>#REF!</v>
      </c>
      <c r="F21" s="76" t="e">
        <f>+'[6]1er Sem coef act'!F21-'[6]1er Sem distribuido'!F21</f>
        <v>#REF!</v>
      </c>
      <c r="G21" s="76" t="e">
        <f>+'[6]1er Sem coef act'!G21-'[6]1er Sem distribuido'!G21</f>
        <v>#REF!</v>
      </c>
      <c r="H21" s="76" t="e">
        <f>+'[6]1er Sem coef act'!H21-'[6]1er Sem distribuido'!H21</f>
        <v>#REF!</v>
      </c>
      <c r="I21" s="76" t="e">
        <f>+'[6]1er Sem coef act'!I21-'[6]1er Sem distribuido'!I21</f>
        <v>#REF!</v>
      </c>
      <c r="J21" s="76" t="e">
        <f>+'[6]1er Sem coef act'!J21-'[6]1er Sem distribuido'!J21</f>
        <v>#REF!</v>
      </c>
      <c r="K21" s="77" t="e">
        <f t="shared" si="0"/>
        <v>#REF!</v>
      </c>
      <c r="M21" s="19" t="s">
        <v>20</v>
      </c>
      <c r="N21" s="76">
        <v>0</v>
      </c>
      <c r="O21" s="76">
        <v>0</v>
      </c>
      <c r="P21" s="76">
        <f>(-807693.523463218/6)</f>
        <v>-134615.58724386967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f>(56715.5968873118/6)</f>
        <v>9452.5994812186345</v>
      </c>
      <c r="W21" s="77">
        <v>-750977.92657590564</v>
      </c>
    </row>
    <row r="22" spans="1:23">
      <c r="A22" s="19" t="s">
        <v>21</v>
      </c>
      <c r="B22" s="76" t="e">
        <f>+'[6]1er Sem coef act'!B22-'[6]1er Sem distribuido'!B22</f>
        <v>#REF!</v>
      </c>
      <c r="C22" s="76" t="e">
        <f>+'[6]1er Sem coef act'!C22-'[6]1er Sem distribuido'!C22</f>
        <v>#REF!</v>
      </c>
      <c r="D22" s="76" t="e">
        <f>+'[6]1er Sem coef act'!D22-'[6]1er Sem distribuido'!D22</f>
        <v>#REF!</v>
      </c>
      <c r="E22" s="76" t="e">
        <f>+'[6]1er Sem coef act'!E22-'[6]1er Sem distribuido'!E22</f>
        <v>#REF!</v>
      </c>
      <c r="F22" s="76" t="e">
        <f>+'[6]1er Sem coef act'!F22-'[6]1er Sem distribuido'!F22</f>
        <v>#REF!</v>
      </c>
      <c r="G22" s="76" t="e">
        <f>+'[6]1er Sem coef act'!G22-'[6]1er Sem distribuido'!G22</f>
        <v>#REF!</v>
      </c>
      <c r="H22" s="76" t="e">
        <f>+'[6]1er Sem coef act'!H22-'[6]1er Sem distribuido'!H22</f>
        <v>#REF!</v>
      </c>
      <c r="I22" s="76" t="e">
        <f>+'[6]1er Sem coef act'!I22-'[6]1er Sem distribuido'!I22</f>
        <v>#REF!</v>
      </c>
      <c r="J22" s="76" t="e">
        <f>+'[6]1er Sem coef act'!J22-'[6]1er Sem distribuido'!J22</f>
        <v>#REF!</v>
      </c>
      <c r="K22" s="77" t="e">
        <f t="shared" si="0"/>
        <v>#REF!</v>
      </c>
      <c r="M22" s="19" t="s">
        <v>21</v>
      </c>
      <c r="N22" s="76">
        <v>0</v>
      </c>
      <c r="O22" s="76">
        <v>0</v>
      </c>
      <c r="P22" s="76">
        <f>(1071515.2127784/6)</f>
        <v>178585.8687964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f>(3959.86588016426/6)</f>
        <v>659.9776466940433</v>
      </c>
      <c r="W22" s="77">
        <v>1075475.0786585598</v>
      </c>
    </row>
    <row r="23" spans="1:23">
      <c r="A23" s="19" t="s">
        <v>22</v>
      </c>
      <c r="B23" s="76" t="e">
        <f>+'[6]1er Sem coef act'!B23-'[6]1er Sem distribuido'!B23</f>
        <v>#REF!</v>
      </c>
      <c r="C23" s="76" t="e">
        <f>+'[6]1er Sem coef act'!C23-'[6]1er Sem distribuido'!C23</f>
        <v>#REF!</v>
      </c>
      <c r="D23" s="76" t="e">
        <f>+'[6]1er Sem coef act'!D23-'[6]1er Sem distribuido'!D23</f>
        <v>#REF!</v>
      </c>
      <c r="E23" s="76" t="e">
        <f>+'[6]1er Sem coef act'!E23-'[6]1er Sem distribuido'!E23</f>
        <v>#REF!</v>
      </c>
      <c r="F23" s="76" t="e">
        <f>+'[6]1er Sem coef act'!F23-'[6]1er Sem distribuido'!F23</f>
        <v>#REF!</v>
      </c>
      <c r="G23" s="76" t="e">
        <f>+'[6]1er Sem coef act'!G23-'[6]1er Sem distribuido'!G23</f>
        <v>#REF!</v>
      </c>
      <c r="H23" s="76" t="e">
        <f>+'[6]1er Sem coef act'!H23-'[6]1er Sem distribuido'!H23</f>
        <v>#REF!</v>
      </c>
      <c r="I23" s="76" t="e">
        <f>+'[6]1er Sem coef act'!I23-'[6]1er Sem distribuido'!I23</f>
        <v>#REF!</v>
      </c>
      <c r="J23" s="76" t="e">
        <f>+'[6]1er Sem coef act'!J23-'[6]1er Sem distribuido'!J23</f>
        <v>#REF!</v>
      </c>
      <c r="K23" s="77" t="e">
        <f t="shared" si="0"/>
        <v>#REF!</v>
      </c>
      <c r="M23" s="19" t="s">
        <v>22</v>
      </c>
      <c r="N23" s="76">
        <v>0</v>
      </c>
      <c r="O23" s="76">
        <v>0</v>
      </c>
      <c r="P23" s="76">
        <f>(1432506.10481819/6)</f>
        <v>238751.01746969833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f>(593.560201354827/6)</f>
        <v>98.926700225804495</v>
      </c>
      <c r="W23" s="77">
        <v>1433099.6650195441</v>
      </c>
    </row>
    <row r="24" spans="1:23">
      <c r="A24" s="19" t="s">
        <v>23</v>
      </c>
      <c r="B24" s="76" t="e">
        <f>+'[6]1er Sem coef act'!B24-'[6]1er Sem distribuido'!B24</f>
        <v>#REF!</v>
      </c>
      <c r="C24" s="76" t="e">
        <f>+'[6]1er Sem coef act'!C24-'[6]1er Sem distribuido'!C24</f>
        <v>#REF!</v>
      </c>
      <c r="D24" s="76" t="e">
        <f>+'[6]1er Sem coef act'!D24-'[6]1er Sem distribuido'!D24</f>
        <v>#REF!</v>
      </c>
      <c r="E24" s="76" t="e">
        <f>+'[6]1er Sem coef act'!E24-'[6]1er Sem distribuido'!E24</f>
        <v>#REF!</v>
      </c>
      <c r="F24" s="76" t="e">
        <f>+'[6]1er Sem coef act'!F24-'[6]1er Sem distribuido'!F24</f>
        <v>#REF!</v>
      </c>
      <c r="G24" s="76" t="e">
        <f>+'[6]1er Sem coef act'!G24-'[6]1er Sem distribuido'!G24</f>
        <v>#REF!</v>
      </c>
      <c r="H24" s="76" t="e">
        <f>+'[6]1er Sem coef act'!H24-'[6]1er Sem distribuido'!H24</f>
        <v>#REF!</v>
      </c>
      <c r="I24" s="76" t="e">
        <f>+'[6]1er Sem coef act'!I24-'[6]1er Sem distribuido'!I24</f>
        <v>#REF!</v>
      </c>
      <c r="J24" s="76" t="e">
        <f>+'[6]1er Sem coef act'!J24-'[6]1er Sem distribuido'!J24</f>
        <v>#REF!</v>
      </c>
      <c r="K24" s="77" t="e">
        <f t="shared" si="0"/>
        <v>#REF!</v>
      </c>
      <c r="M24" s="19" t="s">
        <v>23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f>(-25.4681208093243/6)</f>
        <v>-4.2446868015540504</v>
      </c>
      <c r="W24" s="77">
        <v>-25.468120809324319</v>
      </c>
    </row>
    <row r="25" spans="1:23">
      <c r="A25" s="19" t="s">
        <v>24</v>
      </c>
      <c r="B25" s="76" t="e">
        <f>+'[6]1er Sem coef act'!B25-'[6]1er Sem distribuido'!B25</f>
        <v>#REF!</v>
      </c>
      <c r="C25" s="76" t="e">
        <f>+'[6]1er Sem coef act'!C25-'[6]1er Sem distribuido'!C25</f>
        <v>#REF!</v>
      </c>
      <c r="D25" s="76" t="e">
        <f>+'[6]1er Sem coef act'!D25-'[6]1er Sem distribuido'!D25</f>
        <v>#REF!</v>
      </c>
      <c r="E25" s="76" t="e">
        <f>+'[6]1er Sem coef act'!E25-'[6]1er Sem distribuido'!E25</f>
        <v>#REF!</v>
      </c>
      <c r="F25" s="76" t="e">
        <f>+'[6]1er Sem coef act'!F25-'[6]1er Sem distribuido'!F25</f>
        <v>#REF!</v>
      </c>
      <c r="G25" s="76" t="e">
        <f>+'[6]1er Sem coef act'!G25-'[6]1er Sem distribuido'!G25</f>
        <v>#REF!</v>
      </c>
      <c r="H25" s="76" t="e">
        <f>+'[6]1er Sem coef act'!H25-'[6]1er Sem distribuido'!H25</f>
        <v>#REF!</v>
      </c>
      <c r="I25" s="76" t="e">
        <f>+'[6]1er Sem coef act'!I25-'[6]1er Sem distribuido'!I25</f>
        <v>#REF!</v>
      </c>
      <c r="J25" s="76" t="e">
        <f>+'[6]1er Sem coef act'!J25-'[6]1er Sem distribuido'!J25</f>
        <v>#REF!</v>
      </c>
      <c r="K25" s="77" t="e">
        <f t="shared" si="0"/>
        <v>#REF!</v>
      </c>
      <c r="M25" s="19" t="s">
        <v>24</v>
      </c>
      <c r="N25" s="76">
        <v>0</v>
      </c>
      <c r="O25" s="76">
        <v>0</v>
      </c>
      <c r="P25" s="76">
        <f>(470326.730116419/6)</f>
        <v>78387.788352736505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f>(-13530.9336126467/6)</f>
        <v>-2255.1556021077836</v>
      </c>
      <c r="W25" s="77">
        <v>456795.79650377249</v>
      </c>
    </row>
    <row r="26" spans="1:23">
      <c r="A26" s="19" t="s">
        <v>25</v>
      </c>
      <c r="B26" s="76" t="e">
        <f>+'[6]1er Sem coef act'!B26-'[6]1er Sem distribuido'!B26</f>
        <v>#REF!</v>
      </c>
      <c r="C26" s="76" t="e">
        <f>+'[6]1er Sem coef act'!C26-'[6]1er Sem distribuido'!C26</f>
        <v>#REF!</v>
      </c>
      <c r="D26" s="76" t="e">
        <f>+'[6]1er Sem coef act'!D26-'[6]1er Sem distribuido'!D26</f>
        <v>#REF!</v>
      </c>
      <c r="E26" s="76" t="e">
        <f>+'[6]1er Sem coef act'!E26-'[6]1er Sem distribuido'!E26</f>
        <v>#REF!</v>
      </c>
      <c r="F26" s="76" t="e">
        <f>+'[6]1er Sem coef act'!F26-'[6]1er Sem distribuido'!F26</f>
        <v>#REF!</v>
      </c>
      <c r="G26" s="76" t="e">
        <f>+'[6]1er Sem coef act'!G26-'[6]1er Sem distribuido'!G26</f>
        <v>#REF!</v>
      </c>
      <c r="H26" s="76" t="e">
        <f>+'[6]1er Sem coef act'!H26-'[6]1er Sem distribuido'!H26</f>
        <v>#REF!</v>
      </c>
      <c r="I26" s="76" t="e">
        <f>+'[6]1er Sem coef act'!I26-'[6]1er Sem distribuido'!I26</f>
        <v>#REF!</v>
      </c>
      <c r="J26" s="76" t="e">
        <f>+'[6]1er Sem coef act'!J26-'[6]1er Sem distribuido'!J26</f>
        <v>#REF!</v>
      </c>
      <c r="K26" s="77" t="e">
        <f t="shared" si="0"/>
        <v>#REF!</v>
      </c>
      <c r="M26" s="19" t="s">
        <v>25</v>
      </c>
      <c r="N26" s="76">
        <v>0</v>
      </c>
      <c r="O26" s="76">
        <v>0</v>
      </c>
      <c r="P26" s="76">
        <f>(-1275522.7794884/6)</f>
        <v>-212587.12991473335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f>(12223.2272638585/6)</f>
        <v>2037.2045439764167</v>
      </c>
      <c r="W26" s="77">
        <v>-1263299.5522245411</v>
      </c>
    </row>
    <row r="27" spans="1:23">
      <c r="A27" s="19" t="s">
        <v>243</v>
      </c>
      <c r="B27" s="76" t="e">
        <f>+'[6]1er Sem coef act'!B27-'[6]1er Sem distribuido'!B27</f>
        <v>#REF!</v>
      </c>
      <c r="C27" s="76" t="e">
        <f>+'[6]1er Sem coef act'!C27-'[6]1er Sem distribuido'!C27</f>
        <v>#REF!</v>
      </c>
      <c r="D27" s="76" t="e">
        <f>+'[6]1er Sem coef act'!D27-'[6]1er Sem distribuido'!D27</f>
        <v>#REF!</v>
      </c>
      <c r="E27" s="76" t="e">
        <f>+'[6]1er Sem coef act'!E27-'[6]1er Sem distribuido'!E27</f>
        <v>#REF!</v>
      </c>
      <c r="F27" s="76" t="e">
        <f>+'[6]1er Sem coef act'!F27-'[6]1er Sem distribuido'!F27</f>
        <v>#REF!</v>
      </c>
      <c r="G27" s="76" t="e">
        <f>+'[6]1er Sem coef act'!G27-'[6]1er Sem distribuido'!G27</f>
        <v>#REF!</v>
      </c>
      <c r="H27" s="76" t="e">
        <f>+'[6]1er Sem coef act'!H27-'[6]1er Sem distribuido'!H27</f>
        <v>#REF!</v>
      </c>
      <c r="I27" s="76" t="e">
        <f>+'[6]1er Sem coef act'!I27-'[6]1er Sem distribuido'!I27</f>
        <v>#REF!</v>
      </c>
      <c r="J27" s="76" t="e">
        <f>+'[6]1er Sem coef act'!J27-'[6]1er Sem distribuido'!J27</f>
        <v>#REF!</v>
      </c>
      <c r="K27" s="77" t="e">
        <f t="shared" si="0"/>
        <v>#REF!</v>
      </c>
      <c r="M27" s="19" t="s">
        <v>243</v>
      </c>
      <c r="N27" s="76">
        <v>0</v>
      </c>
      <c r="O27" s="76">
        <v>0</v>
      </c>
      <c r="P27" s="76">
        <f>(-108576.765660731/6)</f>
        <v>-18096.127610121835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f>(296.516061764276/6)</f>
        <v>49.419343627379334</v>
      </c>
      <c r="W27" s="77">
        <v>-108280.24959896685</v>
      </c>
    </row>
    <row r="28" spans="1:23">
      <c r="A28" s="19" t="s">
        <v>27</v>
      </c>
      <c r="B28" s="76" t="e">
        <f>+'[6]1er Sem coef act'!B28-'[6]1er Sem distribuido'!B28</f>
        <v>#REF!</v>
      </c>
      <c r="C28" s="76" t="e">
        <f>+'[6]1er Sem coef act'!C28-'[6]1er Sem distribuido'!C28</f>
        <v>#REF!</v>
      </c>
      <c r="D28" s="76" t="e">
        <f>+'[6]1er Sem coef act'!D28-'[6]1er Sem distribuido'!D28</f>
        <v>#REF!</v>
      </c>
      <c r="E28" s="76" t="e">
        <f>+'[6]1er Sem coef act'!E28-'[6]1er Sem distribuido'!E28</f>
        <v>#REF!</v>
      </c>
      <c r="F28" s="76" t="e">
        <f>+'[6]1er Sem coef act'!F28-'[6]1er Sem distribuido'!F28</f>
        <v>#REF!</v>
      </c>
      <c r="G28" s="76" t="e">
        <f>+'[6]1er Sem coef act'!G28-'[6]1er Sem distribuido'!G28</f>
        <v>#REF!</v>
      </c>
      <c r="H28" s="76" t="e">
        <f>+'[6]1er Sem coef act'!H28-'[6]1er Sem distribuido'!H28</f>
        <v>#REF!</v>
      </c>
      <c r="I28" s="76" t="e">
        <f>+'[6]1er Sem coef act'!I28-'[6]1er Sem distribuido'!I28</f>
        <v>#REF!</v>
      </c>
      <c r="J28" s="76" t="e">
        <f>+'[6]1er Sem coef act'!J28-'[6]1er Sem distribuido'!J28</f>
        <v>#REF!</v>
      </c>
      <c r="K28" s="77" t="e">
        <f t="shared" si="0"/>
        <v>#REF!</v>
      </c>
      <c r="M28" s="19" t="s">
        <v>27</v>
      </c>
      <c r="N28" s="76">
        <v>0</v>
      </c>
      <c r="O28" s="76">
        <v>0</v>
      </c>
      <c r="P28" s="76">
        <f>(-249127.188296185/6)</f>
        <v>-41521.198049364168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f>(-254.565771171387/6)</f>
        <v>-42.427628528564505</v>
      </c>
      <c r="W28" s="77">
        <v>-249381.75406735673</v>
      </c>
    </row>
    <row r="29" spans="1:23">
      <c r="A29" s="19" t="s">
        <v>28</v>
      </c>
      <c r="B29" s="76" t="e">
        <f>+'[6]1er Sem coef act'!B29-'[6]1er Sem distribuido'!B29</f>
        <v>#REF!</v>
      </c>
      <c r="C29" s="76" t="e">
        <f>+'[6]1er Sem coef act'!C29-'[6]1er Sem distribuido'!C29</f>
        <v>#REF!</v>
      </c>
      <c r="D29" s="76" t="e">
        <f>+'[6]1er Sem coef act'!D29-'[6]1er Sem distribuido'!D29</f>
        <v>#REF!</v>
      </c>
      <c r="E29" s="76" t="e">
        <f>+'[6]1er Sem coef act'!E29-'[6]1er Sem distribuido'!E29</f>
        <v>#REF!</v>
      </c>
      <c r="F29" s="76" t="e">
        <f>+'[6]1er Sem coef act'!F29-'[6]1er Sem distribuido'!F29</f>
        <v>#REF!</v>
      </c>
      <c r="G29" s="76" t="e">
        <f>+'[6]1er Sem coef act'!G29-'[6]1er Sem distribuido'!G29</f>
        <v>#REF!</v>
      </c>
      <c r="H29" s="76" t="e">
        <f>+'[6]1er Sem coef act'!H29-'[6]1er Sem distribuido'!H29</f>
        <v>#REF!</v>
      </c>
      <c r="I29" s="76" t="e">
        <f>+'[6]1er Sem coef act'!I29-'[6]1er Sem distribuido'!I29</f>
        <v>#REF!</v>
      </c>
      <c r="J29" s="76" t="e">
        <f>+'[6]1er Sem coef act'!J29-'[6]1er Sem distribuido'!J29</f>
        <v>#REF!</v>
      </c>
      <c r="K29" s="77" t="e">
        <f t="shared" si="0"/>
        <v>#REF!</v>
      </c>
      <c r="M29" s="19" t="s">
        <v>28</v>
      </c>
      <c r="N29" s="76">
        <v>0</v>
      </c>
      <c r="O29" s="76">
        <v>0</v>
      </c>
      <c r="P29" s="76">
        <f>(382808.873894416/6)</f>
        <v>63801.478982402674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f>(242.128724547001/6)</f>
        <v>40.354787424500167</v>
      </c>
      <c r="W29" s="77">
        <v>383051.00261896278</v>
      </c>
    </row>
    <row r="30" spans="1:23">
      <c r="A30" s="19" t="s">
        <v>29</v>
      </c>
      <c r="B30" s="76" t="e">
        <f>+'[6]1er Sem coef act'!B30-'[6]1er Sem distribuido'!B30</f>
        <v>#REF!</v>
      </c>
      <c r="C30" s="76" t="e">
        <f>+'[6]1er Sem coef act'!C30-'[6]1er Sem distribuido'!C30</f>
        <v>#REF!</v>
      </c>
      <c r="D30" s="76" t="e">
        <f>+'[6]1er Sem coef act'!D30-'[6]1er Sem distribuido'!D30</f>
        <v>#REF!</v>
      </c>
      <c r="E30" s="76" t="e">
        <f>+'[6]1er Sem coef act'!E30-'[6]1er Sem distribuido'!E30</f>
        <v>#REF!</v>
      </c>
      <c r="F30" s="76" t="e">
        <f>+'[6]1er Sem coef act'!F30-'[6]1er Sem distribuido'!F30</f>
        <v>#REF!</v>
      </c>
      <c r="G30" s="76" t="e">
        <f>+'[6]1er Sem coef act'!G30-'[6]1er Sem distribuido'!G30</f>
        <v>#REF!</v>
      </c>
      <c r="H30" s="76" t="e">
        <f>+'[6]1er Sem coef act'!H30-'[6]1er Sem distribuido'!H30</f>
        <v>#REF!</v>
      </c>
      <c r="I30" s="76" t="e">
        <f>+'[6]1er Sem coef act'!I30-'[6]1er Sem distribuido'!I30</f>
        <v>#REF!</v>
      </c>
      <c r="J30" s="76" t="e">
        <f>+'[6]1er Sem coef act'!J30-'[6]1er Sem distribuido'!J30</f>
        <v>#REF!</v>
      </c>
      <c r="K30" s="77" t="e">
        <f t="shared" si="0"/>
        <v>#REF!</v>
      </c>
      <c r="M30" s="19" t="s">
        <v>29</v>
      </c>
      <c r="N30" s="76">
        <v>0</v>
      </c>
      <c r="O30" s="76">
        <v>0</v>
      </c>
      <c r="P30" s="76">
        <f>(-150876.781907313/6)</f>
        <v>-25146.130317885501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f>(334.257665728218/6)</f>
        <v>55.709610954703003</v>
      </c>
      <c r="W30" s="77">
        <v>-150542.52424158482</v>
      </c>
    </row>
    <row r="31" spans="1:23">
      <c r="A31" s="19" t="s">
        <v>30</v>
      </c>
      <c r="B31" s="76" t="e">
        <f>+'[6]1er Sem coef act'!B31-'[6]1er Sem distribuido'!B31</f>
        <v>#REF!</v>
      </c>
      <c r="C31" s="76" t="e">
        <f>+'[6]1er Sem coef act'!C31-'[6]1er Sem distribuido'!C31</f>
        <v>#REF!</v>
      </c>
      <c r="D31" s="76" t="e">
        <f>+'[6]1er Sem coef act'!D31-'[6]1er Sem distribuido'!D31</f>
        <v>#REF!</v>
      </c>
      <c r="E31" s="76" t="e">
        <f>+'[6]1er Sem coef act'!E31-'[6]1er Sem distribuido'!E31</f>
        <v>#REF!</v>
      </c>
      <c r="F31" s="76" t="e">
        <f>+'[6]1er Sem coef act'!F31-'[6]1er Sem distribuido'!F31</f>
        <v>#REF!</v>
      </c>
      <c r="G31" s="76" t="e">
        <f>+'[6]1er Sem coef act'!G31-'[6]1er Sem distribuido'!G31</f>
        <v>#REF!</v>
      </c>
      <c r="H31" s="76" t="e">
        <f>+'[6]1er Sem coef act'!H31-'[6]1er Sem distribuido'!H31</f>
        <v>#REF!</v>
      </c>
      <c r="I31" s="76" t="e">
        <f>+'[6]1er Sem coef act'!I31-'[6]1er Sem distribuido'!I31</f>
        <v>#REF!</v>
      </c>
      <c r="J31" s="76" t="e">
        <f>+'[6]1er Sem coef act'!J31-'[6]1er Sem distribuido'!J31</f>
        <v>#REF!</v>
      </c>
      <c r="K31" s="77" t="e">
        <f t="shared" si="0"/>
        <v>#REF!</v>
      </c>
      <c r="M31" s="19" t="s">
        <v>30</v>
      </c>
      <c r="N31" s="76">
        <v>0</v>
      </c>
      <c r="O31" s="76">
        <v>0</v>
      </c>
      <c r="P31" s="76">
        <f>(-6383340.70245518/6)</f>
        <v>-1063890.1170758633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f>(-25.9976985053509/6)</f>
        <v>-4.3329497508918164</v>
      </c>
      <c r="W31" s="77">
        <v>-6383366.7001536889</v>
      </c>
    </row>
    <row r="32" spans="1:23">
      <c r="A32" s="19" t="s">
        <v>31</v>
      </c>
      <c r="B32" s="76" t="e">
        <f>+'[6]1er Sem coef act'!B32-'[6]1er Sem distribuido'!B32</f>
        <v>#REF!</v>
      </c>
      <c r="C32" s="76" t="e">
        <f>+'[6]1er Sem coef act'!C32-'[6]1er Sem distribuido'!C32</f>
        <v>#REF!</v>
      </c>
      <c r="D32" s="76" t="e">
        <f>+'[6]1er Sem coef act'!D32-'[6]1er Sem distribuido'!D32</f>
        <v>#REF!</v>
      </c>
      <c r="E32" s="76" t="e">
        <f>+'[6]1er Sem coef act'!E32-'[6]1er Sem distribuido'!E32</f>
        <v>#REF!</v>
      </c>
      <c r="F32" s="76" t="e">
        <f>+'[6]1er Sem coef act'!F32-'[6]1er Sem distribuido'!F32</f>
        <v>#REF!</v>
      </c>
      <c r="G32" s="76" t="e">
        <f>+'[6]1er Sem coef act'!G32-'[6]1er Sem distribuido'!G32</f>
        <v>#REF!</v>
      </c>
      <c r="H32" s="76" t="e">
        <f>+'[6]1er Sem coef act'!H32-'[6]1er Sem distribuido'!H32</f>
        <v>#REF!</v>
      </c>
      <c r="I32" s="76" t="e">
        <f>+'[6]1er Sem coef act'!I32-'[6]1er Sem distribuido'!I32</f>
        <v>#REF!</v>
      </c>
      <c r="J32" s="76" t="e">
        <f>+'[6]1er Sem coef act'!J32-'[6]1er Sem distribuido'!J32</f>
        <v>#REF!</v>
      </c>
      <c r="K32" s="77" t="e">
        <f t="shared" si="0"/>
        <v>#REF!</v>
      </c>
      <c r="M32" s="19" t="s">
        <v>31</v>
      </c>
      <c r="N32" s="76">
        <v>1.7881393432617188E-7</v>
      </c>
      <c r="O32" s="76">
        <v>2.4214386940002441E-8</v>
      </c>
      <c r="P32" s="76">
        <v>0</v>
      </c>
      <c r="Q32" s="76">
        <v>5.5879354476928711E-9</v>
      </c>
      <c r="R32" s="76">
        <v>8.3819031715393066E-9</v>
      </c>
      <c r="S32" s="76">
        <v>4.3655745685100555E-10</v>
      </c>
      <c r="T32" s="76">
        <v>3.7252902984619141E-9</v>
      </c>
      <c r="U32" s="76">
        <v>1.0477378964424133E-9</v>
      </c>
      <c r="V32" s="76">
        <f>(133500.645626245/6)</f>
        <v>22250.107604374167</v>
      </c>
      <c r="W32" s="77">
        <v>133500.64562646727</v>
      </c>
    </row>
    <row r="33" spans="1:23">
      <c r="A33" s="19" t="s">
        <v>32</v>
      </c>
      <c r="B33" s="76" t="e">
        <f>+'[6]1er Sem coef act'!B33-'[6]1er Sem distribuido'!B33</f>
        <v>#REF!</v>
      </c>
      <c r="C33" s="76" t="e">
        <f>+'[6]1er Sem coef act'!C33-'[6]1er Sem distribuido'!C33</f>
        <v>#REF!</v>
      </c>
      <c r="D33" s="76" t="e">
        <f>+'[6]1er Sem coef act'!D33-'[6]1er Sem distribuido'!D33</f>
        <v>#REF!</v>
      </c>
      <c r="E33" s="76" t="e">
        <f>+'[6]1er Sem coef act'!E33-'[6]1er Sem distribuido'!E33</f>
        <v>#REF!</v>
      </c>
      <c r="F33" s="76" t="e">
        <f>+'[6]1er Sem coef act'!F33-'[6]1er Sem distribuido'!F33</f>
        <v>#REF!</v>
      </c>
      <c r="G33" s="76" t="e">
        <f>+'[6]1er Sem coef act'!G33-'[6]1er Sem distribuido'!G33</f>
        <v>#REF!</v>
      </c>
      <c r="H33" s="76" t="e">
        <f>+'[6]1er Sem coef act'!H33-'[6]1er Sem distribuido'!H33</f>
        <v>#REF!</v>
      </c>
      <c r="I33" s="76" t="e">
        <f>+'[6]1er Sem coef act'!I33-'[6]1er Sem distribuido'!I33</f>
        <v>#REF!</v>
      </c>
      <c r="J33" s="76" t="e">
        <f>+'[6]1er Sem coef act'!J33-'[6]1er Sem distribuido'!J33</f>
        <v>#REF!</v>
      </c>
      <c r="K33" s="77" t="e">
        <f t="shared" si="0"/>
        <v>#REF!</v>
      </c>
      <c r="M33" s="19" t="s">
        <v>32</v>
      </c>
      <c r="N33" s="76">
        <v>0</v>
      </c>
      <c r="O33" s="76">
        <v>0</v>
      </c>
      <c r="P33" s="76">
        <f>(892496.657943922/6)</f>
        <v>148749.44299065365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f>(1155.72071390535/6)</f>
        <v>192.620118984225</v>
      </c>
      <c r="W33" s="77">
        <v>893652.37865782762</v>
      </c>
    </row>
    <row r="34" spans="1:23">
      <c r="A34" s="19" t="s">
        <v>33</v>
      </c>
      <c r="B34" s="76" t="e">
        <f>+'[6]1er Sem coef act'!B34-'[6]1er Sem distribuido'!B34</f>
        <v>#REF!</v>
      </c>
      <c r="C34" s="76" t="e">
        <f>+'[6]1er Sem coef act'!C34-'[6]1er Sem distribuido'!C34</f>
        <v>#REF!</v>
      </c>
      <c r="D34" s="76" t="e">
        <f>+'[6]1er Sem coef act'!D34-'[6]1er Sem distribuido'!D34</f>
        <v>#REF!</v>
      </c>
      <c r="E34" s="76" t="e">
        <f>+'[6]1er Sem coef act'!E34-'[6]1er Sem distribuido'!E34</f>
        <v>#REF!</v>
      </c>
      <c r="F34" s="76" t="e">
        <f>+'[6]1er Sem coef act'!F34-'[6]1er Sem distribuido'!F34</f>
        <v>#REF!</v>
      </c>
      <c r="G34" s="76" t="e">
        <f>+'[6]1er Sem coef act'!G34-'[6]1er Sem distribuido'!G34</f>
        <v>#REF!</v>
      </c>
      <c r="H34" s="76" t="e">
        <f>+'[6]1er Sem coef act'!H34-'[6]1er Sem distribuido'!H34</f>
        <v>#REF!</v>
      </c>
      <c r="I34" s="76" t="e">
        <f>+'[6]1er Sem coef act'!I34-'[6]1er Sem distribuido'!I34</f>
        <v>#REF!</v>
      </c>
      <c r="J34" s="76" t="e">
        <f>+'[6]1er Sem coef act'!J34-'[6]1er Sem distribuido'!J34</f>
        <v>#REF!</v>
      </c>
      <c r="K34" s="77" t="e">
        <f t="shared" si="0"/>
        <v>#REF!</v>
      </c>
      <c r="M34" s="19" t="s">
        <v>33</v>
      </c>
      <c r="N34" s="76">
        <v>0</v>
      </c>
      <c r="O34" s="76">
        <v>0</v>
      </c>
      <c r="P34" s="76">
        <f>(296599.497473006/6)</f>
        <v>49433.249578834337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f>(2303.58470982383/6)</f>
        <v>383.93078497063834</v>
      </c>
      <c r="W34" s="77">
        <v>298903.0821828302</v>
      </c>
    </row>
    <row r="35" spans="1:23">
      <c r="A35" s="19" t="s">
        <v>34</v>
      </c>
      <c r="B35" s="76" t="e">
        <f>+'[6]1er Sem coef act'!B35-'[6]1er Sem distribuido'!B35</f>
        <v>#REF!</v>
      </c>
      <c r="C35" s="76" t="e">
        <f>+'[6]1er Sem coef act'!C35-'[6]1er Sem distribuido'!C35</f>
        <v>#REF!</v>
      </c>
      <c r="D35" s="76" t="e">
        <f>+'[6]1er Sem coef act'!D35-'[6]1er Sem distribuido'!D35</f>
        <v>#REF!</v>
      </c>
      <c r="E35" s="76" t="e">
        <f>+'[6]1er Sem coef act'!E35-'[6]1er Sem distribuido'!E35</f>
        <v>#REF!</v>
      </c>
      <c r="F35" s="76" t="e">
        <f>+'[6]1er Sem coef act'!F35-'[6]1er Sem distribuido'!F35</f>
        <v>#REF!</v>
      </c>
      <c r="G35" s="76" t="e">
        <f>+'[6]1er Sem coef act'!G35-'[6]1er Sem distribuido'!G35</f>
        <v>#REF!</v>
      </c>
      <c r="H35" s="76" t="e">
        <f>+'[6]1er Sem coef act'!H35-'[6]1er Sem distribuido'!H35</f>
        <v>#REF!</v>
      </c>
      <c r="I35" s="76" t="e">
        <f>+'[6]1er Sem coef act'!I35-'[6]1er Sem distribuido'!I35</f>
        <v>#REF!</v>
      </c>
      <c r="J35" s="76" t="e">
        <f>+'[6]1er Sem coef act'!J35-'[6]1er Sem distribuido'!J35</f>
        <v>#REF!</v>
      </c>
      <c r="K35" s="77" t="e">
        <f t="shared" si="0"/>
        <v>#REF!</v>
      </c>
      <c r="M35" s="19" t="s">
        <v>34</v>
      </c>
      <c r="N35" s="76">
        <v>0</v>
      </c>
      <c r="O35" s="76">
        <v>0</v>
      </c>
      <c r="P35" s="76">
        <f>(6785661.55134465/6)</f>
        <v>1130943.5918907749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f>(5271.56100077782/6)</f>
        <v>878.5935001296366</v>
      </c>
      <c r="W35" s="77">
        <v>6790933.1123454301</v>
      </c>
    </row>
    <row r="36" spans="1:23">
      <c r="A36" s="19" t="s">
        <v>35</v>
      </c>
      <c r="B36" s="76" t="e">
        <f>+'[6]1er Sem coef act'!B36-'[6]1er Sem distribuido'!B36</f>
        <v>#REF!</v>
      </c>
      <c r="C36" s="76" t="e">
        <f>+'[6]1er Sem coef act'!C36-'[6]1er Sem distribuido'!C36</f>
        <v>#REF!</v>
      </c>
      <c r="D36" s="76" t="e">
        <f>+'[6]1er Sem coef act'!D36-'[6]1er Sem distribuido'!D36</f>
        <v>#REF!</v>
      </c>
      <c r="E36" s="76" t="e">
        <f>+'[6]1er Sem coef act'!E36-'[6]1er Sem distribuido'!E36</f>
        <v>#REF!</v>
      </c>
      <c r="F36" s="76" t="e">
        <f>+'[6]1er Sem coef act'!F36-'[6]1er Sem distribuido'!F36</f>
        <v>#REF!</v>
      </c>
      <c r="G36" s="76" t="e">
        <f>+'[6]1er Sem coef act'!G36-'[6]1er Sem distribuido'!G36</f>
        <v>#REF!</v>
      </c>
      <c r="H36" s="76" t="e">
        <f>+'[6]1er Sem coef act'!H36-'[6]1er Sem distribuido'!H36</f>
        <v>#REF!</v>
      </c>
      <c r="I36" s="76" t="e">
        <f>+'[6]1er Sem coef act'!I36-'[6]1er Sem distribuido'!I36</f>
        <v>#REF!</v>
      </c>
      <c r="J36" s="76" t="e">
        <f>+'[6]1er Sem coef act'!J36-'[6]1er Sem distribuido'!J36</f>
        <v>#REF!</v>
      </c>
      <c r="K36" s="77" t="e">
        <f t="shared" si="0"/>
        <v>#REF!</v>
      </c>
      <c r="M36" s="19" t="s">
        <v>35</v>
      </c>
      <c r="N36" s="76">
        <v>0</v>
      </c>
      <c r="O36" s="76">
        <v>0</v>
      </c>
      <c r="P36" s="76">
        <f>(-1201823.66486563/6)</f>
        <v>-200303.94414427166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f>(89.737426245978/6)</f>
        <v>14.956237707663</v>
      </c>
      <c r="W36" s="77">
        <v>-1201733.9274393835</v>
      </c>
    </row>
    <row r="37" spans="1:23">
      <c r="A37" s="19" t="s">
        <v>36</v>
      </c>
      <c r="B37" s="76" t="e">
        <f>+'[6]1er Sem coef act'!B37-'[6]1er Sem distribuido'!B37</f>
        <v>#REF!</v>
      </c>
      <c r="C37" s="76" t="e">
        <f>+'[6]1er Sem coef act'!C37-'[6]1er Sem distribuido'!C37</f>
        <v>#REF!</v>
      </c>
      <c r="D37" s="76" t="e">
        <f>+'[6]1er Sem coef act'!D37-'[6]1er Sem distribuido'!D37</f>
        <v>#REF!</v>
      </c>
      <c r="E37" s="76" t="e">
        <f>+'[6]1er Sem coef act'!E37-'[6]1er Sem distribuido'!E37</f>
        <v>#REF!</v>
      </c>
      <c r="F37" s="76" t="e">
        <f>+'[6]1er Sem coef act'!F37-'[6]1er Sem distribuido'!F37</f>
        <v>#REF!</v>
      </c>
      <c r="G37" s="76" t="e">
        <f>+'[6]1er Sem coef act'!G37-'[6]1er Sem distribuido'!G37</f>
        <v>#REF!</v>
      </c>
      <c r="H37" s="76" t="e">
        <f>+'[6]1er Sem coef act'!H37-'[6]1er Sem distribuido'!H37</f>
        <v>#REF!</v>
      </c>
      <c r="I37" s="76" t="e">
        <f>+'[6]1er Sem coef act'!I37-'[6]1er Sem distribuido'!I37</f>
        <v>#REF!</v>
      </c>
      <c r="J37" s="76" t="e">
        <f>+'[6]1er Sem coef act'!J37-'[6]1er Sem distribuido'!J37</f>
        <v>#REF!</v>
      </c>
      <c r="K37" s="77" t="e">
        <f t="shared" si="0"/>
        <v>#REF!</v>
      </c>
      <c r="M37" s="19" t="s">
        <v>36</v>
      </c>
      <c r="N37" s="76">
        <v>0</v>
      </c>
      <c r="O37" s="76">
        <v>0</v>
      </c>
      <c r="P37" s="76">
        <f>(-1268111.71812124/6)</f>
        <v>-211351.95302020665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f>(-46.4379940438084/6)</f>
        <v>-7.7396656739680667</v>
      </c>
      <c r="W37" s="77">
        <v>-1268158.1561152874</v>
      </c>
    </row>
    <row r="38" spans="1:23">
      <c r="A38" s="19" t="s">
        <v>37</v>
      </c>
      <c r="B38" s="76" t="e">
        <f>+'[6]1er Sem coef act'!B38-'[6]1er Sem distribuido'!B38</f>
        <v>#REF!</v>
      </c>
      <c r="C38" s="76" t="e">
        <f>+'[6]1er Sem coef act'!C38-'[6]1er Sem distribuido'!C38</f>
        <v>#REF!</v>
      </c>
      <c r="D38" s="76" t="e">
        <f>+'[6]1er Sem coef act'!D38-'[6]1er Sem distribuido'!D38</f>
        <v>#REF!</v>
      </c>
      <c r="E38" s="76" t="e">
        <f>+'[6]1er Sem coef act'!E38-'[6]1er Sem distribuido'!E38</f>
        <v>#REF!</v>
      </c>
      <c r="F38" s="76" t="e">
        <f>+'[6]1er Sem coef act'!F38-'[6]1er Sem distribuido'!F38</f>
        <v>#REF!</v>
      </c>
      <c r="G38" s="76" t="e">
        <f>+'[6]1er Sem coef act'!G38-'[6]1er Sem distribuido'!G38</f>
        <v>#REF!</v>
      </c>
      <c r="H38" s="76" t="e">
        <f>+'[6]1er Sem coef act'!H38-'[6]1er Sem distribuido'!H38</f>
        <v>#REF!</v>
      </c>
      <c r="I38" s="76" t="e">
        <f>+'[6]1er Sem coef act'!I38-'[6]1er Sem distribuido'!I38</f>
        <v>#REF!</v>
      </c>
      <c r="J38" s="76" t="e">
        <f>+'[6]1er Sem coef act'!J38-'[6]1er Sem distribuido'!J38</f>
        <v>#REF!</v>
      </c>
      <c r="K38" s="77" t="e">
        <f t="shared" si="0"/>
        <v>#REF!</v>
      </c>
      <c r="M38" s="19" t="s">
        <v>37</v>
      </c>
      <c r="N38" s="76">
        <v>0</v>
      </c>
      <c r="O38" s="76">
        <v>0</v>
      </c>
      <c r="P38" s="76">
        <f>(1914111.64009266/6)</f>
        <v>319018.60668211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f>(661.881573312596/6)</f>
        <v>110.31359555209933</v>
      </c>
      <c r="W38" s="77">
        <v>1914773.5216659741</v>
      </c>
    </row>
    <row r="39" spans="1:23">
      <c r="A39" s="19" t="s">
        <v>38</v>
      </c>
      <c r="B39" s="76" t="e">
        <f>+'[6]1er Sem coef act'!B39-'[6]1er Sem distribuido'!B39</f>
        <v>#REF!</v>
      </c>
      <c r="C39" s="76" t="e">
        <f>+'[6]1er Sem coef act'!C39-'[6]1er Sem distribuido'!C39</f>
        <v>#REF!</v>
      </c>
      <c r="D39" s="76" t="e">
        <f>+'[6]1er Sem coef act'!D39-'[6]1er Sem distribuido'!D39</f>
        <v>#REF!</v>
      </c>
      <c r="E39" s="76" t="e">
        <f>+'[6]1er Sem coef act'!E39-'[6]1er Sem distribuido'!E39</f>
        <v>#REF!</v>
      </c>
      <c r="F39" s="76" t="e">
        <f>+'[6]1er Sem coef act'!F39-'[6]1er Sem distribuido'!F39</f>
        <v>#REF!</v>
      </c>
      <c r="G39" s="76" t="e">
        <f>+'[6]1er Sem coef act'!G39-'[6]1er Sem distribuido'!G39</f>
        <v>#REF!</v>
      </c>
      <c r="H39" s="76" t="e">
        <f>+'[6]1er Sem coef act'!H39-'[6]1er Sem distribuido'!H39</f>
        <v>#REF!</v>
      </c>
      <c r="I39" s="76" t="e">
        <f>+'[6]1er Sem coef act'!I39-'[6]1er Sem distribuido'!I39</f>
        <v>#REF!</v>
      </c>
      <c r="J39" s="76" t="e">
        <f>+'[6]1er Sem coef act'!J39-'[6]1er Sem distribuido'!J39</f>
        <v>#REF!</v>
      </c>
      <c r="K39" s="77" t="e">
        <f t="shared" si="0"/>
        <v>#REF!</v>
      </c>
      <c r="M39" s="19" t="s">
        <v>38</v>
      </c>
      <c r="N39" s="76">
        <v>0</v>
      </c>
      <c r="O39" s="76">
        <v>0</v>
      </c>
      <c r="P39" s="76">
        <f>(-613472.165705294/6)</f>
        <v>-102245.36095088233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f>(-398.601917372317/6)</f>
        <v>-66.433652895386174</v>
      </c>
      <c r="W39" s="77">
        <v>-613870.76762266643</v>
      </c>
    </row>
    <row r="40" spans="1:23">
      <c r="A40" s="19" t="s">
        <v>39</v>
      </c>
      <c r="B40" s="76" t="e">
        <f>+'[6]1er Sem coef act'!B40-'[6]1er Sem distribuido'!B40</f>
        <v>#REF!</v>
      </c>
      <c r="C40" s="76" t="e">
        <f>+'[6]1er Sem coef act'!C40-'[6]1er Sem distribuido'!C40</f>
        <v>#REF!</v>
      </c>
      <c r="D40" s="76" t="e">
        <f>+'[6]1er Sem coef act'!D40-'[6]1er Sem distribuido'!D40</f>
        <v>#REF!</v>
      </c>
      <c r="E40" s="76" t="e">
        <f>+'[6]1er Sem coef act'!E40-'[6]1er Sem distribuido'!E40</f>
        <v>#REF!</v>
      </c>
      <c r="F40" s="76" t="e">
        <f>+'[6]1er Sem coef act'!F40-'[6]1er Sem distribuido'!F40</f>
        <v>#REF!</v>
      </c>
      <c r="G40" s="76" t="e">
        <f>+'[6]1er Sem coef act'!G40-'[6]1er Sem distribuido'!G40</f>
        <v>#REF!</v>
      </c>
      <c r="H40" s="76" t="e">
        <f>+'[6]1er Sem coef act'!H40-'[6]1er Sem distribuido'!H40</f>
        <v>#REF!</v>
      </c>
      <c r="I40" s="76" t="e">
        <f>+'[6]1er Sem coef act'!I40-'[6]1er Sem distribuido'!I40</f>
        <v>#REF!</v>
      </c>
      <c r="J40" s="76" t="e">
        <f>+'[6]1er Sem coef act'!J40-'[6]1er Sem distribuido'!J40</f>
        <v>#REF!</v>
      </c>
      <c r="K40" s="77" t="e">
        <f t="shared" si="0"/>
        <v>#REF!</v>
      </c>
      <c r="M40" s="19" t="s">
        <v>39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f>(-361341.98141193/6)</f>
        <v>-60223.663568655</v>
      </c>
      <c r="W40" s="77">
        <v>-361341.98141193017</v>
      </c>
    </row>
    <row r="41" spans="1:23">
      <c r="A41" s="19" t="s">
        <v>40</v>
      </c>
      <c r="B41" s="76" t="e">
        <f>+'[6]1er Sem coef act'!B41-'[6]1er Sem distribuido'!B41</f>
        <v>#REF!</v>
      </c>
      <c r="C41" s="76" t="e">
        <f>+'[6]1er Sem coef act'!C41-'[6]1er Sem distribuido'!C41</f>
        <v>#REF!</v>
      </c>
      <c r="D41" s="76" t="e">
        <f>+'[6]1er Sem coef act'!D41-'[6]1er Sem distribuido'!D41</f>
        <v>#REF!</v>
      </c>
      <c r="E41" s="76" t="e">
        <f>+'[6]1er Sem coef act'!E41-'[6]1er Sem distribuido'!E41</f>
        <v>#REF!</v>
      </c>
      <c r="F41" s="76" t="e">
        <f>+'[6]1er Sem coef act'!F41-'[6]1er Sem distribuido'!F41</f>
        <v>#REF!</v>
      </c>
      <c r="G41" s="76" t="e">
        <f>+'[6]1er Sem coef act'!G41-'[6]1er Sem distribuido'!G41</f>
        <v>#REF!</v>
      </c>
      <c r="H41" s="76" t="e">
        <f>+'[6]1er Sem coef act'!H41-'[6]1er Sem distribuido'!H41</f>
        <v>#REF!</v>
      </c>
      <c r="I41" s="76" t="e">
        <f>+'[6]1er Sem coef act'!I41-'[6]1er Sem distribuido'!I41</f>
        <v>#REF!</v>
      </c>
      <c r="J41" s="76" t="e">
        <f>+'[6]1er Sem coef act'!J41-'[6]1er Sem distribuido'!J41</f>
        <v>#REF!</v>
      </c>
      <c r="K41" s="77" t="e">
        <f t="shared" si="0"/>
        <v>#REF!</v>
      </c>
      <c r="M41" s="19" t="s">
        <v>40</v>
      </c>
      <c r="N41" s="76">
        <v>0</v>
      </c>
      <c r="O41" s="76">
        <v>0</v>
      </c>
      <c r="P41" s="76">
        <f>(-200664.199937313/6)</f>
        <v>-33444.033322885502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f>(-35.4534189197657/6)</f>
        <v>-5.9089031532942835</v>
      </c>
      <c r="W41" s="77">
        <v>-200699.65335623262</v>
      </c>
    </row>
    <row r="42" spans="1:23">
      <c r="A42" s="19" t="s">
        <v>41</v>
      </c>
      <c r="B42" s="76" t="e">
        <f>+'[6]1er Sem coef act'!B42-'[6]1er Sem distribuido'!B42</f>
        <v>#REF!</v>
      </c>
      <c r="C42" s="76" t="e">
        <f>+'[6]1er Sem coef act'!C42-'[6]1er Sem distribuido'!C42</f>
        <v>#REF!</v>
      </c>
      <c r="D42" s="76" t="e">
        <f>+'[6]1er Sem coef act'!D42-'[6]1er Sem distribuido'!D42</f>
        <v>#REF!</v>
      </c>
      <c r="E42" s="76" t="e">
        <f>+'[6]1er Sem coef act'!E42-'[6]1er Sem distribuido'!E42</f>
        <v>#REF!</v>
      </c>
      <c r="F42" s="76" t="e">
        <f>+'[6]1er Sem coef act'!F42-'[6]1er Sem distribuido'!F42</f>
        <v>#REF!</v>
      </c>
      <c r="G42" s="76" t="e">
        <f>+'[6]1er Sem coef act'!G42-'[6]1er Sem distribuido'!G42</f>
        <v>#REF!</v>
      </c>
      <c r="H42" s="76" t="e">
        <f>+'[6]1er Sem coef act'!H42-'[6]1er Sem distribuido'!H42</f>
        <v>#REF!</v>
      </c>
      <c r="I42" s="76" t="e">
        <f>+'[6]1er Sem coef act'!I42-'[6]1er Sem distribuido'!I42</f>
        <v>#REF!</v>
      </c>
      <c r="J42" s="76" t="e">
        <f>+'[6]1er Sem coef act'!J42-'[6]1er Sem distribuido'!J42</f>
        <v>#REF!</v>
      </c>
      <c r="K42" s="77" t="e">
        <f t="shared" si="0"/>
        <v>#REF!</v>
      </c>
      <c r="M42" s="19" t="s">
        <v>41</v>
      </c>
      <c r="N42" s="76">
        <v>0</v>
      </c>
      <c r="O42" s="76">
        <v>0</v>
      </c>
      <c r="P42" s="76">
        <f>(803418.503856068/6)</f>
        <v>133903.08397601134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f>(-5803.60305316513/6)</f>
        <v>-967.26717552752177</v>
      </c>
      <c r="W42" s="77">
        <v>797614.90080290299</v>
      </c>
    </row>
    <row r="43" spans="1:23">
      <c r="A43" s="19" t="s">
        <v>244</v>
      </c>
      <c r="B43" s="76" t="e">
        <f>+'[6]1er Sem coef act'!B43-'[6]1er Sem distribuido'!B43</f>
        <v>#REF!</v>
      </c>
      <c r="C43" s="76" t="e">
        <f>+'[6]1er Sem coef act'!C43-'[6]1er Sem distribuido'!C43</f>
        <v>#REF!</v>
      </c>
      <c r="D43" s="76" t="e">
        <f>+'[6]1er Sem coef act'!D43-'[6]1er Sem distribuido'!D43</f>
        <v>#REF!</v>
      </c>
      <c r="E43" s="76" t="e">
        <f>+'[6]1er Sem coef act'!E43-'[6]1er Sem distribuido'!E43</f>
        <v>#REF!</v>
      </c>
      <c r="F43" s="76" t="e">
        <f>+'[6]1er Sem coef act'!F43-'[6]1er Sem distribuido'!F43</f>
        <v>#REF!</v>
      </c>
      <c r="G43" s="76" t="e">
        <f>+'[6]1er Sem coef act'!G43-'[6]1er Sem distribuido'!G43</f>
        <v>#REF!</v>
      </c>
      <c r="H43" s="76" t="e">
        <f>+'[6]1er Sem coef act'!H43-'[6]1er Sem distribuido'!H43</f>
        <v>#REF!</v>
      </c>
      <c r="I43" s="76" t="e">
        <f>+'[6]1er Sem coef act'!I43-'[6]1er Sem distribuido'!I43</f>
        <v>#REF!</v>
      </c>
      <c r="J43" s="76" t="e">
        <f>+'[6]1er Sem coef act'!J43-'[6]1er Sem distribuido'!J43</f>
        <v>#REF!</v>
      </c>
      <c r="K43" s="77" t="e">
        <f t="shared" si="0"/>
        <v>#REF!</v>
      </c>
      <c r="M43" s="19" t="s">
        <v>244</v>
      </c>
      <c r="N43" s="76">
        <v>0</v>
      </c>
      <c r="O43" s="76">
        <v>0</v>
      </c>
      <c r="P43" s="76">
        <f>(2509002.63194255/6)</f>
        <v>418167.10532375838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f>(873.098942033044/6)</f>
        <v>145.51649033884067</v>
      </c>
      <c r="W43" s="77">
        <v>2509875.7308845874</v>
      </c>
    </row>
    <row r="44" spans="1:23">
      <c r="A44" s="19" t="s">
        <v>43</v>
      </c>
      <c r="B44" s="76" t="e">
        <f>+'[6]1er Sem coef act'!B44-'[6]1er Sem distribuido'!B44</f>
        <v>#REF!</v>
      </c>
      <c r="C44" s="76" t="e">
        <f>+'[6]1er Sem coef act'!C44-'[6]1er Sem distribuido'!C44</f>
        <v>#REF!</v>
      </c>
      <c r="D44" s="76" t="e">
        <f>+'[6]1er Sem coef act'!D44-'[6]1er Sem distribuido'!D44</f>
        <v>#REF!</v>
      </c>
      <c r="E44" s="76" t="e">
        <f>+'[6]1er Sem coef act'!E44-'[6]1er Sem distribuido'!E44</f>
        <v>#REF!</v>
      </c>
      <c r="F44" s="76" t="e">
        <f>+'[6]1er Sem coef act'!F44-'[6]1er Sem distribuido'!F44</f>
        <v>#REF!</v>
      </c>
      <c r="G44" s="76" t="e">
        <f>+'[6]1er Sem coef act'!G44-'[6]1er Sem distribuido'!G44</f>
        <v>#REF!</v>
      </c>
      <c r="H44" s="76" t="e">
        <f>+'[6]1er Sem coef act'!H44-'[6]1er Sem distribuido'!H44</f>
        <v>#REF!</v>
      </c>
      <c r="I44" s="76" t="e">
        <f>+'[6]1er Sem coef act'!I44-'[6]1er Sem distribuido'!I44</f>
        <v>#REF!</v>
      </c>
      <c r="J44" s="76" t="e">
        <f>+'[6]1er Sem coef act'!J44-'[6]1er Sem distribuido'!J44</f>
        <v>#REF!</v>
      </c>
      <c r="K44" s="77" t="e">
        <f t="shared" si="0"/>
        <v>#REF!</v>
      </c>
      <c r="M44" s="19" t="s">
        <v>43</v>
      </c>
      <c r="N44" s="76">
        <v>0</v>
      </c>
      <c r="O44" s="76">
        <v>0</v>
      </c>
      <c r="P44" s="76">
        <f>(-1901827.09729713/6)</f>
        <v>-316971.18288285501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f>(-137.213281752411/6)</f>
        <v>-22.8688802920685</v>
      </c>
      <c r="W44" s="77">
        <v>-1901964.3105788801</v>
      </c>
    </row>
    <row r="45" spans="1:23">
      <c r="A45" s="19" t="s">
        <v>44</v>
      </c>
      <c r="B45" s="76" t="e">
        <f>+'[6]1er Sem coef act'!B45-'[6]1er Sem distribuido'!B45</f>
        <v>#REF!</v>
      </c>
      <c r="C45" s="76" t="e">
        <f>+'[6]1er Sem coef act'!C45-'[6]1er Sem distribuido'!C45</f>
        <v>#REF!</v>
      </c>
      <c r="D45" s="76" t="e">
        <f>+'[6]1er Sem coef act'!D45-'[6]1er Sem distribuido'!D45</f>
        <v>#REF!</v>
      </c>
      <c r="E45" s="76" t="e">
        <f>+'[6]1er Sem coef act'!E45-'[6]1er Sem distribuido'!E45</f>
        <v>#REF!</v>
      </c>
      <c r="F45" s="76" t="e">
        <f>+'[6]1er Sem coef act'!F45-'[6]1er Sem distribuido'!F45</f>
        <v>#REF!</v>
      </c>
      <c r="G45" s="76" t="e">
        <f>+'[6]1er Sem coef act'!G45-'[6]1er Sem distribuido'!G45</f>
        <v>#REF!</v>
      </c>
      <c r="H45" s="76" t="e">
        <f>+'[6]1er Sem coef act'!H45-'[6]1er Sem distribuido'!H45</f>
        <v>#REF!</v>
      </c>
      <c r="I45" s="76" t="e">
        <f>+'[6]1er Sem coef act'!I45-'[6]1er Sem distribuido'!I45</f>
        <v>#REF!</v>
      </c>
      <c r="J45" s="76" t="e">
        <f>+'[6]1er Sem coef act'!J45-'[6]1er Sem distribuido'!J45</f>
        <v>#REF!</v>
      </c>
      <c r="K45" s="77" t="e">
        <f t="shared" si="0"/>
        <v>#REF!</v>
      </c>
      <c r="M45" s="19" t="s">
        <v>44</v>
      </c>
      <c r="N45" s="76">
        <v>0</v>
      </c>
      <c r="O45" s="76">
        <v>0</v>
      </c>
      <c r="P45" s="76">
        <f>(2322730.41948619/6)</f>
        <v>387121.7365810317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f>(18980.0151635638/6)</f>
        <v>3163.3358605939666</v>
      </c>
      <c r="W45" s="77">
        <v>2341710.4346497571</v>
      </c>
    </row>
    <row r="46" spans="1:23">
      <c r="A46" s="19" t="s">
        <v>45</v>
      </c>
      <c r="B46" s="76" t="e">
        <f>+'[6]1er Sem coef act'!B46-'[6]1er Sem distribuido'!B46</f>
        <v>#REF!</v>
      </c>
      <c r="C46" s="76" t="e">
        <f>+'[6]1er Sem coef act'!C46-'[6]1er Sem distribuido'!C46</f>
        <v>#REF!</v>
      </c>
      <c r="D46" s="76" t="e">
        <f>+'[6]1er Sem coef act'!D46-'[6]1er Sem distribuido'!D46</f>
        <v>#REF!</v>
      </c>
      <c r="E46" s="76" t="e">
        <f>+'[6]1er Sem coef act'!E46-'[6]1er Sem distribuido'!E46</f>
        <v>#REF!</v>
      </c>
      <c r="F46" s="76" t="e">
        <f>+'[6]1er Sem coef act'!F46-'[6]1er Sem distribuido'!F46</f>
        <v>#REF!</v>
      </c>
      <c r="G46" s="76" t="e">
        <f>+'[6]1er Sem coef act'!G46-'[6]1er Sem distribuido'!G46</f>
        <v>#REF!</v>
      </c>
      <c r="H46" s="76" t="e">
        <f>+'[6]1er Sem coef act'!H46-'[6]1er Sem distribuido'!H46</f>
        <v>#REF!</v>
      </c>
      <c r="I46" s="76" t="e">
        <f>+'[6]1er Sem coef act'!I46-'[6]1er Sem distribuido'!I46</f>
        <v>#REF!</v>
      </c>
      <c r="J46" s="76" t="e">
        <f>+'[6]1er Sem coef act'!J46-'[6]1er Sem distribuido'!J46</f>
        <v>#REF!</v>
      </c>
      <c r="K46" s="77" t="e">
        <f t="shared" si="0"/>
        <v>#REF!</v>
      </c>
      <c r="M46" s="19" t="s">
        <v>45</v>
      </c>
      <c r="N46" s="76">
        <v>0</v>
      </c>
      <c r="O46" s="76">
        <v>0</v>
      </c>
      <c r="P46" s="76">
        <f>(491765.908426725/6)</f>
        <v>81960.984737787498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f>(1297.68732325243/6)</f>
        <v>216.28122054207165</v>
      </c>
      <c r="W46" s="77">
        <v>493063.59574997704</v>
      </c>
    </row>
    <row r="47" spans="1:23">
      <c r="A47" s="19" t="s">
        <v>46</v>
      </c>
      <c r="B47" s="76" t="e">
        <f>+'[6]1er Sem coef act'!B47-'[6]1er Sem distribuido'!B47</f>
        <v>#REF!</v>
      </c>
      <c r="C47" s="76" t="e">
        <f>+'[6]1er Sem coef act'!C47-'[6]1er Sem distribuido'!C47</f>
        <v>#REF!</v>
      </c>
      <c r="D47" s="76" t="e">
        <f>+'[6]1er Sem coef act'!D47-'[6]1er Sem distribuido'!D47</f>
        <v>#REF!</v>
      </c>
      <c r="E47" s="76" t="e">
        <f>+'[6]1er Sem coef act'!E47-'[6]1er Sem distribuido'!E47</f>
        <v>#REF!</v>
      </c>
      <c r="F47" s="76" t="e">
        <f>+'[6]1er Sem coef act'!F47-'[6]1er Sem distribuido'!F47</f>
        <v>#REF!</v>
      </c>
      <c r="G47" s="76" t="e">
        <f>+'[6]1er Sem coef act'!G47-'[6]1er Sem distribuido'!G47</f>
        <v>#REF!</v>
      </c>
      <c r="H47" s="76" t="e">
        <f>+'[6]1er Sem coef act'!H47-'[6]1er Sem distribuido'!H47</f>
        <v>#REF!</v>
      </c>
      <c r="I47" s="76" t="e">
        <f>+'[6]1er Sem coef act'!I47-'[6]1er Sem distribuido'!I47</f>
        <v>#REF!</v>
      </c>
      <c r="J47" s="76" t="e">
        <f>+'[6]1er Sem coef act'!J47-'[6]1er Sem distribuido'!J47</f>
        <v>#REF!</v>
      </c>
      <c r="K47" s="77" t="e">
        <f t="shared" si="0"/>
        <v>#REF!</v>
      </c>
      <c r="M47" s="19" t="s">
        <v>46</v>
      </c>
      <c r="N47" s="76">
        <v>0</v>
      </c>
      <c r="O47" s="76">
        <v>0</v>
      </c>
      <c r="P47" s="76">
        <f>(-966795.817821407/6)</f>
        <v>-161132.63630356782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f>(-84719.1065289183/6)</f>
        <v>-14119.851088153051</v>
      </c>
      <c r="W47" s="77">
        <v>-1051514.924350325</v>
      </c>
    </row>
    <row r="48" spans="1:23">
      <c r="A48" s="19" t="s">
        <v>47</v>
      </c>
      <c r="B48" s="76" t="e">
        <f>+'[6]1er Sem coef act'!B48-'[6]1er Sem distribuido'!B48</f>
        <v>#REF!</v>
      </c>
      <c r="C48" s="76" t="e">
        <f>+'[6]1er Sem coef act'!C48-'[6]1er Sem distribuido'!C48</f>
        <v>#REF!</v>
      </c>
      <c r="D48" s="76" t="e">
        <f>+'[6]1er Sem coef act'!D48-'[6]1er Sem distribuido'!D48</f>
        <v>#REF!</v>
      </c>
      <c r="E48" s="76" t="e">
        <f>+'[6]1er Sem coef act'!E48-'[6]1er Sem distribuido'!E48</f>
        <v>#REF!</v>
      </c>
      <c r="F48" s="76" t="e">
        <f>+'[6]1er Sem coef act'!F48-'[6]1er Sem distribuido'!F48</f>
        <v>#REF!</v>
      </c>
      <c r="G48" s="76" t="e">
        <f>+'[6]1er Sem coef act'!G48-'[6]1er Sem distribuido'!G48</f>
        <v>#REF!</v>
      </c>
      <c r="H48" s="76" t="e">
        <f>+'[6]1er Sem coef act'!H48-'[6]1er Sem distribuido'!H48</f>
        <v>#REF!</v>
      </c>
      <c r="I48" s="76" t="e">
        <f>+'[6]1er Sem coef act'!I48-'[6]1er Sem distribuido'!I48</f>
        <v>#REF!</v>
      </c>
      <c r="J48" s="76" t="e">
        <f>+'[6]1er Sem coef act'!J48-'[6]1er Sem distribuido'!J48</f>
        <v>#REF!</v>
      </c>
      <c r="K48" s="77" t="e">
        <f t="shared" si="0"/>
        <v>#REF!</v>
      </c>
      <c r="M48" s="19" t="s">
        <v>47</v>
      </c>
      <c r="N48" s="76">
        <v>0</v>
      </c>
      <c r="O48" s="76">
        <v>0</v>
      </c>
      <c r="P48" s="76">
        <f>(-1175041.61003996/6)</f>
        <v>-195840.26833999332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f>(-143570.494921874/6)</f>
        <v>-23928.415820312333</v>
      </c>
      <c r="W48" s="77">
        <v>-1318612.1049618311</v>
      </c>
    </row>
    <row r="49" spans="1:23">
      <c r="A49" s="19" t="s">
        <v>48</v>
      </c>
      <c r="B49" s="76" t="e">
        <f>+'[6]1er Sem coef act'!B49-'[6]1er Sem distribuido'!B49</f>
        <v>#REF!</v>
      </c>
      <c r="C49" s="76" t="e">
        <f>+'[6]1er Sem coef act'!C49-'[6]1er Sem distribuido'!C49</f>
        <v>#REF!</v>
      </c>
      <c r="D49" s="76" t="e">
        <f>+'[6]1er Sem coef act'!D49-'[6]1er Sem distribuido'!D49</f>
        <v>#REF!</v>
      </c>
      <c r="E49" s="76" t="e">
        <f>+'[6]1er Sem coef act'!E49-'[6]1er Sem distribuido'!E49</f>
        <v>#REF!</v>
      </c>
      <c r="F49" s="76" t="e">
        <f>+'[6]1er Sem coef act'!F49-'[6]1er Sem distribuido'!F49</f>
        <v>#REF!</v>
      </c>
      <c r="G49" s="76" t="e">
        <f>+'[6]1er Sem coef act'!G49-'[6]1er Sem distribuido'!G49</f>
        <v>#REF!</v>
      </c>
      <c r="H49" s="76" t="e">
        <f>+'[6]1er Sem coef act'!H49-'[6]1er Sem distribuido'!H49</f>
        <v>#REF!</v>
      </c>
      <c r="I49" s="76" t="e">
        <f>+'[6]1er Sem coef act'!I49-'[6]1er Sem distribuido'!I49</f>
        <v>#REF!</v>
      </c>
      <c r="J49" s="76" t="e">
        <f>+'[6]1er Sem coef act'!J49-'[6]1er Sem distribuido'!J49</f>
        <v>#REF!</v>
      </c>
      <c r="K49" s="77" t="e">
        <f t="shared" si="0"/>
        <v>#REF!</v>
      </c>
      <c r="M49" s="19" t="s">
        <v>48</v>
      </c>
      <c r="N49" s="76">
        <v>0</v>
      </c>
      <c r="O49" s="76">
        <v>0</v>
      </c>
      <c r="P49" s="76">
        <f>(63467.0501398183/6)</f>
        <v>10577.841689969717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f>(33455.106748864/6)</f>
        <v>5575.8511248106661</v>
      </c>
      <c r="W49" s="77">
        <v>96922.156888682395</v>
      </c>
    </row>
    <row r="50" spans="1:23">
      <c r="A50" s="19" t="s">
        <v>49</v>
      </c>
      <c r="B50" s="76" t="e">
        <f>+'[6]1er Sem coef act'!B50-'[6]1er Sem distribuido'!B50</f>
        <v>#REF!</v>
      </c>
      <c r="C50" s="76" t="e">
        <f>+'[6]1er Sem coef act'!C50-'[6]1er Sem distribuido'!C50</f>
        <v>#REF!</v>
      </c>
      <c r="D50" s="76" t="e">
        <f>+'[6]1er Sem coef act'!D50-'[6]1er Sem distribuido'!D50</f>
        <v>#REF!</v>
      </c>
      <c r="E50" s="76" t="e">
        <f>+'[6]1er Sem coef act'!E50-'[6]1er Sem distribuido'!E50</f>
        <v>#REF!</v>
      </c>
      <c r="F50" s="76" t="e">
        <f>+'[6]1er Sem coef act'!F50-'[6]1er Sem distribuido'!F50</f>
        <v>#REF!</v>
      </c>
      <c r="G50" s="76" t="e">
        <f>+'[6]1er Sem coef act'!G50-'[6]1er Sem distribuido'!G50</f>
        <v>#REF!</v>
      </c>
      <c r="H50" s="76" t="e">
        <f>+'[6]1er Sem coef act'!H50-'[6]1er Sem distribuido'!H50</f>
        <v>#REF!</v>
      </c>
      <c r="I50" s="76" t="e">
        <f>+'[6]1er Sem coef act'!I50-'[6]1er Sem distribuido'!I50</f>
        <v>#REF!</v>
      </c>
      <c r="J50" s="76" t="e">
        <f>+'[6]1er Sem coef act'!J50-'[6]1er Sem distribuido'!J50</f>
        <v>#REF!</v>
      </c>
      <c r="K50" s="77" t="e">
        <f t="shared" si="0"/>
        <v>#REF!</v>
      </c>
      <c r="M50" s="19" t="s">
        <v>49</v>
      </c>
      <c r="N50" s="76">
        <v>1.1175870895385742E-7</v>
      </c>
      <c r="O50" s="76">
        <v>1.4901161193847656E-8</v>
      </c>
      <c r="P50" s="76">
        <f>(159662.222888435/6)</f>
        <v>26610.370481405833</v>
      </c>
      <c r="Q50" s="76">
        <v>3.0267983675003052E-9</v>
      </c>
      <c r="R50" s="76">
        <v>5.5879354476928711E-9</v>
      </c>
      <c r="S50" s="76">
        <v>2.9103830456733704E-10</v>
      </c>
      <c r="T50" s="76">
        <v>2.6775524020195007E-9</v>
      </c>
      <c r="U50" s="76">
        <v>6.6938810050487518E-10</v>
      </c>
      <c r="V50" s="76">
        <f>(63420.2308577394/6)</f>
        <v>10570.038476289899</v>
      </c>
      <c r="W50" s="77">
        <v>223082.45374631314</v>
      </c>
    </row>
    <row r="51" spans="1:23">
      <c r="A51" s="19" t="s">
        <v>50</v>
      </c>
      <c r="B51" s="76" t="e">
        <f>+'[6]1er Sem coef act'!B51-'[6]1er Sem distribuido'!B51</f>
        <v>#REF!</v>
      </c>
      <c r="C51" s="76" t="e">
        <f>+'[6]1er Sem coef act'!C51-'[6]1er Sem distribuido'!C51</f>
        <v>#REF!</v>
      </c>
      <c r="D51" s="76" t="e">
        <f>+'[6]1er Sem coef act'!D51-'[6]1er Sem distribuido'!D51</f>
        <v>#REF!</v>
      </c>
      <c r="E51" s="76" t="e">
        <f>+'[6]1er Sem coef act'!E51-'[6]1er Sem distribuido'!E51</f>
        <v>#REF!</v>
      </c>
      <c r="F51" s="76" t="e">
        <f>+'[6]1er Sem coef act'!F51-'[6]1er Sem distribuido'!F51</f>
        <v>#REF!</v>
      </c>
      <c r="G51" s="76" t="e">
        <f>+'[6]1er Sem coef act'!G51-'[6]1er Sem distribuido'!G51</f>
        <v>#REF!</v>
      </c>
      <c r="H51" s="76" t="e">
        <f>+'[6]1er Sem coef act'!H51-'[6]1er Sem distribuido'!H51</f>
        <v>#REF!</v>
      </c>
      <c r="I51" s="76" t="e">
        <f>+'[6]1er Sem coef act'!I51-'[6]1er Sem distribuido'!I51</f>
        <v>#REF!</v>
      </c>
      <c r="J51" s="76" t="e">
        <f>+'[6]1er Sem coef act'!J51-'[6]1er Sem distribuido'!J51</f>
        <v>#REF!</v>
      </c>
      <c r="K51" s="77" t="e">
        <f t="shared" si="0"/>
        <v>#REF!</v>
      </c>
      <c r="M51" s="19" t="s">
        <v>50</v>
      </c>
      <c r="N51" s="76">
        <v>0</v>
      </c>
      <c r="O51" s="76">
        <v>0</v>
      </c>
      <c r="P51" s="76">
        <f>(1307488.81273855/6)</f>
        <v>217914.80212309165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f>(381.824477292466/6)</f>
        <v>63.637412882077662</v>
      </c>
      <c r="W51" s="77">
        <v>1307870.6372158432</v>
      </c>
    </row>
    <row r="52" spans="1:23" ht="13.5" thickBot="1">
      <c r="A52" s="19" t="s">
        <v>51</v>
      </c>
      <c r="B52" s="76" t="e">
        <f>+'[6]1er Sem coef act'!B52-'[6]1er Sem distribuido'!B52</f>
        <v>#REF!</v>
      </c>
      <c r="C52" s="76" t="e">
        <f>+'[6]1er Sem coef act'!C52-'[6]1er Sem distribuido'!C52</f>
        <v>#REF!</v>
      </c>
      <c r="D52" s="76" t="e">
        <f>+'[6]1er Sem coef act'!D52-'[6]1er Sem distribuido'!D52</f>
        <v>#REF!</v>
      </c>
      <c r="E52" s="76" t="e">
        <f>+'[6]1er Sem coef act'!E52-'[6]1er Sem distribuido'!E52</f>
        <v>#REF!</v>
      </c>
      <c r="F52" s="76" t="e">
        <f>+'[6]1er Sem coef act'!F52-'[6]1er Sem distribuido'!F52</f>
        <v>#REF!</v>
      </c>
      <c r="G52" s="76" t="e">
        <f>+'[6]1er Sem coef act'!G52-'[6]1er Sem distribuido'!G52</f>
        <v>#REF!</v>
      </c>
      <c r="H52" s="76" t="e">
        <f>+'[6]1er Sem coef act'!H52-'[6]1er Sem distribuido'!H52</f>
        <v>#REF!</v>
      </c>
      <c r="I52" s="76" t="e">
        <f>+'[6]1er Sem coef act'!I52-'[6]1er Sem distribuido'!I52</f>
        <v>#REF!</v>
      </c>
      <c r="J52" s="76" t="e">
        <f>+'[6]1er Sem coef act'!J52-'[6]1er Sem distribuido'!J52</f>
        <v>#REF!</v>
      </c>
      <c r="K52" s="77" t="e">
        <f t="shared" si="0"/>
        <v>#REF!</v>
      </c>
      <c r="M52" s="19" t="s">
        <v>51</v>
      </c>
      <c r="N52" s="76">
        <v>0</v>
      </c>
      <c r="O52" s="76">
        <v>0</v>
      </c>
      <c r="P52" s="76">
        <f>(1582041.2921192/6)</f>
        <v>263673.54868653335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f>(438.447852033176/6)</f>
        <v>73.074642005529327</v>
      </c>
      <c r="W52" s="77">
        <v>1582479.7399712307</v>
      </c>
    </row>
    <row r="53" spans="1:23" ht="14.25" thickTop="1" thickBot="1">
      <c r="A53" s="20" t="s">
        <v>52</v>
      </c>
      <c r="B53" s="78" t="e">
        <f t="shared" ref="B53:E53" si="1">SUM(B2:B52)</f>
        <v>#REF!</v>
      </c>
      <c r="C53" s="78" t="e">
        <f t="shared" si="1"/>
        <v>#REF!</v>
      </c>
      <c r="D53" s="78" t="e">
        <f t="shared" si="1"/>
        <v>#REF!</v>
      </c>
      <c r="E53" s="78" t="e">
        <f t="shared" si="1"/>
        <v>#REF!</v>
      </c>
      <c r="F53" s="78" t="e">
        <f>SUM(F2:F52)</f>
        <v>#REF!</v>
      </c>
      <c r="G53" s="78" t="e">
        <f t="shared" ref="G53:K53" si="2">SUM(G2:G52)</f>
        <v>#REF!</v>
      </c>
      <c r="H53" s="78" t="e">
        <f t="shared" si="2"/>
        <v>#REF!</v>
      </c>
      <c r="I53" s="78" t="e">
        <f t="shared" si="2"/>
        <v>#REF!</v>
      </c>
      <c r="J53" s="78" t="e">
        <f t="shared" si="2"/>
        <v>#REF!</v>
      </c>
      <c r="K53" s="79" t="e">
        <f t="shared" si="2"/>
        <v>#REF!</v>
      </c>
      <c r="M53" s="20" t="s">
        <v>52</v>
      </c>
      <c r="N53" s="78">
        <f t="shared" ref="N53:Q53" si="3">SUM(N2:N52)</f>
        <v>6.4820051193237305E-7</v>
      </c>
      <c r="O53" s="78">
        <f t="shared" si="3"/>
        <v>9.9185854196548462E-8</v>
      </c>
      <c r="P53" s="78">
        <f t="shared" si="3"/>
        <v>-6.8685039877891541E-9</v>
      </c>
      <c r="Q53" s="78">
        <f t="shared" si="3"/>
        <v>2.380693331360817E-8</v>
      </c>
      <c r="R53" s="78">
        <f>SUM(R2:R52)</f>
        <v>3.5041011869907379E-8</v>
      </c>
      <c r="S53" s="78">
        <f t="shared" ref="S53:W53" si="4">SUM(S2:S52)</f>
        <v>1.8480932340025902E-9</v>
      </c>
      <c r="T53" s="78">
        <f t="shared" si="4"/>
        <v>1.5978002920746803E-8</v>
      </c>
      <c r="U53" s="78">
        <f t="shared" si="4"/>
        <v>4.1036400943994522E-9</v>
      </c>
      <c r="V53" s="78">
        <f t="shared" si="4"/>
        <v>1.697671336842177E-9</v>
      </c>
      <c r="W53" s="79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tabSelected="1" zoomScale="112" zoomScaleNormal="112" zoomScaleSheetLayoutView="100" workbookViewId="0">
      <selection sqref="A1:M1"/>
    </sheetView>
  </sheetViews>
  <sheetFormatPr baseColWidth="10" defaultColWidth="11.42578125" defaultRowHeight="12.75"/>
  <cols>
    <col min="1" max="1" width="31" style="16" customWidth="1"/>
    <col min="2" max="2" width="17.85546875" style="63" customWidth="1"/>
    <col min="3" max="4" width="14.140625" style="63" bestFit="1" customWidth="1"/>
    <col min="5" max="5" width="15.42578125" style="63" customWidth="1"/>
    <col min="6" max="7" width="14.140625" style="63" bestFit="1" customWidth="1"/>
    <col min="8" max="8" width="13.140625" style="63" bestFit="1" customWidth="1"/>
    <col min="9" max="10" width="14.140625" style="63" bestFit="1" customWidth="1"/>
    <col min="11" max="11" width="14.140625" style="63" customWidth="1"/>
    <col min="12" max="12" width="18.7109375" style="63" customWidth="1"/>
    <col min="13" max="13" width="15" style="63" bestFit="1" customWidth="1"/>
    <col min="14" max="14" width="12.5703125" style="16" bestFit="1" customWidth="1"/>
    <col min="15" max="16384" width="11.42578125" style="16"/>
  </cols>
  <sheetData>
    <row r="1" spans="1:13">
      <c r="A1" s="404" t="s">
        <v>125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13">
      <c r="A2" s="404" t="s">
        <v>147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</row>
    <row r="3" spans="1:13">
      <c r="A3" s="404" t="s">
        <v>351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</row>
    <row r="4" spans="1:13" ht="13.5" customHeight="1" thickBot="1">
      <c r="A4" s="405"/>
      <c r="B4" s="405"/>
      <c r="C4" s="405"/>
      <c r="D4" s="405"/>
      <c r="E4" s="405"/>
      <c r="F4" s="405"/>
      <c r="G4" s="405"/>
      <c r="H4" s="405"/>
      <c r="I4" s="405"/>
      <c r="J4" s="405"/>
      <c r="K4" s="315"/>
      <c r="L4" s="399"/>
      <c r="M4" s="316"/>
    </row>
    <row r="5" spans="1:13" ht="26.25" thickBot="1">
      <c r="A5" s="317" t="s">
        <v>0</v>
      </c>
      <c r="B5" s="318" t="s">
        <v>111</v>
      </c>
      <c r="C5" s="318" t="s">
        <v>149</v>
      </c>
      <c r="D5" s="318" t="s">
        <v>148</v>
      </c>
      <c r="E5" s="318" t="s">
        <v>113</v>
      </c>
      <c r="F5" s="318" t="s">
        <v>132</v>
      </c>
      <c r="G5" s="318" t="s">
        <v>145</v>
      </c>
      <c r="H5" s="318" t="s">
        <v>146</v>
      </c>
      <c r="I5" s="318" t="s">
        <v>175</v>
      </c>
      <c r="J5" s="318" t="s">
        <v>245</v>
      </c>
      <c r="K5" s="318" t="s">
        <v>246</v>
      </c>
      <c r="L5" s="318" t="s">
        <v>350</v>
      </c>
      <c r="M5" s="319" t="s">
        <v>53</v>
      </c>
    </row>
    <row r="6" spans="1:13">
      <c r="A6" s="324" t="s">
        <v>1</v>
      </c>
      <c r="B6" s="70">
        <f>ROUND('PART MES'!E$4*'CALCULO GARANTIA'!$Q7+'Ajuste 1er Sem'!O6,2)</f>
        <v>614219.80000000005</v>
      </c>
      <c r="C6" s="70">
        <f>ROUND('PART MES'!E$5*'CALCULO GARANTIA'!$Q7+'Ajuste 1er Sem'!P6,2)</f>
        <v>80771.33</v>
      </c>
      <c r="D6" s="70">
        <f>+'Art.14 Frac.III'!P5+'Ajuste 1er Sem'!Q6</f>
        <v>1038917.8335648</v>
      </c>
      <c r="E6" s="70">
        <f>ROUND('PART MES'!E$7*'CALCULO GARANTIA'!$Q7+'Ajuste 1er Sem'!R6,2)</f>
        <v>24235.85</v>
      </c>
      <c r="F6" s="70">
        <f>ROUND('PART MES'!E$8*'CALCULO GARANTIA'!$Q7+'Ajuste 1er Sem'!S6,2)</f>
        <v>18850.419999999998</v>
      </c>
      <c r="G6" s="70">
        <f>ROUND('PART MES'!E$9*'CALCULO GARANTIA'!$Q7+'Ajuste 1er Sem'!U6,2)</f>
        <v>18209.900000000001</v>
      </c>
      <c r="H6" s="70">
        <f>ROUND('PART MES'!E$10*'CALCULO GARANTIA'!$Q7+'Ajuste 1er Sem'!V6,2)</f>
        <v>4091.96</v>
      </c>
      <c r="I6" s="70">
        <f>ROUND(+'PART MES'!E$11*'COEF Art 14 F II'!L8+'Ajuste 1er Sem'!W6,2)</f>
        <v>24059</v>
      </c>
      <c r="J6" s="70">
        <f>+'ISR SEPTIEMBRE '!D7</f>
        <v>0</v>
      </c>
      <c r="K6" s="70">
        <f>+ISAI!D4+'Ajuste 1er Sem'!X6</f>
        <v>1446.279197315931</v>
      </c>
      <c r="L6" s="70">
        <f>ROUND('PART MES'!$H$4*'CALCULO GARANTIA'!Q7,2)</f>
        <v>-3479.25</v>
      </c>
      <c r="M6" s="402">
        <f>SUM(B6:L6)</f>
        <v>1821323.1227621159</v>
      </c>
    </row>
    <row r="7" spans="1:13">
      <c r="A7" s="325" t="s">
        <v>2</v>
      </c>
      <c r="B7" s="70">
        <f>ROUND('PART MES'!E$4*'CALCULO GARANTIA'!$Q8+'Ajuste 1er Sem'!O7,2)</f>
        <v>1216632.69</v>
      </c>
      <c r="C7" s="70">
        <f>ROUND('PART MES'!E$5*'CALCULO GARANTIA'!$Q8+'Ajuste 1er Sem'!P7,2)</f>
        <v>159990.01999999999</v>
      </c>
      <c r="D7" s="70">
        <f>+'Art.14 Frac.III'!P6+'Ajuste 1er Sem'!Q7</f>
        <v>89988.504009936762</v>
      </c>
      <c r="E7" s="70">
        <f>ROUND('PART MES'!E$7*'CALCULO GARANTIA'!$Q8+'Ajuste 1er Sem'!R7,2)</f>
        <v>48005.83</v>
      </c>
      <c r="F7" s="70">
        <f>ROUND('PART MES'!E$8*'CALCULO GARANTIA'!$Q8+'Ajuste 1er Sem'!S7,2)</f>
        <v>37338.49</v>
      </c>
      <c r="G7" s="70">
        <f>ROUND('PART MES'!E$9*'CALCULO GARANTIA'!$Q8+'Ajuste 1er Sem'!U7,2)</f>
        <v>36069.760000000002</v>
      </c>
      <c r="H7" s="70">
        <f>ROUND('PART MES'!E$10*'CALCULO GARANTIA'!$Q8+'Ajuste 1er Sem'!V7,2)</f>
        <v>8105.27</v>
      </c>
      <c r="I7" s="70">
        <f>ROUND(+'PART MES'!E$11*'COEF Art 14 F II'!L9+'Ajuste 1er Sem'!W7,2)</f>
        <v>7119.01</v>
      </c>
      <c r="J7" s="70">
        <f>+'ISR SEPTIEMBRE '!D8</f>
        <v>0</v>
      </c>
      <c r="K7" s="70">
        <f>+ISAI!D5+'Ajuste 1er Sem'!X7</f>
        <v>491.62104986899385</v>
      </c>
      <c r="L7" s="70">
        <f>ROUND('PART MES'!$H$4*'CALCULO GARANTIA'!Q8,2)</f>
        <v>-6891.63</v>
      </c>
      <c r="M7" s="402">
        <f t="shared" ref="M7:M56" si="0">SUM(B7:L7)</f>
        <v>1596849.565059806</v>
      </c>
    </row>
    <row r="8" spans="1:13">
      <c r="A8" s="325" t="s">
        <v>3</v>
      </c>
      <c r="B8" s="70">
        <f>ROUND('PART MES'!E$4*'CALCULO GARANTIA'!$Q9+'Ajuste 1er Sem'!O8,2)</f>
        <v>1265657</v>
      </c>
      <c r="C8" s="70">
        <f>ROUND('PART MES'!E$5*'CALCULO GARANTIA'!$Q9+'Ajuste 1er Sem'!P8,2)</f>
        <v>166436.82999999999</v>
      </c>
      <c r="D8" s="70">
        <f>+'Art.14 Frac.III'!P7+'Ajuste 1er Sem'!Q8</f>
        <v>58301.891453504548</v>
      </c>
      <c r="E8" s="70">
        <f>ROUND('PART MES'!E$7*'CALCULO GARANTIA'!$Q9+'Ajuste 1er Sem'!R8,2)</f>
        <v>49940.22</v>
      </c>
      <c r="F8" s="70">
        <f>ROUND('PART MES'!E$8*'CALCULO GARANTIA'!$Q9+'Ajuste 1er Sem'!S8,2)</f>
        <v>38843.050000000003</v>
      </c>
      <c r="G8" s="70">
        <f>ROUND('PART MES'!E$9*'CALCULO GARANTIA'!$Q9+'Ajuste 1er Sem'!U8,2)</f>
        <v>37523.199999999997</v>
      </c>
      <c r="H8" s="70">
        <f>ROUND('PART MES'!E$10*'CALCULO GARANTIA'!$Q9+'Ajuste 1er Sem'!V8,2)</f>
        <v>8431.8700000000008</v>
      </c>
      <c r="I8" s="70">
        <f>ROUND(+'PART MES'!E$11*'COEF Art 14 F II'!L10+'Ajuste 1er Sem'!W8,2)</f>
        <v>19776.71</v>
      </c>
      <c r="J8" s="70">
        <f>+'ISR SEPTIEMBRE '!D9</f>
        <v>0</v>
      </c>
      <c r="K8" s="70">
        <f>+ISAI!D6+'Ajuste 1er Sem'!X8</f>
        <v>189.62136501910447</v>
      </c>
      <c r="L8" s="70">
        <f>ROUND('PART MES'!$H$4*'CALCULO GARANTIA'!Q9,2)</f>
        <v>-7169.33</v>
      </c>
      <c r="M8" s="402">
        <f t="shared" si="0"/>
        <v>1637931.0628185237</v>
      </c>
    </row>
    <row r="9" spans="1:13">
      <c r="A9" s="325" t="s">
        <v>4</v>
      </c>
      <c r="B9" s="70">
        <f>ROUND('PART MES'!E$4*'CALCULO GARANTIA'!$Q10+'Ajuste 1er Sem'!O9,2)</f>
        <v>3500724.21</v>
      </c>
      <c r="C9" s="70">
        <f>ROUND('PART MES'!E$5*'CALCULO GARANTIA'!$Q10+'Ajuste 1er Sem'!P9,2)</f>
        <v>460353.36</v>
      </c>
      <c r="D9" s="70">
        <f>+'Art.14 Frac.III'!P8+'Ajuste 1er Sem'!Q9</f>
        <v>943787.72921700124</v>
      </c>
      <c r="E9" s="70">
        <f>ROUND('PART MES'!E$7*'CALCULO GARANTIA'!$Q10+'Ajuste 1er Sem'!R9,2)</f>
        <v>138131.38</v>
      </c>
      <c r="F9" s="70">
        <f>ROUND('PART MES'!E$8*'CALCULO GARANTIA'!$Q10+'Ajuste 1er Sem'!S9,2)</f>
        <v>107437.33</v>
      </c>
      <c r="G9" s="70">
        <f>ROUND('PART MES'!E$9*'CALCULO GARANTIA'!$Q10+'Ajuste 1er Sem'!U9,2)</f>
        <v>103786.7</v>
      </c>
      <c r="H9" s="70">
        <f>ROUND('PART MES'!E$10*'CALCULO GARANTIA'!$Q10+'Ajuste 1er Sem'!V9,2)</f>
        <v>23322.01</v>
      </c>
      <c r="I9" s="70">
        <f>ROUND(+'PART MES'!E$11*'COEF Art 14 F II'!L11+'Ajuste 1er Sem'!W9,2)</f>
        <v>102186.94</v>
      </c>
      <c r="J9" s="70">
        <f>+'ISR SEPTIEMBRE '!D10</f>
        <v>739833</v>
      </c>
      <c r="K9" s="70">
        <f>+ISAI!D7+'Ajuste 1er Sem'!X9</f>
        <v>136173.40980567608</v>
      </c>
      <c r="L9" s="70">
        <f>ROUND('PART MES'!$H$4*'CALCULO GARANTIA'!Q10,2)</f>
        <v>-19829.89</v>
      </c>
      <c r="M9" s="402">
        <f t="shared" si="0"/>
        <v>6235906.1790226772</v>
      </c>
    </row>
    <row r="10" spans="1:13">
      <c r="A10" s="325" t="s">
        <v>5</v>
      </c>
      <c r="B10" s="70">
        <f>ROUND('PART MES'!E$4*'CALCULO GARANTIA'!$Q11+'Ajuste 1er Sem'!O10,2)</f>
        <v>4421331.21</v>
      </c>
      <c r="C10" s="70">
        <f>ROUND('PART MES'!E$5*'CALCULO GARANTIA'!$Q11+'Ajuste 1er Sem'!P10,2)</f>
        <v>581415.31999999995</v>
      </c>
      <c r="D10" s="70">
        <f>+'Art.14 Frac.III'!P9+'Ajuste 1er Sem'!Q10</f>
        <v>1406923.8068546313</v>
      </c>
      <c r="E10" s="70">
        <f>ROUND('PART MES'!E$7*'CALCULO GARANTIA'!$Q11+'Ajuste 1er Sem'!R10,2)</f>
        <v>174456.65</v>
      </c>
      <c r="F10" s="70">
        <f>ROUND('PART MES'!E$8*'CALCULO GARANTIA'!$Q11+'Ajuste 1er Sem'!S10,2)</f>
        <v>135690.79</v>
      </c>
      <c r="G10" s="70">
        <f>ROUND('PART MES'!E$9*'CALCULO GARANTIA'!$Q11+'Ajuste 1er Sem'!U10,2)</f>
        <v>131080.12</v>
      </c>
      <c r="H10" s="70">
        <f>ROUND('PART MES'!E$10*'CALCULO GARANTIA'!$Q11+'Ajuste 1er Sem'!V10,2)</f>
        <v>29455.14</v>
      </c>
      <c r="I10" s="70">
        <f>ROUND(+'PART MES'!E$11*'COEF Art 14 F II'!L12+'Ajuste 1er Sem'!W10,2)</f>
        <v>65481.35</v>
      </c>
      <c r="J10" s="70">
        <f>+'ISR SEPTIEMBRE '!D11</f>
        <v>13424</v>
      </c>
      <c r="K10" s="70">
        <f>+ISAI!D8+'Ajuste 1er Sem'!X10</f>
        <v>4889.1633229823601</v>
      </c>
      <c r="L10" s="70">
        <f>ROUND('PART MES'!$H$4*'CALCULO GARANTIA'!Q11,2)</f>
        <v>-25044.67</v>
      </c>
      <c r="M10" s="402">
        <f t="shared" si="0"/>
        <v>6939102.8801776133</v>
      </c>
    </row>
    <row r="11" spans="1:13">
      <c r="A11" s="325" t="s">
        <v>6</v>
      </c>
      <c r="B11" s="70">
        <f>ROUND('PART MES'!E$4*'CALCULO GARANTIA'!$Q12+'Ajuste 1er Sem'!O11,2)</f>
        <v>30164255.359999999</v>
      </c>
      <c r="C11" s="70">
        <f>ROUND('PART MES'!E$5*'CALCULO GARANTIA'!$Q12+'Ajuste 1er Sem'!P11,2)</f>
        <v>3966669.62</v>
      </c>
      <c r="D11" s="70">
        <f>+'Art.14 Frac.III'!P10+'Ajuste 1er Sem'!Q11</f>
        <v>741641.04644542921</v>
      </c>
      <c r="E11" s="70">
        <f>ROUND('PART MES'!E$7*'CALCULO GARANTIA'!$Q12+'Ajuste 1er Sem'!R11,2)</f>
        <v>1190219.54</v>
      </c>
      <c r="F11" s="70">
        <f>ROUND('PART MES'!E$8*'CALCULO GARANTIA'!$Q12+'Ajuste 1er Sem'!S11,2)</f>
        <v>925741.89</v>
      </c>
      <c r="G11" s="70">
        <f>ROUND('PART MES'!E$9*'CALCULO GARANTIA'!$Q12+'Ajuste 1er Sem'!U11,2)</f>
        <v>894285.94</v>
      </c>
      <c r="H11" s="70">
        <f>ROUND('PART MES'!E$10*'CALCULO GARANTIA'!$Q12+'Ajuste 1er Sem'!V11,2)</f>
        <v>200955.87</v>
      </c>
      <c r="I11" s="70">
        <f>ROUND(+'PART MES'!E$11*'COEF Art 14 F II'!L13+'Ajuste 1er Sem'!W11,2)</f>
        <v>1501191.05</v>
      </c>
      <c r="J11" s="70">
        <f>+'ISR SEPTIEMBRE '!D12</f>
        <v>0</v>
      </c>
      <c r="K11" s="70">
        <f>+ISAI!D9+'Ajuste 1er Sem'!X11</f>
        <v>1136629.6710627084</v>
      </c>
      <c r="L11" s="70">
        <f>ROUND('PART MES'!$H$4*'CALCULO GARANTIA'!Q12,2)</f>
        <v>-170865.72</v>
      </c>
      <c r="M11" s="402">
        <f t="shared" si="0"/>
        <v>40550724.267508127</v>
      </c>
    </row>
    <row r="12" spans="1:13">
      <c r="A12" s="325" t="s">
        <v>7</v>
      </c>
      <c r="B12" s="70">
        <f>ROUND('PART MES'!E$4*'CALCULO GARANTIA'!$Q13+'Ajuste 1er Sem'!O12,2)</f>
        <v>5046978.1399999997</v>
      </c>
      <c r="C12" s="70">
        <f>ROUND('PART MES'!E$5*'CALCULO GARANTIA'!$Q13+'Ajuste 1er Sem'!P12,2)</f>
        <v>663689.34</v>
      </c>
      <c r="D12" s="70">
        <f>+'Art.14 Frac.III'!P11+'Ajuste 1er Sem'!Q12</f>
        <v>0</v>
      </c>
      <c r="E12" s="70">
        <f>ROUND('PART MES'!E$7*'CALCULO GARANTIA'!$Q13+'Ajuste 1er Sem'!R12,2)</f>
        <v>199143.39</v>
      </c>
      <c r="F12" s="70">
        <f>ROUND('PART MES'!E$8*'CALCULO GARANTIA'!$Q13+'Ajuste 1er Sem'!S12,2)</f>
        <v>154891.91</v>
      </c>
      <c r="G12" s="70">
        <f>ROUND('PART MES'!E$9*'CALCULO GARANTIA'!$Q13+'Ajuste 1er Sem'!U12,2)</f>
        <v>149628.81</v>
      </c>
      <c r="H12" s="70">
        <f>ROUND('PART MES'!E$10*'CALCULO GARANTIA'!$Q13+'Ajuste 1er Sem'!V12,2)</f>
        <v>33623.24</v>
      </c>
      <c r="I12" s="70">
        <f>ROUND(+'PART MES'!E$11*'COEF Art 14 F II'!L14+'Ajuste 1er Sem'!W12,2)</f>
        <v>68373.55</v>
      </c>
      <c r="J12" s="70">
        <f>+'ISR SEPTIEMBRE '!D13</f>
        <v>0</v>
      </c>
      <c r="K12" s="70">
        <f>+ISAI!D10+'Ajuste 1er Sem'!X12</f>
        <v>218.97107902716007</v>
      </c>
      <c r="L12" s="70">
        <f>ROUND('PART MES'!$H$4*'CALCULO GARANTIA'!Q13,2)</f>
        <v>-28588.66</v>
      </c>
      <c r="M12" s="402">
        <f t="shared" si="0"/>
        <v>6287958.6910790261</v>
      </c>
    </row>
    <row r="13" spans="1:13">
      <c r="A13" s="325" t="s">
        <v>8</v>
      </c>
      <c r="B13" s="70">
        <f>ROUND('PART MES'!E$4*'CALCULO GARANTIA'!$Q14+'Ajuste 1er Sem'!O13,2)</f>
        <v>802496.27</v>
      </c>
      <c r="C13" s="70">
        <f>ROUND('PART MES'!E$5*'CALCULO GARANTIA'!$Q14+'Ajuste 1er Sem'!P13,2)</f>
        <v>105530.12</v>
      </c>
      <c r="D13" s="70">
        <f>+'Art.14 Frac.III'!P12+'Ajuste 1er Sem'!Q13</f>
        <v>90330.303516334869</v>
      </c>
      <c r="E13" s="70">
        <f>ROUND('PART MES'!E$7*'CALCULO GARANTIA'!$Q14+'Ajuste 1er Sem'!R13,2)</f>
        <v>31664.85</v>
      </c>
      <c r="F13" s="70">
        <f>ROUND('PART MES'!E$8*'CALCULO GARANTIA'!$Q14+'Ajuste 1er Sem'!S13,2)</f>
        <v>24628.63</v>
      </c>
      <c r="G13" s="70">
        <f>ROUND('PART MES'!E$9*'CALCULO GARANTIA'!$Q14+'Ajuste 1er Sem'!U13,2)</f>
        <v>23791.77</v>
      </c>
      <c r="H13" s="70">
        <f>ROUND('PART MES'!E$10*'CALCULO GARANTIA'!$Q14+'Ajuste 1er Sem'!V13,2)</f>
        <v>5346.27</v>
      </c>
      <c r="I13" s="70">
        <f>ROUND(+'PART MES'!E$11*'COEF Art 14 F II'!L15+'Ajuste 1er Sem'!W13,2)</f>
        <v>9577.39</v>
      </c>
      <c r="J13" s="70">
        <f>+'ISR SEPTIEMBRE '!D14</f>
        <v>0</v>
      </c>
      <c r="K13" s="70">
        <f>+ISAI!D11+'Ajuste 1er Sem'!X13</f>
        <v>4396.2693520836747</v>
      </c>
      <c r="L13" s="70">
        <f>ROUND('PART MES'!$H$4*'CALCULO GARANTIA'!Q14,2)</f>
        <v>-4545.75</v>
      </c>
      <c r="M13" s="402">
        <f t="shared" si="0"/>
        <v>1093216.1228684182</v>
      </c>
    </row>
    <row r="14" spans="1:13">
      <c r="A14" s="325" t="s">
        <v>9</v>
      </c>
      <c r="B14" s="70">
        <f>ROUND('PART MES'!E$4*'CALCULO GARANTIA'!$Q15+'Ajuste 1er Sem'!O14,2)</f>
        <v>7976969.96</v>
      </c>
      <c r="C14" s="70">
        <f>ROUND('PART MES'!E$5*'CALCULO GARANTIA'!$Q15+'Ajuste 1er Sem'!P14,2)</f>
        <v>1048990.07</v>
      </c>
      <c r="D14" s="70">
        <f>+'Art.14 Frac.III'!P13+'Ajuste 1er Sem'!Q14</f>
        <v>169827.40617264132</v>
      </c>
      <c r="E14" s="70">
        <f>ROUND('PART MES'!E$7*'CALCULO GARANTIA'!$Q15+'Ajuste 1er Sem'!R14,2)</f>
        <v>314754.84000000003</v>
      </c>
      <c r="F14" s="70">
        <f>ROUND('PART MES'!E$8*'CALCULO GARANTIA'!$Q15+'Ajuste 1er Sem'!S14,2)</f>
        <v>244813.45</v>
      </c>
      <c r="G14" s="70">
        <f>ROUND('PART MES'!E$9*'CALCULO GARANTIA'!$Q15+'Ajuste 1er Sem'!U14,2)</f>
        <v>236494.89</v>
      </c>
      <c r="H14" s="70">
        <f>ROUND('PART MES'!E$10*'CALCULO GARANTIA'!$Q15+'Ajuste 1er Sem'!V14,2)</f>
        <v>53143</v>
      </c>
      <c r="I14" s="70">
        <f>ROUND(+'PART MES'!E$11*'COEF Art 14 F II'!L16+'Ajuste 1er Sem'!W14,2)</f>
        <v>258143.2</v>
      </c>
      <c r="J14" s="70">
        <f>+'ISR SEPTIEMBRE '!D15</f>
        <v>0</v>
      </c>
      <c r="K14" s="70">
        <f>+ISAI!D12+'Ajuste 1er Sem'!X14</f>
        <v>101058.65115377288</v>
      </c>
      <c r="L14" s="70">
        <f>ROUND('PART MES'!$H$4*'CALCULO GARANTIA'!Q15,2)</f>
        <v>-45185.62</v>
      </c>
      <c r="M14" s="402">
        <f t="shared" si="0"/>
        <v>10359009.847326413</v>
      </c>
    </row>
    <row r="15" spans="1:13">
      <c r="A15" s="325" t="s">
        <v>10</v>
      </c>
      <c r="B15" s="70">
        <f>ROUND('PART MES'!E$4*'CALCULO GARANTIA'!$Q16+'Ajuste 1er Sem'!O15,2)</f>
        <v>1325364.1000000001</v>
      </c>
      <c r="C15" s="70">
        <f>ROUND('PART MES'!E$5*'CALCULO GARANTIA'!$Q16+'Ajuste 1er Sem'!P15,2)</f>
        <v>174288.46</v>
      </c>
      <c r="D15" s="70">
        <f>+'Art.14 Frac.III'!P14+'Ajuste 1er Sem'!Q15</f>
        <v>-133109.13212427485</v>
      </c>
      <c r="E15" s="70">
        <f>ROUND('PART MES'!E$7*'CALCULO GARANTIA'!$Q16+'Ajuste 1er Sem'!R15,2)</f>
        <v>52296.14</v>
      </c>
      <c r="F15" s="70">
        <f>ROUND('PART MES'!E$8*'CALCULO GARANTIA'!$Q16+'Ajuste 1er Sem'!S15,2)</f>
        <v>40675.46</v>
      </c>
      <c r="G15" s="70">
        <f>ROUND('PART MES'!E$9*'CALCULO GARANTIA'!$Q16+'Ajuste 1er Sem'!U15,2)</f>
        <v>39293.339999999997</v>
      </c>
      <c r="H15" s="70">
        <f>ROUND('PART MES'!E$10*'CALCULO GARANTIA'!$Q16+'Ajuste 1er Sem'!V15,2)</f>
        <v>8829.65</v>
      </c>
      <c r="I15" s="70">
        <f>ROUND(+'PART MES'!E$11*'COEF Art 14 F II'!L17+'Ajuste 1er Sem'!W15,2)</f>
        <v>176341.61</v>
      </c>
      <c r="J15" s="70">
        <f>+'ISR SEPTIEMBRE '!D16</f>
        <v>351166</v>
      </c>
      <c r="K15" s="70">
        <f>+ISAI!D13+'Ajuste 1er Sem'!X15</f>
        <v>57069.367158659326</v>
      </c>
      <c r="L15" s="70">
        <f>ROUND('PART MES'!$H$4*'CALCULO GARANTIA'!Q16,2)</f>
        <v>-7507.54</v>
      </c>
      <c r="M15" s="402">
        <f t="shared" si="0"/>
        <v>2084707.455034384</v>
      </c>
    </row>
    <row r="16" spans="1:13">
      <c r="A16" s="325" t="s">
        <v>11</v>
      </c>
      <c r="B16" s="70">
        <f>ROUND('PART MES'!E$4*'CALCULO GARANTIA'!$Q17+'Ajuste 1er Sem'!O16,2)</f>
        <v>1925557.31</v>
      </c>
      <c r="C16" s="70">
        <f>ROUND('PART MES'!E$5*'CALCULO GARANTIA'!$Q17+'Ajuste 1er Sem'!P16,2)</f>
        <v>253215.26</v>
      </c>
      <c r="D16" s="70">
        <f>+'Art.14 Frac.III'!P15+'Ajuste 1er Sem'!Q16</f>
        <v>1608790.6709273392</v>
      </c>
      <c r="E16" s="70">
        <f>ROUND('PART MES'!E$7*'CALCULO GARANTIA'!$Q17+'Ajuste 1er Sem'!R16,2)</f>
        <v>75978.53</v>
      </c>
      <c r="F16" s="70">
        <f>ROUND('PART MES'!E$8*'CALCULO GARANTIA'!$Q17+'Ajuste 1er Sem'!S16,2)</f>
        <v>59095.41</v>
      </c>
      <c r="G16" s="70">
        <f>ROUND('PART MES'!E$9*'CALCULO GARANTIA'!$Q17+'Ajuste 1er Sem'!U16,2)</f>
        <v>57087.4</v>
      </c>
      <c r="H16" s="70">
        <f>ROUND('PART MES'!E$10*'CALCULO GARANTIA'!$Q17+'Ajuste 1er Sem'!V16,2)</f>
        <v>12828.17</v>
      </c>
      <c r="I16" s="70">
        <f>ROUND(+'PART MES'!E$11*'COEF Art 14 F II'!L18+'Ajuste 1er Sem'!W16,2)</f>
        <v>19738.13</v>
      </c>
      <c r="J16" s="70">
        <f>+'ISR SEPTIEMBRE '!D17</f>
        <v>0</v>
      </c>
      <c r="K16" s="70">
        <f>+ISAI!D14+'Ajuste 1er Sem'!X16</f>
        <v>3467.021655682599</v>
      </c>
      <c r="L16" s="70">
        <f>ROUND('PART MES'!$H$4*'CALCULO GARANTIA'!Q17,2)</f>
        <v>-10907.34</v>
      </c>
      <c r="M16" s="402">
        <f t="shared" si="0"/>
        <v>4004850.5625830218</v>
      </c>
    </row>
    <row r="17" spans="1:13">
      <c r="A17" s="325" t="s">
        <v>12</v>
      </c>
      <c r="B17" s="70">
        <f>ROUND('PART MES'!E$4*'CALCULO GARANTIA'!$Q18+'Ajuste 1er Sem'!O17,2)</f>
        <v>4049728.76</v>
      </c>
      <c r="C17" s="70">
        <f>ROUND('PART MES'!E$5*'CALCULO GARANTIA'!$Q18+'Ajuste 1er Sem'!P17,2)</f>
        <v>532548.73</v>
      </c>
      <c r="D17" s="70">
        <f>+'Art.14 Frac.III'!P16+'Ajuste 1er Sem'!Q17</f>
        <v>80551.010276556437</v>
      </c>
      <c r="E17" s="70">
        <f>ROUND('PART MES'!E$7*'CALCULO GARANTIA'!$Q18+'Ajuste 1er Sem'!R17,2)</f>
        <v>159793.98000000001</v>
      </c>
      <c r="F17" s="70">
        <f>ROUND('PART MES'!E$8*'CALCULO GARANTIA'!$Q18+'Ajuste 1er Sem'!S17,2)</f>
        <v>124286.3</v>
      </c>
      <c r="G17" s="70">
        <f>ROUND('PART MES'!E$9*'CALCULO GARANTIA'!$Q18+'Ajuste 1er Sem'!U17,2)</f>
        <v>120063.15</v>
      </c>
      <c r="H17" s="70">
        <f>ROUND('PART MES'!E$10*'CALCULO GARANTIA'!$Q18+'Ajuste 1er Sem'!V17,2)</f>
        <v>26979.51</v>
      </c>
      <c r="I17" s="70">
        <f>ROUND(+'PART MES'!E$11*'COEF Art 14 F II'!L19+'Ajuste 1er Sem'!W17,2)</f>
        <v>44720.19</v>
      </c>
      <c r="J17" s="70">
        <f>+'ISR SEPTIEMBRE '!D18</f>
        <v>0</v>
      </c>
      <c r="K17" s="70">
        <f>+ISAI!D15+'Ajuste 1er Sem'!X17</f>
        <v>4598.4666183834461</v>
      </c>
      <c r="L17" s="70">
        <f>ROUND('PART MES'!$H$4*'CALCULO GARANTIA'!Q18,2)</f>
        <v>-22939.73</v>
      </c>
      <c r="M17" s="402">
        <f t="shared" si="0"/>
        <v>5120330.3668949399</v>
      </c>
    </row>
    <row r="18" spans="1:13">
      <c r="A18" s="325" t="s">
        <v>13</v>
      </c>
      <c r="B18" s="70">
        <f>ROUND('PART MES'!E$4*'CALCULO GARANTIA'!$Q19+'Ajuste 1er Sem'!O18,2)</f>
        <v>2060540.68</v>
      </c>
      <c r="C18" s="70">
        <f>ROUND('PART MES'!E$5*'CALCULO GARANTIA'!$Q19+'Ajuste 1er Sem'!P18,2)</f>
        <v>270965.88</v>
      </c>
      <c r="D18" s="70">
        <f>+'Art.14 Frac.III'!P17+'Ajuste 1er Sem'!Q18</f>
        <v>109086.02920243642</v>
      </c>
      <c r="E18" s="70">
        <f>ROUND('PART MES'!E$7*'CALCULO GARANTIA'!$Q19+'Ajuste 1er Sem'!R18,2)</f>
        <v>81304.7</v>
      </c>
      <c r="F18" s="70">
        <f>ROUND('PART MES'!E$8*'CALCULO GARANTIA'!$Q19+'Ajuste 1er Sem'!S18,2)</f>
        <v>63238.05</v>
      </c>
      <c r="G18" s="70">
        <f>ROUND('PART MES'!E$9*'CALCULO GARANTIA'!$Q19+'Ajuste 1er Sem'!U18,2)</f>
        <v>61089.279999999999</v>
      </c>
      <c r="H18" s="70">
        <f>ROUND('PART MES'!E$10*'CALCULO GARANTIA'!$Q19+'Ajuste 1er Sem'!V18,2)</f>
        <v>13727.43</v>
      </c>
      <c r="I18" s="70">
        <f>ROUND(+'PART MES'!E$11*'COEF Art 14 F II'!L20+'Ajuste 1er Sem'!W18,2)</f>
        <v>133509.57</v>
      </c>
      <c r="J18" s="70">
        <f>+'ISR SEPTIEMBRE '!D19</f>
        <v>0</v>
      </c>
      <c r="K18" s="70">
        <f>+ISAI!D16+'Ajuste 1er Sem'!X18</f>
        <v>137138.46964962003</v>
      </c>
      <c r="L18" s="70">
        <f>ROUND('PART MES'!$H$4*'CALCULO GARANTIA'!Q19,2)</f>
        <v>-11671.95</v>
      </c>
      <c r="M18" s="402">
        <f t="shared" si="0"/>
        <v>2918928.1388520561</v>
      </c>
    </row>
    <row r="19" spans="1:13">
      <c r="A19" s="325" t="s">
        <v>14</v>
      </c>
      <c r="B19" s="70">
        <f>ROUND('PART MES'!E$4*'CALCULO GARANTIA'!$Q20+'Ajuste 1er Sem'!O19,2)</f>
        <v>11286349.539999999</v>
      </c>
      <c r="C19" s="70">
        <f>ROUND('PART MES'!E$5*'CALCULO GARANTIA'!$Q20+'Ajuste 1er Sem'!P19,2)</f>
        <v>1484181.17</v>
      </c>
      <c r="D19" s="70">
        <f>+'Art.14 Frac.III'!P18+'Ajuste 1er Sem'!Q19</f>
        <v>-61563.564056462186</v>
      </c>
      <c r="E19" s="70">
        <f>ROUND('PART MES'!E$7*'CALCULO GARANTIA'!$Q20+'Ajuste 1er Sem'!R19,2)</f>
        <v>445336.16</v>
      </c>
      <c r="F19" s="70">
        <f>ROUND('PART MES'!E$8*'CALCULO GARANTIA'!$Q20+'Ajuste 1er Sem'!S19,2)</f>
        <v>346378.4</v>
      </c>
      <c r="G19" s="70">
        <f>ROUND('PART MES'!E$9*'CALCULO GARANTIA'!$Q20+'Ajuste 1er Sem'!U19,2)</f>
        <v>334608.75</v>
      </c>
      <c r="H19" s="70">
        <f>ROUND('PART MES'!E$10*'CALCULO GARANTIA'!$Q20+'Ajuste 1er Sem'!V19,2)</f>
        <v>75190.259999999995</v>
      </c>
      <c r="I19" s="70">
        <f>ROUND(+'PART MES'!E$11*'COEF Art 14 F II'!L21+'Ajuste 1er Sem'!W19,2)</f>
        <v>204862.8</v>
      </c>
      <c r="J19" s="70">
        <f>+'ISR SEPTIEMBRE '!D20</f>
        <v>0</v>
      </c>
      <c r="K19" s="70">
        <f>+ISAI!D17+'Ajuste 1er Sem'!X19</f>
        <v>809.06609970641739</v>
      </c>
      <c r="L19" s="70">
        <f>ROUND('PART MES'!$H$4*'CALCULO GARANTIA'!Q20,2)</f>
        <v>-63931.64</v>
      </c>
      <c r="M19" s="402">
        <f t="shared" si="0"/>
        <v>14052220.942043245</v>
      </c>
    </row>
    <row r="20" spans="1:13">
      <c r="A20" s="325" t="s">
        <v>15</v>
      </c>
      <c r="B20" s="70">
        <f>ROUND('PART MES'!E$4*'CALCULO GARANTIA'!$Q21+'Ajuste 1er Sem'!O20,2)</f>
        <v>1440824.53</v>
      </c>
      <c r="C20" s="70">
        <f>ROUND('PART MES'!E$5*'CALCULO GARANTIA'!$Q21+'Ajuste 1er Sem'!P20,2)</f>
        <v>189471.77</v>
      </c>
      <c r="D20" s="70">
        <f>+'Art.14 Frac.III'!P19+'Ajuste 1er Sem'!Q20</f>
        <v>131307.66475569608</v>
      </c>
      <c r="E20" s="70">
        <f>ROUND('PART MES'!E$7*'CALCULO GARANTIA'!$Q21+'Ajuste 1er Sem'!R20,2)</f>
        <v>56851.98</v>
      </c>
      <c r="F20" s="70">
        <f>ROUND('PART MES'!E$8*'CALCULO GARANTIA'!$Q21+'Ajuste 1er Sem'!S20,2)</f>
        <v>44218.95</v>
      </c>
      <c r="G20" s="70">
        <f>ROUND('PART MES'!E$9*'CALCULO GARANTIA'!$Q21+'Ajuste 1er Sem'!U20,2)</f>
        <v>42716.42</v>
      </c>
      <c r="H20" s="70">
        <f>ROUND('PART MES'!E$10*'CALCULO GARANTIA'!$Q21+'Ajuste 1er Sem'!V20,2)</f>
        <v>9598.85</v>
      </c>
      <c r="I20" s="70">
        <f>ROUND(+'PART MES'!E$11*'COEF Art 14 F II'!L22+'Ajuste 1er Sem'!W20,2)</f>
        <v>-1901.15</v>
      </c>
      <c r="J20" s="70">
        <f>+'ISR SEPTIEMBRE '!D21</f>
        <v>0</v>
      </c>
      <c r="K20" s="70">
        <f>+ISAI!D18+'Ajuste 1er Sem'!X20</f>
        <v>376.99456644151218</v>
      </c>
      <c r="L20" s="70">
        <f>ROUND('PART MES'!$H$4*'CALCULO GARANTIA'!Q21,2)</f>
        <v>-8161.56</v>
      </c>
      <c r="M20" s="402">
        <f t="shared" si="0"/>
        <v>1905304.4493221377</v>
      </c>
    </row>
    <row r="21" spans="1:13">
      <c r="A21" s="325" t="s">
        <v>16</v>
      </c>
      <c r="B21" s="70">
        <f>ROUND('PART MES'!E$4*'CALCULO GARANTIA'!$Q22+'Ajuste 1er Sem'!O21,2)</f>
        <v>1003351.58</v>
      </c>
      <c r="C21" s="70">
        <f>ROUND('PART MES'!E$5*'CALCULO GARANTIA'!$Q22+'Ajuste 1er Sem'!P21,2)</f>
        <v>131943.06</v>
      </c>
      <c r="D21" s="70">
        <f>+'Art.14 Frac.III'!P20+'Ajuste 1er Sem'!Q21</f>
        <v>27486.188624307717</v>
      </c>
      <c r="E21" s="70">
        <f>ROUND('PART MES'!E$7*'CALCULO GARANTIA'!$Q22+'Ajuste 1er Sem'!R21,2)</f>
        <v>39590.19</v>
      </c>
      <c r="F21" s="70">
        <f>ROUND('PART MES'!E$8*'CALCULO GARANTIA'!$Q22+'Ajuste 1er Sem'!S21,2)</f>
        <v>30792.89</v>
      </c>
      <c r="G21" s="70">
        <f>ROUND('PART MES'!E$9*'CALCULO GARANTIA'!$Q22+'Ajuste 1er Sem'!U21,2)</f>
        <v>29746.57</v>
      </c>
      <c r="H21" s="70">
        <f>ROUND('PART MES'!E$10*'CALCULO GARANTIA'!$Q22+'Ajuste 1er Sem'!V21,2)</f>
        <v>6684.38</v>
      </c>
      <c r="I21" s="70">
        <f>ROUND(+'PART MES'!E$11*'COEF Art 14 F II'!L23+'Ajuste 1er Sem'!W21,2)</f>
        <v>21704.13</v>
      </c>
      <c r="J21" s="70">
        <f>+'ISR SEPTIEMBRE '!D22</f>
        <v>134116</v>
      </c>
      <c r="K21" s="70">
        <f>+ISAI!D19+'Ajuste 1er Sem'!X21</f>
        <v>11462.269148310243</v>
      </c>
      <c r="L21" s="70">
        <f>ROUND('PART MES'!$H$4*'CALCULO GARANTIA'!Q22,2)</f>
        <v>-5683.49</v>
      </c>
      <c r="M21" s="402">
        <f t="shared" si="0"/>
        <v>1431193.7677726175</v>
      </c>
    </row>
    <row r="22" spans="1:13">
      <c r="A22" s="325" t="s">
        <v>17</v>
      </c>
      <c r="B22" s="70">
        <f>ROUND('PART MES'!E$4*'CALCULO GARANTIA'!$Q23+'Ajuste 1er Sem'!O22,2)</f>
        <v>8799527.9800000004</v>
      </c>
      <c r="C22" s="70">
        <f>ROUND('PART MES'!E$5*'CALCULO GARANTIA'!$Q23+'Ajuste 1er Sem'!P22,2)</f>
        <v>1157158.3600000001</v>
      </c>
      <c r="D22" s="70">
        <f>+'Art.14 Frac.III'!P21+'Ajuste 1er Sem'!Q22</f>
        <v>-10135.989083967332</v>
      </c>
      <c r="E22" s="70">
        <f>ROUND('PART MES'!E$7*'CALCULO GARANTIA'!$Q23+'Ajuste 1er Sem'!R22,2)</f>
        <v>347211.29</v>
      </c>
      <c r="F22" s="70">
        <f>ROUND('PART MES'!E$8*'CALCULO GARANTIA'!$Q23+'Ajuste 1er Sem'!S22,2)</f>
        <v>270057.78000000003</v>
      </c>
      <c r="G22" s="70">
        <f>ROUND('PART MES'!E$9*'CALCULO GARANTIA'!$Q23+'Ajuste 1er Sem'!U22,2)</f>
        <v>260881.43</v>
      </c>
      <c r="H22" s="70">
        <f>ROUND('PART MES'!E$10*'CALCULO GARANTIA'!$Q23+'Ajuste 1er Sem'!V22,2)</f>
        <v>58622.92</v>
      </c>
      <c r="I22" s="70">
        <f>ROUND(+'PART MES'!E$11*'COEF Art 14 F II'!L24+'Ajuste 1er Sem'!W22,2)</f>
        <v>140703.75</v>
      </c>
      <c r="J22" s="70">
        <f>+'ISR SEPTIEMBRE '!D23</f>
        <v>1010598</v>
      </c>
      <c r="K22" s="70">
        <f>+ISAI!D20+'Ajuste 1er Sem'!X22</f>
        <v>4238.2355426916711</v>
      </c>
      <c r="L22" s="70">
        <f>ROUND('PART MES'!$H$4*'CALCULO GARANTIA'!Q23,2)</f>
        <v>-49845.01</v>
      </c>
      <c r="M22" s="402">
        <f t="shared" si="0"/>
        <v>11989018.746458722</v>
      </c>
    </row>
    <row r="23" spans="1:13">
      <c r="A23" s="325" t="s">
        <v>18</v>
      </c>
      <c r="B23" s="70">
        <f>ROUND('PART MES'!E$4*'CALCULO GARANTIA'!$Q24+'Ajuste 1er Sem'!O23,2)</f>
        <v>10792923.23</v>
      </c>
      <c r="C23" s="70">
        <f>ROUND('PART MES'!E$5*'CALCULO GARANTIA'!$Q24+'Ajuste 1er Sem'!P23,2)</f>
        <v>1419294.46</v>
      </c>
      <c r="D23" s="70">
        <f>+'Art.14 Frac.III'!P22+'Ajuste 1er Sem'!Q23</f>
        <v>239846.14800840864</v>
      </c>
      <c r="E23" s="70">
        <f>ROUND('PART MES'!E$7*'CALCULO GARANTIA'!$Q24+'Ajuste 1er Sem'!R23,2)</f>
        <v>425866.58</v>
      </c>
      <c r="F23" s="70">
        <f>ROUND('PART MES'!E$8*'CALCULO GARANTIA'!$Q24+'Ajuste 1er Sem'!S23,2)</f>
        <v>331235.13</v>
      </c>
      <c r="G23" s="70">
        <f>ROUND('PART MES'!E$9*'CALCULO GARANTIA'!$Q24+'Ajuste 1er Sem'!U23,2)</f>
        <v>319980.03999999998</v>
      </c>
      <c r="H23" s="70">
        <f>ROUND('PART MES'!E$10*'CALCULO GARANTIA'!$Q24+'Ajuste 1er Sem'!V23,2)</f>
        <v>71903.03</v>
      </c>
      <c r="I23" s="70">
        <f>ROUND(+'PART MES'!E$11*'COEF Art 14 F II'!L25+'Ajuste 1er Sem'!W23,2)</f>
        <v>761759.98</v>
      </c>
      <c r="J23" s="70">
        <f>+'ISR SEPTIEMBRE '!D24</f>
        <v>0</v>
      </c>
      <c r="K23" s="70">
        <f>+ISAI!D21+'Ajuste 1er Sem'!X23</f>
        <v>935887.11609438912</v>
      </c>
      <c r="L23" s="70">
        <f>ROUND('PART MES'!$H$4*'CALCULO GARANTIA'!Q24,2)</f>
        <v>-61136.62</v>
      </c>
      <c r="M23" s="402">
        <f t="shared" si="0"/>
        <v>15237559.0941028</v>
      </c>
    </row>
    <row r="24" spans="1:13">
      <c r="A24" s="325" t="s">
        <v>19</v>
      </c>
      <c r="B24" s="70">
        <f>ROUND('PART MES'!E$4*'CALCULO GARANTIA'!$Q25+'Ajuste 1er Sem'!O24,2)</f>
        <v>1691272.33</v>
      </c>
      <c r="C24" s="70">
        <f>ROUND('PART MES'!E$5*'CALCULO GARANTIA'!$Q25+'Ajuste 1er Sem'!P24,2)</f>
        <v>222406.24</v>
      </c>
      <c r="D24" s="70">
        <f>+'Art.14 Frac.III'!P23+'Ajuste 1er Sem'!Q24</f>
        <v>71801.186266563542</v>
      </c>
      <c r="E24" s="70">
        <f>ROUND('PART MES'!E$7*'CALCULO GARANTIA'!$Q25+'Ajuste 1er Sem'!R24,2)</f>
        <v>66734.13</v>
      </c>
      <c r="F24" s="70">
        <f>ROUND('PART MES'!E$8*'CALCULO GARANTIA'!$Q25+'Ajuste 1er Sem'!S24,2)</f>
        <v>51905.2</v>
      </c>
      <c r="G24" s="70">
        <f>ROUND('PART MES'!E$9*'CALCULO GARANTIA'!$Q25+'Ajuste 1er Sem'!U24,2)</f>
        <v>50141.5</v>
      </c>
      <c r="H24" s="70">
        <f>ROUND('PART MES'!E$10*'CALCULO GARANTIA'!$Q25+'Ajuste 1er Sem'!V24,2)</f>
        <v>11267.35</v>
      </c>
      <c r="I24" s="70">
        <f>ROUND(+'PART MES'!E$11*'COEF Art 14 F II'!L26+'Ajuste 1er Sem'!W24,2)</f>
        <v>27384.959999999999</v>
      </c>
      <c r="J24" s="70">
        <f>+'ISR SEPTIEMBRE '!D25</f>
        <v>0</v>
      </c>
      <c r="K24" s="70">
        <f>+ISAI!D22+'Ajuste 1er Sem'!X24</f>
        <v>4627.4682882075313</v>
      </c>
      <c r="L24" s="70">
        <f>ROUND('PART MES'!$H$4*'CALCULO GARANTIA'!Q25,2)</f>
        <v>-9580.23</v>
      </c>
      <c r="M24" s="402">
        <f t="shared" si="0"/>
        <v>2187960.1345547712</v>
      </c>
    </row>
    <row r="25" spans="1:13">
      <c r="A25" s="325" t="s">
        <v>20</v>
      </c>
      <c r="B25" s="70">
        <f>ROUND('PART MES'!E$4*'CALCULO GARANTIA'!$Q26+'Ajuste 1er Sem'!O25,2)</f>
        <v>23118691.800000001</v>
      </c>
      <c r="C25" s="70">
        <f>ROUND('PART MES'!E$5*'CALCULO GARANTIA'!$Q26+'Ajuste 1er Sem'!P25,2)</f>
        <v>3040161.65</v>
      </c>
      <c r="D25" s="70">
        <f>+'Art.14 Frac.III'!P24+'Ajuste 1er Sem'!Q25</f>
        <v>302587.28032894217</v>
      </c>
      <c r="E25" s="70">
        <f>ROUND('PART MES'!E$7*'CALCULO GARANTIA'!$Q26+'Ajuste 1er Sem'!R25,2)</f>
        <v>912216.08</v>
      </c>
      <c r="F25" s="70">
        <f>ROUND('PART MES'!E$8*'CALCULO GARANTIA'!$Q26+'Ajuste 1er Sem'!S25,2)</f>
        <v>709513.34</v>
      </c>
      <c r="G25" s="70">
        <f>ROUND('PART MES'!E$9*'CALCULO GARANTIA'!$Q26+'Ajuste 1er Sem'!U25,2)</f>
        <v>685404.66</v>
      </c>
      <c r="H25" s="70">
        <f>ROUND('PART MES'!E$10*'CALCULO GARANTIA'!$Q26+'Ajuste 1er Sem'!V25,2)</f>
        <v>154017.95000000001</v>
      </c>
      <c r="I25" s="70">
        <f>ROUND(+'PART MES'!E$11*'COEF Art 14 F II'!L27+'Ajuste 1er Sem'!W25,2)</f>
        <v>1000452.9</v>
      </c>
      <c r="J25" s="70">
        <f>+'ISR SEPTIEMBRE '!D26</f>
        <v>2956638</v>
      </c>
      <c r="K25" s="70">
        <f>+ISAI!D23+'Ajuste 1er Sem'!X25</f>
        <v>350372.85675446526</v>
      </c>
      <c r="L25" s="70">
        <f>ROUND('PART MES'!$H$4*'CALCULO GARANTIA'!Q26,2)</f>
        <v>-130956.06</v>
      </c>
      <c r="M25" s="402">
        <f t="shared" si="0"/>
        <v>33099100.457083404</v>
      </c>
    </row>
    <row r="26" spans="1:13">
      <c r="A26" s="325" t="s">
        <v>21</v>
      </c>
      <c r="B26" s="70">
        <f>ROUND('PART MES'!E$4*'CALCULO GARANTIA'!$Q27+'Ajuste 1er Sem'!O26,2)</f>
        <v>3413387.46</v>
      </c>
      <c r="C26" s="70">
        <f>ROUND('PART MES'!E$5*'CALCULO GARANTIA'!$Q27+'Ajuste 1er Sem'!P26,2)</f>
        <v>448868.38</v>
      </c>
      <c r="D26" s="70">
        <f>+'Art.14 Frac.III'!P25+'Ajuste 1er Sem'!Q26</f>
        <v>48851.474741521379</v>
      </c>
      <c r="E26" s="70">
        <f>ROUND('PART MES'!E$7*'CALCULO GARANTIA'!$Q27+'Ajuste 1er Sem'!R26,2)</f>
        <v>134685.26</v>
      </c>
      <c r="F26" s="70">
        <f>ROUND('PART MES'!E$8*'CALCULO GARANTIA'!$Q27+'Ajuste 1er Sem'!S26,2)</f>
        <v>104756.96</v>
      </c>
      <c r="G26" s="70">
        <f>ROUND('PART MES'!E$9*'CALCULO GARANTIA'!$Q27+'Ajuste 1er Sem'!U26,2)</f>
        <v>101197.41</v>
      </c>
      <c r="H26" s="70">
        <f>ROUND('PART MES'!E$10*'CALCULO GARANTIA'!$Q27+'Ajuste 1er Sem'!V26,2)</f>
        <v>22740.17</v>
      </c>
      <c r="I26" s="70">
        <f>ROUND(+'PART MES'!E$11*'COEF Art 14 F II'!L28+'Ajuste 1er Sem'!W26,2)</f>
        <v>56176.09</v>
      </c>
      <c r="J26" s="70">
        <f>+'ISR SEPTIEMBRE '!D27</f>
        <v>340054</v>
      </c>
      <c r="K26" s="70">
        <f>+ISAI!D24+'Ajuste 1er Sem'!X26</f>
        <v>8588.8493591338156</v>
      </c>
      <c r="L26" s="70">
        <f>ROUND('PART MES'!$H$4*'CALCULO GARANTIA'!Q27,2)</f>
        <v>-19335.169999999998</v>
      </c>
      <c r="M26" s="402">
        <f t="shared" si="0"/>
        <v>4659970.8841006551</v>
      </c>
    </row>
    <row r="27" spans="1:13">
      <c r="A27" s="325" t="s">
        <v>22</v>
      </c>
      <c r="B27" s="70">
        <f>ROUND('PART MES'!E$4*'CALCULO GARANTIA'!$Q28+'Ajuste 1er Sem'!O27,2)</f>
        <v>547508.80000000005</v>
      </c>
      <c r="C27" s="70">
        <f>ROUND('PART MES'!E$5*'CALCULO GARANTIA'!$Q28+'Ajuste 1er Sem'!P27,2)</f>
        <v>71998.679999999993</v>
      </c>
      <c r="D27" s="70">
        <f>+'Art.14 Frac.III'!P26+'Ajuste 1er Sem'!Q27</f>
        <v>-53462.297681735072</v>
      </c>
      <c r="E27" s="70">
        <f>ROUND('PART MES'!E$7*'CALCULO GARANTIA'!$Q28+'Ajuste 1er Sem'!R27,2)</f>
        <v>21603.57</v>
      </c>
      <c r="F27" s="70">
        <f>ROUND('PART MES'!E$8*'CALCULO GARANTIA'!$Q28+'Ajuste 1er Sem'!S27,2)</f>
        <v>16803.060000000001</v>
      </c>
      <c r="G27" s="70">
        <f>ROUND('PART MES'!E$9*'CALCULO GARANTIA'!$Q28+'Ajuste 1er Sem'!U27,2)</f>
        <v>16232.11</v>
      </c>
      <c r="H27" s="70">
        <f>ROUND('PART MES'!E$10*'CALCULO GARANTIA'!$Q28+'Ajuste 1er Sem'!V27,2)</f>
        <v>3647.53</v>
      </c>
      <c r="I27" s="70">
        <f>ROUND(+'PART MES'!E$11*'COEF Art 14 F II'!L29+'Ajuste 1er Sem'!W27,2)</f>
        <v>14348.81</v>
      </c>
      <c r="J27" s="70">
        <f>+'ISR SEPTIEMBRE '!D28</f>
        <v>0</v>
      </c>
      <c r="K27" s="70">
        <f>+ISAI!D25+'Ajuste 1er Sem'!X27</f>
        <v>431.92407644128258</v>
      </c>
      <c r="L27" s="70">
        <f>ROUND('PART MES'!$H$4*'CALCULO GARANTIA'!Q28,2)</f>
        <v>-3101.37</v>
      </c>
      <c r="M27" s="402">
        <f t="shared" si="0"/>
        <v>636010.81639470626</v>
      </c>
    </row>
    <row r="28" spans="1:13">
      <c r="A28" s="325" t="s">
        <v>23</v>
      </c>
      <c r="B28" s="70">
        <f>ROUND('PART MES'!E$4*'CALCULO GARANTIA'!$Q29+'Ajuste 1er Sem'!O28,2)</f>
        <v>2535508.59</v>
      </c>
      <c r="C28" s="70">
        <f>ROUND('PART MES'!E$5*'CALCULO GARANTIA'!$Q29+'Ajuste 1er Sem'!P28,2)</f>
        <v>333425.27</v>
      </c>
      <c r="D28" s="70">
        <f>+'Art.14 Frac.III'!P27+'Ajuste 1er Sem'!Q28</f>
        <v>109690.26727210963</v>
      </c>
      <c r="E28" s="70">
        <f>ROUND('PART MES'!E$7*'CALCULO GARANTIA'!$Q29+'Ajuste 1er Sem'!R28,2)</f>
        <v>100045.96</v>
      </c>
      <c r="F28" s="70">
        <f>ROUND('PART MES'!E$8*'CALCULO GARANTIA'!$Q29+'Ajuste 1er Sem'!S28,2)</f>
        <v>77814.83</v>
      </c>
      <c r="G28" s="70">
        <f>ROUND('PART MES'!E$9*'CALCULO GARANTIA'!$Q29+'Ajuste 1er Sem'!U28,2)</f>
        <v>75170.75</v>
      </c>
      <c r="H28" s="70">
        <f>ROUND('PART MES'!E$10*'CALCULO GARANTIA'!$Q29+'Ajuste 1er Sem'!V28,2)</f>
        <v>16891.689999999999</v>
      </c>
      <c r="I28" s="70">
        <f>ROUND(+'PART MES'!E$11*'COEF Art 14 F II'!L30+'Ajuste 1er Sem'!W28,2)</f>
        <v>35548.25</v>
      </c>
      <c r="J28" s="70">
        <f>+'ISR SEPTIEMBRE '!D29</f>
        <v>0</v>
      </c>
      <c r="K28" s="70">
        <f>+ISAI!D26+'Ajuste 1er Sem'!X28</f>
        <v>74.626976816777471</v>
      </c>
      <c r="L28" s="70">
        <f>ROUND('PART MES'!$H$4*'CALCULO GARANTIA'!Q29,2)</f>
        <v>-14362.41</v>
      </c>
      <c r="M28" s="402">
        <f t="shared" si="0"/>
        <v>3269807.8242489262</v>
      </c>
    </row>
    <row r="29" spans="1:13">
      <c r="A29" s="325" t="s">
        <v>24</v>
      </c>
      <c r="B29" s="70">
        <f>ROUND('PART MES'!E$4*'CALCULO GARANTIA'!$Q30+'Ajuste 1er Sem'!O29,2)</f>
        <v>2470534.56</v>
      </c>
      <c r="C29" s="70">
        <f>ROUND('PART MES'!E$5*'CALCULO GARANTIA'!$Q30+'Ajuste 1er Sem'!P29,2)</f>
        <v>324881.03000000003</v>
      </c>
      <c r="D29" s="70">
        <f>+'Art.14 Frac.III'!P28+'Ajuste 1er Sem'!Q29</f>
        <v>907780.94292388554</v>
      </c>
      <c r="E29" s="70">
        <f>ROUND('PART MES'!E$7*'CALCULO GARANTIA'!$Q30+'Ajuste 1er Sem'!R29,2)</f>
        <v>97482.22</v>
      </c>
      <c r="F29" s="70">
        <f>ROUND('PART MES'!E$8*'CALCULO GARANTIA'!$Q30+'Ajuste 1er Sem'!S29,2)</f>
        <v>75820.78</v>
      </c>
      <c r="G29" s="70">
        <f>ROUND('PART MES'!E$9*'CALCULO GARANTIA'!$Q30+'Ajuste 1er Sem'!U29,2)</f>
        <v>73244.45</v>
      </c>
      <c r="H29" s="70">
        <f>ROUND('PART MES'!E$10*'CALCULO GARANTIA'!$Q30+'Ajuste 1er Sem'!V29,2)</f>
        <v>16458.830000000002</v>
      </c>
      <c r="I29" s="70">
        <f>ROUND(+'PART MES'!E$11*'COEF Art 14 F II'!L31+'Ajuste 1er Sem'!W29,2)</f>
        <v>226335.38</v>
      </c>
      <c r="J29" s="70">
        <f>+'ISR SEPTIEMBRE '!D30</f>
        <v>0</v>
      </c>
      <c r="K29" s="70">
        <f>+ISAI!D27+'Ajuste 1er Sem'!X29</f>
        <v>22441.24662191371</v>
      </c>
      <c r="L29" s="70">
        <f>ROUND('PART MES'!$H$4*'CALCULO GARANTIA'!Q30,2)</f>
        <v>-13994.37</v>
      </c>
      <c r="M29" s="402">
        <f t="shared" si="0"/>
        <v>4200985.0695457989</v>
      </c>
    </row>
    <row r="30" spans="1:13">
      <c r="A30" s="325" t="s">
        <v>25</v>
      </c>
      <c r="B30" s="70">
        <f>ROUND('PART MES'!E$4*'CALCULO GARANTIA'!$Q31+'Ajuste 1er Sem'!O30,2)</f>
        <v>39540236.640000001</v>
      </c>
      <c r="C30" s="70">
        <f>ROUND('PART MES'!E$5*'CALCULO GARANTIA'!$Q31+'Ajuste 1er Sem'!P30,2)</f>
        <v>5199632.92</v>
      </c>
      <c r="D30" s="70">
        <f>+'Art.14 Frac.III'!P29+'Ajuste 1er Sem'!Q30</f>
        <v>493843.76896293362</v>
      </c>
      <c r="E30" s="70">
        <f>ROUND('PART MES'!E$7*'CALCULO GARANTIA'!$Q31+'Ajuste 1er Sem'!R30,2)</f>
        <v>1560176.5</v>
      </c>
      <c r="F30" s="70">
        <f>ROUND('PART MES'!E$8*'CALCULO GARANTIA'!$Q31+'Ajuste 1er Sem'!S30,2)</f>
        <v>1213491.04</v>
      </c>
      <c r="G30" s="70">
        <f>ROUND('PART MES'!E$9*'CALCULO GARANTIA'!$Q31+'Ajuste 1er Sem'!U30,2)</f>
        <v>1172257.6100000001</v>
      </c>
      <c r="H30" s="70">
        <f>ROUND('PART MES'!E$10*'CALCULO GARANTIA'!$Q31+'Ajuste 1er Sem'!V30,2)</f>
        <v>263419.15999999997</v>
      </c>
      <c r="I30" s="70">
        <f>ROUND(+'PART MES'!E$11*'COEF Art 14 F II'!L32+'Ajuste 1er Sem'!W30,2)</f>
        <v>1437576.76</v>
      </c>
      <c r="J30" s="70">
        <f>+'ISR SEPTIEMBRE '!D31</f>
        <v>5355657</v>
      </c>
      <c r="K30" s="70">
        <f>+ISAI!D28+'Ajuste 1er Sem'!X30</f>
        <v>696465.64077896427</v>
      </c>
      <c r="L30" s="70">
        <f>ROUND('PART MES'!$H$4*'CALCULO GARANTIA'!Q31,2)</f>
        <v>-223976.06</v>
      </c>
      <c r="M30" s="402">
        <f t="shared" si="0"/>
        <v>56708780.979741894</v>
      </c>
    </row>
    <row r="31" spans="1:13">
      <c r="A31" s="325" t="s">
        <v>26</v>
      </c>
      <c r="B31" s="70">
        <f>ROUND('PART MES'!E$4*'CALCULO GARANTIA'!$Q32+'Ajuste 1er Sem'!O31,2)</f>
        <v>1018144.86</v>
      </c>
      <c r="C31" s="70">
        <f>ROUND('PART MES'!E$5*'CALCULO GARANTIA'!$Q32+'Ajuste 1er Sem'!P31,2)</f>
        <v>133888.41</v>
      </c>
      <c r="D31" s="70">
        <f>+'Art.14 Frac.III'!P30+'Ajuste 1er Sem'!Q31</f>
        <v>47684.97112832003</v>
      </c>
      <c r="E31" s="70">
        <f>ROUND('PART MES'!E$7*'CALCULO GARANTIA'!$Q32+'Ajuste 1er Sem'!R31,2)</f>
        <v>40173.9</v>
      </c>
      <c r="F31" s="70">
        <f>ROUND('PART MES'!E$8*'CALCULO GARANTIA'!$Q32+'Ajuste 1er Sem'!S31,2)</f>
        <v>31246.9</v>
      </c>
      <c r="G31" s="70">
        <f>ROUND('PART MES'!E$9*'CALCULO GARANTIA'!$Q32+'Ajuste 1er Sem'!U31,2)</f>
        <v>30185.15</v>
      </c>
      <c r="H31" s="70">
        <f>ROUND('PART MES'!E$10*'CALCULO GARANTIA'!$Q32+'Ajuste 1er Sem'!V31,2)</f>
        <v>6782.94</v>
      </c>
      <c r="I31" s="70">
        <f>ROUND(+'PART MES'!E$11*'COEF Art 14 F II'!L33+'Ajuste 1er Sem'!W31,2)</f>
        <v>4183.76</v>
      </c>
      <c r="J31" s="70">
        <f>+'ISR SEPTIEMBRE '!D32</f>
        <v>0</v>
      </c>
      <c r="K31" s="70">
        <f>+ISAI!D29+'Ajuste 1er Sem'!X31</f>
        <v>30.600240032637554</v>
      </c>
      <c r="L31" s="70">
        <f>ROUND('PART MES'!$H$4*'CALCULO GARANTIA'!Q32,2)</f>
        <v>-5767.29</v>
      </c>
      <c r="M31" s="402">
        <f t="shared" si="0"/>
        <v>1306554.2013683524</v>
      </c>
    </row>
    <row r="32" spans="1:13">
      <c r="A32" s="325" t="s">
        <v>27</v>
      </c>
      <c r="B32" s="70">
        <f>ROUND('PART MES'!E$4*'CALCULO GARANTIA'!$Q33+'Ajuste 1er Sem'!O32,2)</f>
        <v>1752578.93</v>
      </c>
      <c r="C32" s="70">
        <f>ROUND('PART MES'!E$5*'CALCULO GARANTIA'!$Q33+'Ajuste 1er Sem'!P32,2)</f>
        <v>230468.2</v>
      </c>
      <c r="D32" s="70">
        <f>+'Art.14 Frac.III'!P31+'Ajuste 1er Sem'!Q32</f>
        <v>234960.10639597289</v>
      </c>
      <c r="E32" s="70">
        <f>ROUND('PART MES'!E$7*'CALCULO GARANTIA'!$Q33+'Ajuste 1er Sem'!R32,2)</f>
        <v>69153.16</v>
      </c>
      <c r="F32" s="70">
        <f>ROUND('PART MES'!E$8*'CALCULO GARANTIA'!$Q33+'Ajuste 1er Sem'!S32,2)</f>
        <v>53786.7</v>
      </c>
      <c r="G32" s="70">
        <f>ROUND('PART MES'!E$9*'CALCULO GARANTIA'!$Q33+'Ajuste 1er Sem'!U32,2)</f>
        <v>51959.07</v>
      </c>
      <c r="H32" s="70">
        <f>ROUND('PART MES'!E$10*'CALCULO GARANTIA'!$Q33+'Ajuste 1er Sem'!V32,2)</f>
        <v>11675.77</v>
      </c>
      <c r="I32" s="70">
        <f>ROUND(+'PART MES'!E$11*'COEF Art 14 F II'!L34+'Ajuste 1er Sem'!W32,2)</f>
        <v>29291.79</v>
      </c>
      <c r="J32" s="70">
        <f>+'ISR SEPTIEMBRE '!D33</f>
        <v>0</v>
      </c>
      <c r="K32" s="70">
        <f>+ISAI!D30+'Ajuste 1er Sem'!X32</f>
        <v>9.216051474748685</v>
      </c>
      <c r="L32" s="70">
        <f>ROUND('PART MES'!$H$4*'CALCULO GARANTIA'!Q33,2)</f>
        <v>-9927.5</v>
      </c>
      <c r="M32" s="402">
        <f t="shared" si="0"/>
        <v>2423955.4424474477</v>
      </c>
    </row>
    <row r="33" spans="1:13">
      <c r="A33" s="325" t="s">
        <v>28</v>
      </c>
      <c r="B33" s="70">
        <f>ROUND('PART MES'!E$4*'CALCULO GARANTIA'!$Q34+'Ajuste 1er Sem'!O33,2)</f>
        <v>1005846.88</v>
      </c>
      <c r="C33" s="70">
        <f>ROUND('PART MES'!E$5*'CALCULO GARANTIA'!$Q34+'Ajuste 1er Sem'!P33,2)</f>
        <v>132271.20000000001</v>
      </c>
      <c r="D33" s="70">
        <f>+'Art.14 Frac.III'!P32+'Ajuste 1er Sem'!Q33</f>
        <v>452361.85028677213</v>
      </c>
      <c r="E33" s="70">
        <f>ROUND('PART MES'!E$7*'CALCULO GARANTIA'!$Q34+'Ajuste 1er Sem'!R33,2)</f>
        <v>39688.65</v>
      </c>
      <c r="F33" s="70">
        <f>ROUND('PART MES'!E$8*'CALCULO GARANTIA'!$Q34+'Ajuste 1er Sem'!S33,2)</f>
        <v>30869.47</v>
      </c>
      <c r="G33" s="70">
        <f>ROUND('PART MES'!E$9*'CALCULO GARANTIA'!$Q34+'Ajuste 1er Sem'!U33,2)</f>
        <v>29820.55</v>
      </c>
      <c r="H33" s="70">
        <f>ROUND('PART MES'!E$10*'CALCULO GARANTIA'!$Q34+'Ajuste 1er Sem'!V33,2)</f>
        <v>6701.01</v>
      </c>
      <c r="I33" s="70">
        <f>ROUND(+'PART MES'!E$11*'COEF Art 14 F II'!L35+'Ajuste 1er Sem'!W33,2)</f>
        <v>584.35</v>
      </c>
      <c r="J33" s="70">
        <f>+'ISR SEPTIEMBRE '!D34</f>
        <v>0</v>
      </c>
      <c r="K33" s="70">
        <f>+ISAI!D31+'Ajuste 1er Sem'!X33</f>
        <v>1374.2936330123898</v>
      </c>
      <c r="L33" s="70">
        <f>ROUND('PART MES'!$H$4*'CALCULO GARANTIA'!Q34,2)</f>
        <v>-5697.63</v>
      </c>
      <c r="M33" s="402">
        <f t="shared" si="0"/>
        <v>1693820.6239197846</v>
      </c>
    </row>
    <row r="34" spans="1:13">
      <c r="A34" s="325" t="s">
        <v>29</v>
      </c>
      <c r="B34" s="70">
        <f>ROUND('PART MES'!E$4*'CALCULO GARANTIA'!$Q35+'Ajuste 1er Sem'!O34,2)</f>
        <v>1403045.35</v>
      </c>
      <c r="C34" s="70">
        <f>ROUND('PART MES'!E$5*'CALCULO GARANTIA'!$Q35+'Ajuste 1er Sem'!P34,2)</f>
        <v>184503.72</v>
      </c>
      <c r="D34" s="70">
        <f>+'Art.14 Frac.III'!P33+'Ajuste 1er Sem'!Q34</f>
        <v>318994.22177228751</v>
      </c>
      <c r="E34" s="70">
        <f>ROUND('PART MES'!E$7*'CALCULO GARANTIA'!$Q35+'Ajuste 1er Sem'!R34,2)</f>
        <v>55361.29</v>
      </c>
      <c r="F34" s="70">
        <f>ROUND('PART MES'!E$8*'CALCULO GARANTIA'!$Q35+'Ajuste 1er Sem'!S34,2)</f>
        <v>43059.5</v>
      </c>
      <c r="G34" s="70">
        <f>ROUND('PART MES'!E$9*'CALCULO GARANTIA'!$Q35+'Ajuste 1er Sem'!U34,2)</f>
        <v>41596.379999999997</v>
      </c>
      <c r="H34" s="70">
        <f>ROUND('PART MES'!E$10*'CALCULO GARANTIA'!$Q35+'Ajuste 1er Sem'!V34,2)</f>
        <v>9347.16</v>
      </c>
      <c r="I34" s="70">
        <f>ROUND(+'PART MES'!E$11*'COEF Art 14 F II'!L36+'Ajuste 1er Sem'!W34,2)</f>
        <v>18262.830000000002</v>
      </c>
      <c r="J34" s="70">
        <f>+'ISR SEPTIEMBRE '!D35</f>
        <v>0</v>
      </c>
      <c r="K34" s="70">
        <f>+ISAI!D32+'Ajuste 1er Sem'!X34</f>
        <v>2599.0137458063377</v>
      </c>
      <c r="L34" s="70">
        <f>ROUND('PART MES'!$H$4*'CALCULO GARANTIA'!Q35,2)</f>
        <v>-7947.56</v>
      </c>
      <c r="M34" s="402">
        <f t="shared" si="0"/>
        <v>2068821.9055180938</v>
      </c>
    </row>
    <row r="35" spans="1:13">
      <c r="A35" s="325" t="s">
        <v>30</v>
      </c>
      <c r="B35" s="70">
        <f>ROUND('PART MES'!E$4*'CALCULO GARANTIA'!$Q36+'Ajuste 1er Sem'!O35,2)</f>
        <v>1320597.71</v>
      </c>
      <c r="C35" s="70">
        <f>ROUND('PART MES'!E$5*'CALCULO GARANTIA'!$Q36+'Ajuste 1er Sem'!P35,2)</f>
        <v>173661.66</v>
      </c>
      <c r="D35" s="70">
        <f>+'Art.14 Frac.III'!P34+'Ajuste 1er Sem'!Q35</f>
        <v>256715.55273821915</v>
      </c>
      <c r="E35" s="70">
        <f>ROUND('PART MES'!E$7*'CALCULO GARANTIA'!$Q36+'Ajuste 1er Sem'!R35,2)</f>
        <v>52108.07</v>
      </c>
      <c r="F35" s="70">
        <f>ROUND('PART MES'!E$8*'CALCULO GARANTIA'!$Q36+'Ajuste 1er Sem'!S35,2)</f>
        <v>40529.18</v>
      </c>
      <c r="G35" s="70">
        <f>ROUND('PART MES'!E$9*'CALCULO GARANTIA'!$Q36+'Ajuste 1er Sem'!U35,2)</f>
        <v>39152.03</v>
      </c>
      <c r="H35" s="70">
        <f>ROUND('PART MES'!E$10*'CALCULO GARANTIA'!$Q36+'Ajuste 1er Sem'!V35,2)</f>
        <v>8797.89</v>
      </c>
      <c r="I35" s="70">
        <f>ROUND(+'PART MES'!E$11*'COEF Art 14 F II'!L37+'Ajuste 1er Sem'!W35,2)</f>
        <v>27459.19</v>
      </c>
      <c r="J35" s="70">
        <f>+'ISR SEPTIEMBRE '!D36</f>
        <v>0</v>
      </c>
      <c r="K35" s="70">
        <f>+ISAI!D33+'Ajuste 1er Sem'!X35</f>
        <v>196.02615215196673</v>
      </c>
      <c r="L35" s="70">
        <f>ROUND('PART MES'!$H$4*'CALCULO GARANTIA'!Q36,2)</f>
        <v>-7480.54</v>
      </c>
      <c r="M35" s="402">
        <f t="shared" si="0"/>
        <v>1911736.7688903708</v>
      </c>
    </row>
    <row r="36" spans="1:13">
      <c r="A36" s="325" t="s">
        <v>31</v>
      </c>
      <c r="B36" s="70">
        <f>ROUND('PART MES'!E$4*'CALCULO GARANTIA'!$Q37+'Ajuste 1er Sem'!O36,2)</f>
        <v>12267580.859999999</v>
      </c>
      <c r="C36" s="70">
        <f>ROUND('PART MES'!E$5*'CALCULO GARANTIA'!$Q37+'Ajuste 1er Sem'!P36,2)</f>
        <v>1613215.37</v>
      </c>
      <c r="D36" s="70">
        <f>+'Art.14 Frac.III'!P35+'Ajuste 1er Sem'!Q36</f>
        <v>0</v>
      </c>
      <c r="E36" s="70">
        <f>ROUND('PART MES'!E$7*'CALCULO GARANTIA'!$Q37+'Ajuste 1er Sem'!R36,2)</f>
        <v>484053.54</v>
      </c>
      <c r="F36" s="70">
        <f>ROUND('PART MES'!E$8*'CALCULO GARANTIA'!$Q37+'Ajuste 1er Sem'!S36,2)</f>
        <v>376492.42</v>
      </c>
      <c r="G36" s="70">
        <f>ROUND('PART MES'!E$9*'CALCULO GARANTIA'!$Q37+'Ajuste 1er Sem'!U36,2)</f>
        <v>363699.52</v>
      </c>
      <c r="H36" s="70">
        <f>ROUND('PART MES'!E$10*'CALCULO GARANTIA'!$Q37+'Ajuste 1er Sem'!V36,2)</f>
        <v>81727.28</v>
      </c>
      <c r="I36" s="70">
        <f>ROUND(+'PART MES'!E$11*'COEF Art 14 F II'!L38+'Ajuste 1er Sem'!W36,2)</f>
        <v>935765.18</v>
      </c>
      <c r="J36" s="70">
        <f>+'ISR SEPTIEMBRE '!D37</f>
        <v>0</v>
      </c>
      <c r="K36" s="70">
        <f>+ISAI!D34+'Ajuste 1er Sem'!X36</f>
        <v>278809.13057273341</v>
      </c>
      <c r="L36" s="70">
        <f>ROUND('PART MES'!$H$4*'CALCULO GARANTIA'!Q37,2)</f>
        <v>-69489.83</v>
      </c>
      <c r="M36" s="402">
        <f t="shared" si="0"/>
        <v>16331853.470572731</v>
      </c>
    </row>
    <row r="37" spans="1:13">
      <c r="A37" s="325" t="s">
        <v>32</v>
      </c>
      <c r="B37" s="70">
        <f>ROUND('PART MES'!E$4*'CALCULO GARANTIA'!$Q38+'Ajuste 1er Sem'!O37,2)</f>
        <v>2390673.2000000002</v>
      </c>
      <c r="C37" s="70">
        <f>ROUND('PART MES'!E$5*'CALCULO GARANTIA'!$Q38+'Ajuste 1er Sem'!P37,2)</f>
        <v>314379.08</v>
      </c>
      <c r="D37" s="70">
        <f>+'Art.14 Frac.III'!P36+'Ajuste 1er Sem'!Q37</f>
        <v>81347.091327458242</v>
      </c>
      <c r="E37" s="70">
        <f>ROUND('PART MES'!E$7*'CALCULO GARANTIA'!$Q38+'Ajuste 1er Sem'!R37,2)</f>
        <v>94331.05</v>
      </c>
      <c r="F37" s="70">
        <f>ROUND('PART MES'!E$8*'CALCULO GARANTIA'!$Q38+'Ajuste 1er Sem'!S37,2)</f>
        <v>73369.83</v>
      </c>
      <c r="G37" s="70">
        <f>ROUND('PART MES'!E$9*'CALCULO GARANTIA'!$Q38+'Ajuste 1er Sem'!U37,2)</f>
        <v>70876.78</v>
      </c>
      <c r="H37" s="70">
        <f>ROUND('PART MES'!E$10*'CALCULO GARANTIA'!$Q38+'Ajuste 1er Sem'!V37,2)</f>
        <v>15926.79</v>
      </c>
      <c r="I37" s="70">
        <f>ROUND(+'PART MES'!E$11*'COEF Art 14 F II'!L39+'Ajuste 1er Sem'!W37,2)</f>
        <v>18399.91</v>
      </c>
      <c r="J37" s="70">
        <f>+'ISR SEPTIEMBRE '!D38</f>
        <v>0</v>
      </c>
      <c r="K37" s="70">
        <f>+ISAI!D35+'Ajuste 1er Sem'!X37</f>
        <v>1029.0846290639399</v>
      </c>
      <c r="L37" s="70">
        <f>ROUND('PART MES'!$H$4*'CALCULO GARANTIA'!Q38,2)</f>
        <v>-13541.99</v>
      </c>
      <c r="M37" s="402">
        <f t="shared" si="0"/>
        <v>3046790.825956522</v>
      </c>
    </row>
    <row r="38" spans="1:13">
      <c r="A38" s="325" t="s">
        <v>33</v>
      </c>
      <c r="B38" s="70">
        <f>ROUND('PART MES'!E$4*'CALCULO GARANTIA'!$Q39+'Ajuste 1er Sem'!O38,2)</f>
        <v>8765181.7400000002</v>
      </c>
      <c r="C38" s="70">
        <f>ROUND('PART MES'!E$5*'CALCULO GARANTIA'!$Q39+'Ajuste 1er Sem'!P38,2)</f>
        <v>1152641.75</v>
      </c>
      <c r="D38" s="70">
        <f>+'Art.14 Frac.III'!P37+'Ajuste 1er Sem'!Q38</f>
        <v>128648.04031253644</v>
      </c>
      <c r="E38" s="70">
        <f>ROUND('PART MES'!E$7*'CALCULO GARANTIA'!$Q39+'Ajuste 1er Sem'!R38,2)</f>
        <v>345856.06</v>
      </c>
      <c r="F38" s="70">
        <f>ROUND('PART MES'!E$8*'CALCULO GARANTIA'!$Q39+'Ajuste 1er Sem'!S38,2)</f>
        <v>269003.69</v>
      </c>
      <c r="G38" s="70">
        <f>ROUND('PART MES'!E$9*'CALCULO GARANTIA'!$Q39+'Ajuste 1er Sem'!U38,2)</f>
        <v>259863.16</v>
      </c>
      <c r="H38" s="70">
        <f>ROUND('PART MES'!E$10*'CALCULO GARANTIA'!$Q39+'Ajuste 1er Sem'!V38,2)</f>
        <v>58394.11</v>
      </c>
      <c r="I38" s="70">
        <f>ROUND(+'PART MES'!E$11*'COEF Art 14 F II'!L40+'Ajuste 1er Sem'!W38,2)</f>
        <v>223083.54</v>
      </c>
      <c r="J38" s="70">
        <f>+'ISR SEPTIEMBRE '!D39</f>
        <v>823528</v>
      </c>
      <c r="K38" s="70">
        <f>+ISAI!D36+'Ajuste 1er Sem'!X38</f>
        <v>32954.365872422532</v>
      </c>
      <c r="L38" s="70">
        <f>ROUND('PART MES'!$H$4*'CALCULO GARANTIA'!Q39,2)</f>
        <v>-49650.46</v>
      </c>
      <c r="M38" s="402">
        <f t="shared" si="0"/>
        <v>12009503.996184956</v>
      </c>
    </row>
    <row r="39" spans="1:13">
      <c r="A39" s="325" t="s">
        <v>34</v>
      </c>
      <c r="B39" s="70">
        <f>ROUND('PART MES'!E$4*'CALCULO GARANTIA'!$Q40+'Ajuste 1er Sem'!O39,2)</f>
        <v>1870193.97</v>
      </c>
      <c r="C39" s="70">
        <f>ROUND('PART MES'!E$5*'CALCULO GARANTIA'!$Q40+'Ajuste 1er Sem'!P39,2)</f>
        <v>245934.85</v>
      </c>
      <c r="D39" s="70">
        <f>+'Art.14 Frac.III'!P38+'Ajuste 1er Sem'!Q39</f>
        <v>-341554.73397797899</v>
      </c>
      <c r="E39" s="70">
        <f>ROUND('PART MES'!E$7*'CALCULO GARANTIA'!$Q40+'Ajuste 1er Sem'!R39,2)</f>
        <v>73794.009999999995</v>
      </c>
      <c r="F39" s="70">
        <f>ROUND('PART MES'!E$8*'CALCULO GARANTIA'!$Q40+'Ajuste 1er Sem'!S39,2)</f>
        <v>57396.31</v>
      </c>
      <c r="G39" s="70">
        <f>ROUND('PART MES'!E$9*'CALCULO GARANTIA'!$Q40+'Ajuste 1er Sem'!U39,2)</f>
        <v>55446.03</v>
      </c>
      <c r="H39" s="70">
        <f>ROUND('PART MES'!E$10*'CALCULO GARANTIA'!$Q40+'Ajuste 1er Sem'!V39,2)</f>
        <v>12459.33</v>
      </c>
      <c r="I39" s="70">
        <f>ROUND(+'PART MES'!E$11*'COEF Art 14 F II'!L41+'Ajuste 1er Sem'!W39,2)</f>
        <v>13813.65</v>
      </c>
      <c r="J39" s="70">
        <f>+'ISR SEPTIEMBRE '!D40</f>
        <v>0</v>
      </c>
      <c r="K39" s="70">
        <f>+ISAI!D37+'Ajuste 1er Sem'!X39</f>
        <v>2047.4134348529874</v>
      </c>
      <c r="L39" s="70">
        <f>ROUND('PART MES'!$H$4*'CALCULO GARANTIA'!Q40,2)</f>
        <v>-10593.73</v>
      </c>
      <c r="M39" s="402">
        <f t="shared" si="0"/>
        <v>1978937.099456874</v>
      </c>
    </row>
    <row r="40" spans="1:13">
      <c r="A40" s="325" t="s">
        <v>35</v>
      </c>
      <c r="B40" s="70">
        <f>ROUND('PART MES'!E$4*'CALCULO GARANTIA'!$Q41+'Ajuste 1er Sem'!O40,2)</f>
        <v>1797636.65</v>
      </c>
      <c r="C40" s="70">
        <f>ROUND('PART MES'!E$5*'CALCULO GARANTIA'!$Q41+'Ajuste 1er Sem'!P40,2)</f>
        <v>236393.39</v>
      </c>
      <c r="D40" s="70">
        <f>+'Art.14 Frac.III'!P39+'Ajuste 1er Sem'!Q40</f>
        <v>207194.08361374852</v>
      </c>
      <c r="E40" s="70">
        <f>ROUND('PART MES'!E$7*'CALCULO GARANTIA'!$Q41+'Ajuste 1er Sem'!R40,2)</f>
        <v>70931.05</v>
      </c>
      <c r="F40" s="70">
        <f>ROUND('PART MES'!E$8*'CALCULO GARANTIA'!$Q41+'Ajuste 1er Sem'!S40,2)</f>
        <v>55169.52</v>
      </c>
      <c r="G40" s="70">
        <f>ROUND('PART MES'!E$9*'CALCULO GARANTIA'!$Q41+'Ajuste 1er Sem'!U40,2)</f>
        <v>53294.91</v>
      </c>
      <c r="H40" s="70">
        <f>ROUND('PART MES'!E$10*'CALCULO GARANTIA'!$Q41+'Ajuste 1er Sem'!V40,2)</f>
        <v>11975.95</v>
      </c>
      <c r="I40" s="70">
        <f>ROUND(+'PART MES'!E$11*'COEF Art 14 F II'!L42+'Ajuste 1er Sem'!W40,2)</f>
        <v>-9498.5499999999993</v>
      </c>
      <c r="J40" s="70">
        <f>+'ISR SEPTIEMBRE '!D41</f>
        <v>77990</v>
      </c>
      <c r="K40" s="70">
        <f>+ISAI!D38+'Ajuste 1er Sem'!X40</f>
        <v>260.95351127317127</v>
      </c>
      <c r="L40" s="70">
        <f>ROUND('PART MES'!$H$4*'CALCULO GARANTIA'!Q41,2)</f>
        <v>-10182.73</v>
      </c>
      <c r="M40" s="402">
        <f t="shared" si="0"/>
        <v>2491165.2271250221</v>
      </c>
    </row>
    <row r="41" spans="1:13">
      <c r="A41" s="325" t="s">
        <v>36</v>
      </c>
      <c r="B41" s="70">
        <f>ROUND('PART MES'!E$4*'CALCULO GARANTIA'!$Q42+'Ajuste 1er Sem'!O41,2)</f>
        <v>1887496.67</v>
      </c>
      <c r="C41" s="70">
        <f>ROUND('PART MES'!E$5*'CALCULO GARANTIA'!$Q42+'Ajuste 1er Sem'!P41,2)</f>
        <v>248210.19</v>
      </c>
      <c r="D41" s="70">
        <f>+'Art.14 Frac.III'!P40+'Ajuste 1er Sem'!Q41</f>
        <v>40065.844291677473</v>
      </c>
      <c r="E41" s="70">
        <f>ROUND('PART MES'!E$7*'CALCULO GARANTIA'!$Q42+'Ajuste 1er Sem'!R41,2)</f>
        <v>74476.740000000005</v>
      </c>
      <c r="F41" s="70">
        <f>ROUND('PART MES'!E$8*'CALCULO GARANTIA'!$Q42+'Ajuste 1er Sem'!S41,2)</f>
        <v>57927.33</v>
      </c>
      <c r="G41" s="70">
        <f>ROUND('PART MES'!E$9*'CALCULO GARANTIA'!$Q42+'Ajuste 1er Sem'!U41,2)</f>
        <v>55959.01</v>
      </c>
      <c r="H41" s="70">
        <f>ROUND('PART MES'!E$10*'CALCULO GARANTIA'!$Q42+'Ajuste 1er Sem'!V41,2)</f>
        <v>12574.6</v>
      </c>
      <c r="I41" s="70">
        <f>ROUND(+'PART MES'!E$11*'COEF Art 14 F II'!L43+'Ajuste 1er Sem'!W41,2)</f>
        <v>57246.1</v>
      </c>
      <c r="J41" s="70">
        <f>+'ISR SEPTIEMBRE '!D42</f>
        <v>1564460</v>
      </c>
      <c r="K41" s="70">
        <f>+ISAI!D39+'Ajuste 1er Sem'!X41</f>
        <v>23.520469289585243</v>
      </c>
      <c r="L41" s="70">
        <f>ROUND('PART MES'!$H$4*'CALCULO GARANTIA'!Q42,2)</f>
        <v>-10691.74</v>
      </c>
      <c r="M41" s="402">
        <f t="shared" si="0"/>
        <v>3987748.2647609673</v>
      </c>
    </row>
    <row r="42" spans="1:13">
      <c r="A42" s="325" t="s">
        <v>37</v>
      </c>
      <c r="B42" s="70">
        <f>ROUND('PART MES'!E$4*'CALCULO GARANTIA'!$Q43+'Ajuste 1er Sem'!O42,2)</f>
        <v>2658620.88</v>
      </c>
      <c r="C42" s="70">
        <f>ROUND('PART MES'!E$5*'CALCULO GARANTIA'!$Q43+'Ajuste 1er Sem'!P42,2)</f>
        <v>349614.82</v>
      </c>
      <c r="D42" s="70">
        <f>+'Art.14 Frac.III'!P41+'Ajuste 1er Sem'!Q42</f>
        <v>691582.92575280147</v>
      </c>
      <c r="E42" s="70">
        <f>ROUND('PART MES'!E$7*'CALCULO GARANTIA'!$Q43+'Ajuste 1er Sem'!R42,2)</f>
        <v>104903.72</v>
      </c>
      <c r="F42" s="70">
        <f>ROUND('PART MES'!E$8*'CALCULO GARANTIA'!$Q43+'Ajuste 1er Sem'!S42,2)</f>
        <v>81593.149999999994</v>
      </c>
      <c r="G42" s="70">
        <f>ROUND('PART MES'!E$9*'CALCULO GARANTIA'!$Q43+'Ajuste 1er Sem'!U42,2)</f>
        <v>78820.69</v>
      </c>
      <c r="H42" s="70">
        <f>ROUND('PART MES'!E$10*'CALCULO GARANTIA'!$Q43+'Ajuste 1er Sem'!V42,2)</f>
        <v>17711.87</v>
      </c>
      <c r="I42" s="70">
        <f>ROUND(+'PART MES'!E$11*'COEF Art 14 F II'!L44+'Ajuste 1er Sem'!W42,2)</f>
        <v>28516.48</v>
      </c>
      <c r="J42" s="70">
        <f>+'ISR SEPTIEMBRE '!D43</f>
        <v>0</v>
      </c>
      <c r="K42" s="70">
        <f>+ISAI!D40+'Ajuste 1er Sem'!X42</f>
        <v>12724.351824986683</v>
      </c>
      <c r="L42" s="70">
        <f>ROUND('PART MES'!$H$4*'CALCULO GARANTIA'!Q43,2)</f>
        <v>-15059.78</v>
      </c>
      <c r="M42" s="402">
        <f t="shared" si="0"/>
        <v>4009029.1075777882</v>
      </c>
    </row>
    <row r="43" spans="1:13">
      <c r="A43" s="325" t="s">
        <v>38</v>
      </c>
      <c r="B43" s="70">
        <f>ROUND('PART MES'!E$4*'CALCULO GARANTIA'!$Q44+'Ajuste 1er Sem'!O43,2)</f>
        <v>6237370.0899999999</v>
      </c>
      <c r="C43" s="70">
        <f>ROUND('PART MES'!E$5*'CALCULO GARANTIA'!$Q44+'Ajuste 1er Sem'!P43,2)</f>
        <v>820228.65</v>
      </c>
      <c r="D43" s="70">
        <f>+'Art.14 Frac.III'!P42+'Ajuste 1er Sem'!Q43</f>
        <v>531368.16755681997</v>
      </c>
      <c r="E43" s="70">
        <f>ROUND('PART MES'!E$7*'CALCULO GARANTIA'!$Q44+'Ajuste 1er Sem'!R43,2)</f>
        <v>246113.81</v>
      </c>
      <c r="F43" s="70">
        <f>ROUND('PART MES'!E$8*'CALCULO GARANTIA'!$Q44+'Ajuste 1er Sem'!S43,2)</f>
        <v>191425.07</v>
      </c>
      <c r="G43" s="70">
        <f>ROUND('PART MES'!E$9*'CALCULO GARANTIA'!$Q44+'Ajuste 1er Sem'!U43,2)</f>
        <v>184920.61</v>
      </c>
      <c r="H43" s="70">
        <f>ROUND('PART MES'!E$10*'CALCULO GARANTIA'!$Q44+'Ajuste 1er Sem'!V43,2)</f>
        <v>41553.69</v>
      </c>
      <c r="I43" s="70">
        <f>ROUND(+'PART MES'!E$11*'COEF Art 14 F II'!L45+'Ajuste 1er Sem'!W43,2)</f>
        <v>171583.2</v>
      </c>
      <c r="J43" s="70">
        <f>+'ISR SEPTIEMBRE '!D44</f>
        <v>0</v>
      </c>
      <c r="K43" s="70">
        <f>+ISAI!D41+'Ajuste 1er Sem'!X43</f>
        <v>126617.35436853084</v>
      </c>
      <c r="L43" s="70">
        <f>ROUND('PART MES'!$H$4*'CALCULO GARANTIA'!Q44,2)</f>
        <v>-35331.64</v>
      </c>
      <c r="M43" s="402">
        <f t="shared" si="0"/>
        <v>8515849.0019253511</v>
      </c>
    </row>
    <row r="44" spans="1:13">
      <c r="A44" s="325" t="s">
        <v>39</v>
      </c>
      <c r="B44" s="70">
        <f>ROUND('PART MES'!E$4*'CALCULO GARANTIA'!$Q45+'Ajuste 1er Sem'!O44,2)</f>
        <v>129083687.97</v>
      </c>
      <c r="C44" s="70">
        <f>ROUND('PART MES'!E$5*'CALCULO GARANTIA'!$Q45+'Ajuste 1er Sem'!P44,2)</f>
        <v>16974804.68</v>
      </c>
      <c r="D44" s="70">
        <f>+'Art.14 Frac.III'!P43+'Ajuste 1er Sem'!Q44</f>
        <v>0</v>
      </c>
      <c r="E44" s="70">
        <f>ROUND('PART MES'!E$7*'CALCULO GARANTIA'!$Q45+'Ajuste 1er Sem'!R44,2)</f>
        <v>5093377.1100000003</v>
      </c>
      <c r="F44" s="70">
        <f>ROUND('PART MES'!E$8*'CALCULO GARANTIA'!$Q45+'Ajuste 1er Sem'!S44,2)</f>
        <v>3961582.22</v>
      </c>
      <c r="G44" s="70">
        <f>ROUND('PART MES'!E$9*'CALCULO GARANTIA'!$Q45+'Ajuste 1er Sem'!U44,2)</f>
        <v>3826970.91</v>
      </c>
      <c r="H44" s="70">
        <f>ROUND('PART MES'!E$10*'CALCULO GARANTIA'!$Q45+'Ajuste 1er Sem'!V44,2)</f>
        <v>859962.38</v>
      </c>
      <c r="I44" s="70">
        <f>ROUND(+'PART MES'!E$11*'COEF Art 14 F II'!L46+'Ajuste 1er Sem'!W44,2)</f>
        <v>3131326.66</v>
      </c>
      <c r="J44" s="70">
        <f>+'ISR SEPTIEMBRE '!D45</f>
        <v>4555040</v>
      </c>
      <c r="K44" s="70">
        <f>+ISAI!D42+'Ajuste 1er Sem'!X44</f>
        <v>2788173.4189027641</v>
      </c>
      <c r="L44" s="70">
        <f>ROUND('PART MES'!$H$4*'CALCULO GARANTIA'!Q45,2)</f>
        <v>-731195.82</v>
      </c>
      <c r="M44" s="402">
        <f t="shared" si="0"/>
        <v>169543729.52890277</v>
      </c>
    </row>
    <row r="45" spans="1:13">
      <c r="A45" s="325" t="s">
        <v>40</v>
      </c>
      <c r="B45" s="70">
        <f>ROUND('PART MES'!E$4*'CALCULO GARANTIA'!$Q46+'Ajuste 1er Sem'!O45,2)</f>
        <v>666665.91</v>
      </c>
      <c r="C45" s="70">
        <f>ROUND('PART MES'!E$5*'CALCULO GARANTIA'!$Q46+'Ajuste 1er Sem'!P45,2)</f>
        <v>87668.11</v>
      </c>
      <c r="D45" s="70">
        <f>+'Art.14 Frac.III'!P44+'Ajuste 1er Sem'!Q45</f>
        <v>198237.30083617667</v>
      </c>
      <c r="E45" s="70">
        <f>ROUND('PART MES'!E$7*'CALCULO GARANTIA'!$Q46+'Ajuste 1er Sem'!R45,2)</f>
        <v>26305.27</v>
      </c>
      <c r="F45" s="70">
        <f>ROUND('PART MES'!E$8*'CALCULO GARANTIA'!$Q46+'Ajuste 1er Sem'!S45,2)</f>
        <v>20460</v>
      </c>
      <c r="G45" s="70">
        <f>ROUND('PART MES'!E$9*'CALCULO GARANTIA'!$Q46+'Ajuste 1er Sem'!U45,2)</f>
        <v>19764.78</v>
      </c>
      <c r="H45" s="70">
        <f>ROUND('PART MES'!E$10*'CALCULO GARANTIA'!$Q46+'Ajuste 1er Sem'!V45,2)</f>
        <v>4441.3599999999997</v>
      </c>
      <c r="I45" s="70">
        <f>ROUND(+'PART MES'!E$11*'COEF Art 14 F II'!L47+'Ajuste 1er Sem'!W45,2)</f>
        <v>19784.009999999998</v>
      </c>
      <c r="J45" s="70">
        <f>+'ISR SEPTIEMBRE '!D46</f>
        <v>0</v>
      </c>
      <c r="K45" s="70">
        <f>+ISAI!D43+'Ajuste 1er Sem'!X45</f>
        <v>853.1119137170482</v>
      </c>
      <c r="L45" s="70">
        <f>ROUND('PART MES'!$H$4*'CALCULO GARANTIA'!Q46,2)</f>
        <v>-3776.34</v>
      </c>
      <c r="M45" s="402">
        <f t="shared" si="0"/>
        <v>1040403.5127498937</v>
      </c>
    </row>
    <row r="46" spans="1:13">
      <c r="A46" s="325" t="s">
        <v>41</v>
      </c>
      <c r="B46" s="70">
        <f>ROUND('PART MES'!E$4*'CALCULO GARANTIA'!$Q47+'Ajuste 1er Sem'!O46,2)</f>
        <v>2806816.3</v>
      </c>
      <c r="C46" s="70">
        <f>ROUND('PART MES'!E$5*'CALCULO GARANTIA'!$Q47+'Ajuste 1er Sem'!P46,2)</f>
        <v>369102.86</v>
      </c>
      <c r="D46" s="70">
        <f>+'Art.14 Frac.III'!P45+'Ajuste 1er Sem'!Q46</f>
        <v>361223.24559288425</v>
      </c>
      <c r="E46" s="70">
        <f>ROUND('PART MES'!E$7*'CALCULO GARANTIA'!$Q47+'Ajuste 1er Sem'!R46,2)</f>
        <v>110751.2</v>
      </c>
      <c r="F46" s="70">
        <f>ROUND('PART MES'!E$8*'CALCULO GARANTIA'!$Q47+'Ajuste 1er Sem'!S46,2)</f>
        <v>86141.28</v>
      </c>
      <c r="G46" s="70">
        <f>ROUND('PART MES'!E$9*'CALCULO GARANTIA'!$Q47+'Ajuste 1er Sem'!U46,2)</f>
        <v>83214.27</v>
      </c>
      <c r="H46" s="70">
        <f>ROUND('PART MES'!E$10*'CALCULO GARANTIA'!$Q47+'Ajuste 1er Sem'!V46,2)</f>
        <v>18699.16</v>
      </c>
      <c r="I46" s="70">
        <f>ROUND(+'PART MES'!E$11*'COEF Art 14 F II'!L48+'Ajuste 1er Sem'!W46,2)</f>
        <v>282507.26</v>
      </c>
      <c r="J46" s="70">
        <f>+'ISR SEPTIEMBRE '!D47</f>
        <v>592143</v>
      </c>
      <c r="K46" s="70">
        <f>+ISAI!D44+'Ajuste 1er Sem'!X46</f>
        <v>81019.386884698746</v>
      </c>
      <c r="L46" s="70">
        <f>ROUND('PART MES'!$H$4*'CALCULO GARANTIA'!Q47,2)</f>
        <v>-15899.24</v>
      </c>
      <c r="M46" s="402">
        <f t="shared" si="0"/>
        <v>4775718.7224775823</v>
      </c>
    </row>
    <row r="47" spans="1:13">
      <c r="A47" s="325" t="s">
        <v>42</v>
      </c>
      <c r="B47" s="70">
        <f>ROUND('PART MES'!E$4*'CALCULO GARANTIA'!$Q48+'Ajuste 1er Sem'!O47,2)</f>
        <v>1413978.12</v>
      </c>
      <c r="C47" s="70">
        <f>ROUND('PART MES'!E$5*'CALCULO GARANTIA'!$Q48+'Ajuste 1er Sem'!P47,2)</f>
        <v>185941.41</v>
      </c>
      <c r="D47" s="70">
        <f>+'Art.14 Frac.III'!P46+'Ajuste 1er Sem'!Q47</f>
        <v>-194121.45753212826</v>
      </c>
      <c r="E47" s="70">
        <f>ROUND('PART MES'!E$7*'CALCULO GARANTIA'!$Q48+'Ajuste 1er Sem'!R47,2)</f>
        <v>55792.67</v>
      </c>
      <c r="F47" s="70">
        <f>ROUND('PART MES'!E$8*'CALCULO GARANTIA'!$Q48+'Ajuste 1er Sem'!S47,2)</f>
        <v>43395.03</v>
      </c>
      <c r="G47" s="70">
        <f>ROUND('PART MES'!E$9*'CALCULO GARANTIA'!$Q48+'Ajuste 1er Sem'!U47,2)</f>
        <v>41920.5</v>
      </c>
      <c r="H47" s="70">
        <f>ROUND('PART MES'!E$10*'CALCULO GARANTIA'!$Q48+'Ajuste 1er Sem'!V47,2)</f>
        <v>9420</v>
      </c>
      <c r="I47" s="70">
        <f>ROUND(+'PART MES'!E$11*'COEF Art 14 F II'!L49+'Ajuste 1er Sem'!W47,2)</f>
        <v>23535.75</v>
      </c>
      <c r="J47" s="70">
        <f>+'ISR SEPTIEMBRE '!D48</f>
        <v>0</v>
      </c>
      <c r="K47" s="70">
        <f>+ISAI!D45+'Ajuste 1er Sem'!X47</f>
        <v>7317.6589195874558</v>
      </c>
      <c r="L47" s="70">
        <f>ROUND('PART MES'!$H$4*'CALCULO GARANTIA'!Q48,2)</f>
        <v>-8009.49</v>
      </c>
      <c r="M47" s="402">
        <f t="shared" si="0"/>
        <v>1579170.1913874592</v>
      </c>
    </row>
    <row r="48" spans="1:13">
      <c r="A48" s="325" t="s">
        <v>43</v>
      </c>
      <c r="B48" s="70">
        <f>ROUND('PART MES'!E$4*'CALCULO GARANTIA'!$Q49+'Ajuste 1er Sem'!O48,2)</f>
        <v>1584467.6</v>
      </c>
      <c r="C48" s="70">
        <f>ROUND('PART MES'!E$5*'CALCULO GARANTIA'!$Q49+'Ajuste 1er Sem'!P48,2)</f>
        <v>208361.17</v>
      </c>
      <c r="D48" s="70">
        <f>+'Art.14 Frac.III'!P47+'Ajuste 1er Sem'!Q48</f>
        <v>-19490.114299701701</v>
      </c>
      <c r="E48" s="70">
        <f>ROUND('PART MES'!E$7*'CALCULO GARANTIA'!$Q49+'Ajuste 1er Sem'!R48,2)</f>
        <v>62519.839999999997</v>
      </c>
      <c r="F48" s="70">
        <f>ROUND('PART MES'!E$8*'CALCULO GARANTIA'!$Q49+'Ajuste 1er Sem'!S48,2)</f>
        <v>48627.360000000001</v>
      </c>
      <c r="G48" s="70">
        <f>ROUND('PART MES'!E$9*'CALCULO GARANTIA'!$Q49+'Ajuste 1er Sem'!U48,2)</f>
        <v>46975.040000000001</v>
      </c>
      <c r="H48" s="70">
        <f>ROUND('PART MES'!E$10*'CALCULO GARANTIA'!$Q49+'Ajuste 1er Sem'!V48,2)</f>
        <v>10555.81</v>
      </c>
      <c r="I48" s="70">
        <f>ROUND(+'PART MES'!E$11*'COEF Art 14 F II'!L50+'Ajuste 1er Sem'!W48,2)</f>
        <v>6034.71</v>
      </c>
      <c r="J48" s="70">
        <f>+'ISR SEPTIEMBRE '!D49</f>
        <v>0</v>
      </c>
      <c r="K48" s="70">
        <f>+ISAI!D46+'Ajuste 1er Sem'!X48</f>
        <v>85.223777123472999</v>
      </c>
      <c r="L48" s="70">
        <f>ROUND('PART MES'!$H$4*'CALCULO GARANTIA'!Q49,2)</f>
        <v>-8975.23</v>
      </c>
      <c r="M48" s="402">
        <f t="shared" si="0"/>
        <v>1939161.409477422</v>
      </c>
    </row>
    <row r="49" spans="1:14">
      <c r="A49" s="325" t="s">
        <v>44</v>
      </c>
      <c r="B49" s="70">
        <f>ROUND('PART MES'!E$4*'CALCULO GARANTIA'!$Q50+'Ajuste 1er Sem'!O49,2)</f>
        <v>4558761.74</v>
      </c>
      <c r="C49" s="70">
        <f>ROUND('PART MES'!E$5*'CALCULO GARANTIA'!$Q50+'Ajuste 1er Sem'!P49,2)</f>
        <v>599487.75</v>
      </c>
      <c r="D49" s="70">
        <f>+'Art.14 Frac.III'!P48+'Ajuste 1er Sem'!Q49</f>
        <v>10905.550056543492</v>
      </c>
      <c r="E49" s="70">
        <f>ROUND('PART MES'!E$7*'CALCULO GARANTIA'!$Q50+'Ajuste 1er Sem'!R49,2)</f>
        <v>179879.37</v>
      </c>
      <c r="F49" s="70">
        <f>ROUND('PART MES'!E$8*'CALCULO GARANTIA'!$Q50+'Ajuste 1er Sem'!S49,2)</f>
        <v>139908.53</v>
      </c>
      <c r="G49" s="70">
        <f>ROUND('PART MES'!E$9*'CALCULO GARANTIA'!$Q50+'Ajuste 1er Sem'!U49,2)</f>
        <v>135154.56</v>
      </c>
      <c r="H49" s="70">
        <f>ROUND('PART MES'!E$10*'CALCULO GARANTIA'!$Q50+'Ajuste 1er Sem'!V49,2)</f>
        <v>30370.71</v>
      </c>
      <c r="I49" s="70">
        <f>ROUND(+'PART MES'!E$11*'COEF Art 14 F II'!L51+'Ajuste 1er Sem'!W49,2)</f>
        <v>92367.05</v>
      </c>
      <c r="J49" s="70">
        <f>+'ISR SEPTIEMBRE '!D50</f>
        <v>618162</v>
      </c>
      <c r="K49" s="70">
        <f>+ISAI!D47+'Ajuste 1er Sem'!X49</f>
        <v>16867.708486387874</v>
      </c>
      <c r="L49" s="70">
        <f>ROUND('PART MES'!$H$4*'CALCULO GARANTIA'!Q50,2)</f>
        <v>-25823.15</v>
      </c>
      <c r="M49" s="402">
        <f t="shared" si="0"/>
        <v>6356041.8185429303</v>
      </c>
    </row>
    <row r="50" spans="1:14">
      <c r="A50" s="325" t="s">
        <v>45</v>
      </c>
      <c r="B50" s="70">
        <f>ROUND('PART MES'!E$4*'CALCULO GARANTIA'!$Q51+'Ajuste 1er Sem'!O50,2)</f>
        <v>3923053.48</v>
      </c>
      <c r="C50" s="70">
        <f>ROUND('PART MES'!E$5*'CALCULO GARANTIA'!$Q51+'Ajuste 1er Sem'!P50,2)</f>
        <v>515890.64</v>
      </c>
      <c r="D50" s="70">
        <f>+'Art.14 Frac.III'!P49+'Ajuste 1er Sem'!Q50</f>
        <v>96727.143398793065</v>
      </c>
      <c r="E50" s="70">
        <f>ROUND('PART MES'!E$7*'CALCULO GARANTIA'!$Q51+'Ajuste 1er Sem'!R50,2)</f>
        <v>154795.63</v>
      </c>
      <c r="F50" s="70">
        <f>ROUND('PART MES'!E$8*'CALCULO GARANTIA'!$Q51+'Ajuste 1er Sem'!S50,2)</f>
        <v>120398.63</v>
      </c>
      <c r="G50" s="70">
        <f>ROUND('PART MES'!E$9*'CALCULO GARANTIA'!$Q51+'Ajuste 1er Sem'!U50,2)</f>
        <v>116307.58</v>
      </c>
      <c r="H50" s="70">
        <f>ROUND('PART MES'!E$10*'CALCULO GARANTIA'!$Q51+'Ajuste 1er Sem'!V50,2)</f>
        <v>26135.59</v>
      </c>
      <c r="I50" s="70">
        <f>ROUND(+'PART MES'!E$11*'COEF Art 14 F II'!L52+'Ajuste 1er Sem'!W50,2)</f>
        <v>178793.74</v>
      </c>
      <c r="J50" s="70">
        <f>+'ISR SEPTIEMBRE '!D51</f>
        <v>465691</v>
      </c>
      <c r="K50" s="70">
        <f>+ISAI!D48+'Ajuste 1er Sem'!X50</f>
        <v>61841.858219107911</v>
      </c>
      <c r="L50" s="70">
        <f>ROUND('PART MES'!$H$4*'CALCULO GARANTIA'!Q51,2)</f>
        <v>-22222.17</v>
      </c>
      <c r="M50" s="402">
        <f t="shared" si="0"/>
        <v>5637413.1216179011</v>
      </c>
    </row>
    <row r="51" spans="1:14">
      <c r="A51" s="325" t="s">
        <v>46</v>
      </c>
      <c r="B51" s="70">
        <f>ROUND('PART MES'!E$4*'CALCULO GARANTIA'!$Q52+'Ajuste 1er Sem'!O51,2)</f>
        <v>35497946.399999999</v>
      </c>
      <c r="C51" s="70">
        <f>ROUND('PART MES'!E$5*'CALCULO GARANTIA'!$Q52+'Ajuste 1er Sem'!P51,2)</f>
        <v>4668062.37</v>
      </c>
      <c r="D51" s="70">
        <f>+'Art.14 Frac.III'!P50+'Ajuste 1er Sem'!Q51</f>
        <v>902894.65459312871</v>
      </c>
      <c r="E51" s="70">
        <f>ROUND('PART MES'!E$7*'CALCULO GARANTIA'!$Q52+'Ajuste 1er Sem'!R51,2)</f>
        <v>1400676.03</v>
      </c>
      <c r="F51" s="70">
        <f>ROUND('PART MES'!E$8*'CALCULO GARANTIA'!$Q52+'Ajuste 1er Sem'!S51,2)</f>
        <v>1089433.03</v>
      </c>
      <c r="G51" s="70">
        <f>ROUND('PART MES'!E$9*'CALCULO GARANTIA'!$Q52+'Ajuste 1er Sem'!U51,2)</f>
        <v>1052414.99</v>
      </c>
      <c r="H51" s="70">
        <f>ROUND('PART MES'!E$10*'CALCULO GARANTIA'!$Q52+'Ajuste 1er Sem'!V51,2)</f>
        <v>236489.2</v>
      </c>
      <c r="I51" s="70">
        <f>ROUND(+'PART MES'!E$11*'COEF Art 14 F II'!L53+'Ajuste 1er Sem'!W51,2)</f>
        <v>1084561.78</v>
      </c>
      <c r="J51" s="70">
        <f>+'ISR SEPTIEMBRE '!D52</f>
        <v>4770597</v>
      </c>
      <c r="K51" s="70">
        <f>+ISAI!D49+'Ajuste 1er Sem'!X51</f>
        <v>481846.23628969077</v>
      </c>
      <c r="L51" s="70">
        <f>ROUND('PART MES'!$H$4*'CALCULO GARANTIA'!Q52,2)</f>
        <v>-201078.47</v>
      </c>
      <c r="M51" s="402">
        <f t="shared" si="0"/>
        <v>50983843.220882818</v>
      </c>
    </row>
    <row r="52" spans="1:14">
      <c r="A52" s="325" t="s">
        <v>47</v>
      </c>
      <c r="B52" s="70">
        <f>ROUND('PART MES'!E$4*'CALCULO GARANTIA'!$Q53+'Ajuste 1er Sem'!O52,2)</f>
        <v>68591079.159999996</v>
      </c>
      <c r="C52" s="70">
        <f>ROUND('PART MES'!E$5*'CALCULO GARANTIA'!$Q53+'Ajuste 1er Sem'!P52,2)</f>
        <v>9019886.1699999999</v>
      </c>
      <c r="D52" s="70">
        <f>+'Art.14 Frac.III'!P51+'Ajuste 1er Sem'!Q52</f>
        <v>1304726.2123283658</v>
      </c>
      <c r="E52" s="70">
        <f>ROUND('PART MES'!E$7*'CALCULO GARANTIA'!$Q53+'Ajuste 1er Sem'!R52,2)</f>
        <v>2706463.05</v>
      </c>
      <c r="F52" s="70">
        <f>ROUND('PART MES'!E$8*'CALCULO GARANTIA'!$Q53+'Ajuste 1er Sem'!S52,2)</f>
        <v>2105062.2599999998</v>
      </c>
      <c r="G52" s="70">
        <f>ROUND('PART MES'!E$9*'CALCULO GARANTIA'!$Q53+'Ajuste 1er Sem'!U52,2)</f>
        <v>2033533.97</v>
      </c>
      <c r="H52" s="70">
        <f>ROUND('PART MES'!E$10*'CALCULO GARANTIA'!$Q53+'Ajuste 1er Sem'!V52,2)</f>
        <v>456957.41</v>
      </c>
      <c r="I52" s="70">
        <f>ROUND(+'PART MES'!E$11*'COEF Art 14 F II'!L54+'Ajuste 1er Sem'!W52,2)</f>
        <v>791921.76</v>
      </c>
      <c r="J52" s="70">
        <f>+'ISR SEPTIEMBRE '!D53</f>
        <v>15247448</v>
      </c>
      <c r="K52" s="70">
        <f>+ISAI!D50+'Ajuste 1er Sem'!X52</f>
        <v>1677012.6502178858</v>
      </c>
      <c r="L52" s="70">
        <f>ROUND('PART MES'!$H$4*'CALCULO GARANTIA'!Q53,2)</f>
        <v>-388534.84</v>
      </c>
      <c r="M52" s="402">
        <f t="shared" si="0"/>
        <v>103545555.80254625</v>
      </c>
    </row>
    <row r="53" spans="1:14">
      <c r="A53" s="325" t="s">
        <v>48</v>
      </c>
      <c r="B53" s="70">
        <f>ROUND('PART MES'!E$4*'CALCULO GARANTIA'!$Q54+'Ajuste 1er Sem'!O53,2)</f>
        <v>18482882.920000002</v>
      </c>
      <c r="C53" s="70">
        <f>ROUND('PART MES'!E$5*'CALCULO GARANTIA'!$Q54+'Ajuste 1er Sem'!P53,2)</f>
        <v>2430542.02</v>
      </c>
      <c r="D53" s="70">
        <f>+'Art.14 Frac.III'!P52+'Ajuste 1er Sem'!Q53</f>
        <v>366010.03273894172</v>
      </c>
      <c r="E53" s="70">
        <f>ROUND('PART MES'!E$7*'CALCULO GARANTIA'!$Q54+'Ajuste 1er Sem'!R53,2)</f>
        <v>729296.58</v>
      </c>
      <c r="F53" s="70">
        <f>ROUND('PART MES'!E$8*'CALCULO GARANTIA'!$Q54+'Ajuste 1er Sem'!S53,2)</f>
        <v>567240.23</v>
      </c>
      <c r="G53" s="70">
        <f>ROUND('PART MES'!E$9*'CALCULO GARANTIA'!$Q54+'Ajuste 1er Sem'!U53,2)</f>
        <v>547965.87</v>
      </c>
      <c r="H53" s="70">
        <f>ROUND('PART MES'!E$10*'CALCULO GARANTIA'!$Q54+'Ajuste 1er Sem'!V53,2)</f>
        <v>123133.95</v>
      </c>
      <c r="I53" s="70">
        <f>ROUND(+'PART MES'!E$11*'COEF Art 14 F II'!L55+'Ajuste 1er Sem'!W53,2)</f>
        <v>703090.06</v>
      </c>
      <c r="J53" s="70">
        <f>+'ISR SEPTIEMBRE '!D54</f>
        <v>6536818</v>
      </c>
      <c r="K53" s="70">
        <f>+ISAI!D51+'Ajuste 1er Sem'!X53</f>
        <v>590490.04354735289</v>
      </c>
      <c r="L53" s="70">
        <f>ROUND('PART MES'!$H$4*'CALCULO GARANTIA'!Q54,2)</f>
        <v>-104696.47</v>
      </c>
      <c r="M53" s="402">
        <f t="shared" si="0"/>
        <v>30972773.236286297</v>
      </c>
    </row>
    <row r="54" spans="1:14">
      <c r="A54" s="325" t="s">
        <v>49</v>
      </c>
      <c r="B54" s="70">
        <f>ROUND('PART MES'!E$4*'CALCULO GARANTIA'!$Q55+'Ajuste 1er Sem'!O54,2)</f>
        <v>5891360.6200000001</v>
      </c>
      <c r="C54" s="70">
        <f>ROUND('PART MES'!E$5*'CALCULO GARANTIA'!$Q55+'Ajuste 1er Sem'!P54,2)</f>
        <v>774727.6</v>
      </c>
      <c r="D54" s="70">
        <f>+'Art.14 Frac.III'!P53+'Ajuste 1er Sem'!Q54</f>
        <v>579852.07221973536</v>
      </c>
      <c r="E54" s="70">
        <f>ROUND('PART MES'!E$7*'CALCULO GARANTIA'!$Q55+'Ajuste 1er Sem'!R54,2)</f>
        <v>232460.99</v>
      </c>
      <c r="F54" s="70">
        <f>ROUND('PART MES'!E$8*'CALCULO GARANTIA'!$Q55+'Ajuste 1er Sem'!S54,2)</f>
        <v>180806.03</v>
      </c>
      <c r="G54" s="70">
        <f>ROUND('PART MES'!E$9*'CALCULO GARANTIA'!$Q55+'Ajuste 1er Sem'!U54,2)</f>
        <v>174662.39</v>
      </c>
      <c r="H54" s="70">
        <f>ROUND('PART MES'!E$10*'CALCULO GARANTIA'!$Q55+'Ajuste 1er Sem'!V54,2)</f>
        <v>39248.559999999998</v>
      </c>
      <c r="I54" s="70">
        <f>ROUND(+'PART MES'!E$11*'COEF Art 14 F II'!L56+'Ajuste 1er Sem'!W54,2)</f>
        <v>169011.32</v>
      </c>
      <c r="J54" s="70">
        <f>+'ISR SEPTIEMBRE '!D55</f>
        <v>423899</v>
      </c>
      <c r="K54" s="70">
        <f>+ISAI!D52+'Ajuste 1er Sem'!X54</f>
        <v>500980.79949290497</v>
      </c>
      <c r="L54" s="70">
        <f>ROUND('PART MES'!$H$4*'CALCULO GARANTIA'!Q55,2)</f>
        <v>-33371.67</v>
      </c>
      <c r="M54" s="402">
        <f t="shared" si="0"/>
        <v>8933637.7117126398</v>
      </c>
    </row>
    <row r="55" spans="1:14">
      <c r="A55" s="325" t="s">
        <v>50</v>
      </c>
      <c r="B55" s="70">
        <f>ROUND('PART MES'!E$4*'CALCULO GARANTIA'!$Q56+'Ajuste 1er Sem'!O55,2)</f>
        <v>1183727.29</v>
      </c>
      <c r="C55" s="70">
        <f>ROUND('PART MES'!E$5*'CALCULO GARANTIA'!$Q56+'Ajuste 1er Sem'!P55,2)</f>
        <v>155662.89000000001</v>
      </c>
      <c r="D55" s="70">
        <f>+'Art.14 Frac.III'!P54+'Ajuste 1er Sem'!Q55</f>
        <v>451581.03466652421</v>
      </c>
      <c r="E55" s="70">
        <f>ROUND('PART MES'!E$7*'CALCULO GARANTIA'!$Q56+'Ajuste 1er Sem'!R55,2)</f>
        <v>46707.45</v>
      </c>
      <c r="F55" s="70">
        <f>ROUND('PART MES'!E$8*'CALCULO GARANTIA'!$Q56+'Ajuste 1er Sem'!S55,2)</f>
        <v>36328.629999999997</v>
      </c>
      <c r="G55" s="70">
        <f>ROUND('PART MES'!E$9*'CALCULO GARANTIA'!$Q56+'Ajuste 1er Sem'!U55,2)</f>
        <v>35094.21</v>
      </c>
      <c r="H55" s="70">
        <f>ROUND('PART MES'!E$10*'CALCULO GARANTIA'!$Q56+'Ajuste 1er Sem'!V55,2)</f>
        <v>7886.05</v>
      </c>
      <c r="I55" s="70">
        <f>ROUND(+'PART MES'!E$11*'COEF Art 14 F II'!L57+'Ajuste 1er Sem'!W55,2)</f>
        <v>27573.23</v>
      </c>
      <c r="J55" s="70">
        <f>+'ISR SEPTIEMBRE '!D56</f>
        <v>0</v>
      </c>
      <c r="K55" s="70">
        <f>+ISAI!D53+'Ajuste 1er Sem'!X55</f>
        <v>2988.1639155009211</v>
      </c>
      <c r="L55" s="70">
        <f>ROUND('PART MES'!$H$4*'CALCULO GARANTIA'!Q56,2)</f>
        <v>-6705.23</v>
      </c>
      <c r="M55" s="402">
        <f t="shared" si="0"/>
        <v>1940843.7185820253</v>
      </c>
    </row>
    <row r="56" spans="1:14" ht="13.5" thickBot="1">
      <c r="A56" s="326" t="s">
        <v>51</v>
      </c>
      <c r="B56" s="70">
        <f>ROUND('PART MES'!E$4*'CALCULO GARANTIA'!$Q57+'Ajuste 1er Sem'!O56,2)</f>
        <v>1630834.2</v>
      </c>
      <c r="C56" s="70">
        <f>ROUND('PART MES'!E$5*'CALCULO GARANTIA'!$Q57+'Ajuste 1er Sem'!P56,2)</f>
        <v>214458.48</v>
      </c>
      <c r="D56" s="70">
        <f>+'Art.14 Frac.III'!P55+'Ajuste 1er Sem'!Q56</f>
        <v>262402.43301268737</v>
      </c>
      <c r="E56" s="70">
        <f>ROUND('PART MES'!E$7*'CALCULO GARANTIA'!$Q57+'Ajuste 1er Sem'!R56,2)</f>
        <v>64349.37</v>
      </c>
      <c r="F56" s="70">
        <f>ROUND('PART MES'!E$8*'CALCULO GARANTIA'!$Q57+'Ajuste 1er Sem'!S56,2)</f>
        <v>50050.35</v>
      </c>
      <c r="G56" s="70">
        <f>ROUND('PART MES'!E$9*'CALCULO GARANTIA'!$Q57+'Ajuste 1er Sem'!U56,2)</f>
        <v>48349.68</v>
      </c>
      <c r="H56" s="70">
        <f>ROUND('PART MES'!E$10*'CALCULO GARANTIA'!$Q57+'Ajuste 1er Sem'!V56,2)</f>
        <v>10864.7</v>
      </c>
      <c r="I56" s="70">
        <f>ROUND(+'PART MES'!E$11*'COEF Art 14 F II'!L58+'Ajuste 1er Sem'!W56,2)</f>
        <v>21484.32</v>
      </c>
      <c r="J56" s="70">
        <f>+'ISR SEPTIEMBRE '!D57</f>
        <v>0</v>
      </c>
      <c r="K56" s="70">
        <f>+ISAI!D54+'Ajuste 1er Sem'!X56</f>
        <v>2261.7381493686385</v>
      </c>
      <c r="L56" s="70">
        <f>ROUND('PART MES'!$H$4*'CALCULO GARANTIA'!Q57,2)</f>
        <v>-9237.8799999999992</v>
      </c>
      <c r="M56" s="402">
        <f t="shared" si="0"/>
        <v>2295817.3911620565</v>
      </c>
    </row>
    <row r="57" spans="1:14" ht="13.5" thickBot="1">
      <c r="A57" s="320" t="s">
        <v>52</v>
      </c>
      <c r="B57" s="321">
        <f t="shared" ref="B57:F57" si="1">SUM(B6:B56)</f>
        <v>490700802.03000003</v>
      </c>
      <c r="C57" s="321">
        <f t="shared" si="1"/>
        <v>64528294.770000003</v>
      </c>
      <c r="D57" s="322">
        <f t="shared" si="1"/>
        <v>15383386.399389127</v>
      </c>
      <c r="E57" s="321">
        <f t="shared" si="1"/>
        <v>19362045.429999996</v>
      </c>
      <c r="F57" s="321">
        <f t="shared" si="1"/>
        <v>15059622.189999998</v>
      </c>
      <c r="G57" s="321">
        <f t="shared" ref="G57:M57" si="2">SUM(G6:G56)</f>
        <v>14547908.600000001</v>
      </c>
      <c r="H57" s="321">
        <f t="shared" si="2"/>
        <v>3269074.7800000007</v>
      </c>
      <c r="I57" s="321">
        <f t="shared" si="2"/>
        <v>14405853.440000001</v>
      </c>
      <c r="J57" s="321">
        <f t="shared" si="2"/>
        <v>46577262</v>
      </c>
      <c r="K57" s="321">
        <f t="shared" si="2"/>
        <v>10293956.600000003</v>
      </c>
      <c r="L57" s="322">
        <f t="shared" si="2"/>
        <v>-2779579.4899999998</v>
      </c>
      <c r="M57" s="323">
        <f t="shared" si="2"/>
        <v>691348626.74938917</v>
      </c>
      <c r="N57" s="16" t="s">
        <v>184</v>
      </c>
    </row>
    <row r="58" spans="1:14">
      <c r="A58" s="2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 t="s">
        <v>184</v>
      </c>
    </row>
    <row r="59" spans="1:14" ht="16.5" customHeight="1">
      <c r="A59" s="15" t="s">
        <v>124</v>
      </c>
      <c r="B59" s="62"/>
      <c r="C59" s="62"/>
      <c r="D59" s="62"/>
      <c r="E59" s="62"/>
    </row>
    <row r="60" spans="1:14">
      <c r="A60" s="17"/>
    </row>
    <row r="61" spans="1:14">
      <c r="A61" s="17"/>
    </row>
    <row r="62" spans="1:14" ht="16.5" customHeight="1"/>
  </sheetData>
  <mergeCells count="4">
    <mergeCell ref="A1:M1"/>
    <mergeCell ref="A2:M2"/>
    <mergeCell ref="A3:M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406" t="s">
        <v>251</v>
      </c>
      <c r="B1" s="406" t="s">
        <v>252</v>
      </c>
      <c r="C1" s="406" t="s">
        <v>308</v>
      </c>
      <c r="D1" s="406"/>
      <c r="E1" s="406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</row>
    <row r="2" spans="1:49" ht="15.75">
      <c r="A2" s="406"/>
      <c r="B2" s="406"/>
      <c r="C2" s="213" t="s">
        <v>253</v>
      </c>
      <c r="D2" s="213" t="s">
        <v>254</v>
      </c>
      <c r="E2" s="213" t="s">
        <v>255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</row>
    <row r="3" spans="1:49" ht="15.75">
      <c r="A3" s="214"/>
      <c r="B3" s="215"/>
      <c r="C3" s="215"/>
      <c r="D3" s="215"/>
      <c r="E3" s="216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</row>
    <row r="4" spans="1:49" ht="15.75">
      <c r="A4" s="217" t="s">
        <v>256</v>
      </c>
      <c r="B4" s="218" t="s">
        <v>253</v>
      </c>
      <c r="C4" s="219">
        <f>SUM(C5:C55)</f>
        <v>5784442</v>
      </c>
      <c r="D4" s="219">
        <f>SUM(D5:D55)</f>
        <v>2890950</v>
      </c>
      <c r="E4" s="219">
        <f>SUM(E5:E55)</f>
        <v>2893492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</row>
    <row r="5" spans="1:49" ht="15.75">
      <c r="A5" s="220" t="s">
        <v>256</v>
      </c>
      <c r="B5" s="221" t="s">
        <v>257</v>
      </c>
      <c r="C5" s="222">
        <v>2974</v>
      </c>
      <c r="D5" s="222">
        <v>1442</v>
      </c>
      <c r="E5" s="223">
        <v>1532</v>
      </c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</row>
    <row r="6" spans="1:49" ht="15.75">
      <c r="A6" s="224" t="s">
        <v>256</v>
      </c>
      <c r="B6" s="225" t="s">
        <v>258</v>
      </c>
      <c r="C6" s="226">
        <v>3382</v>
      </c>
      <c r="D6" s="226">
        <v>1690</v>
      </c>
      <c r="E6" s="227">
        <v>1692</v>
      </c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</row>
    <row r="7" spans="1:49" ht="15.75">
      <c r="A7" s="220" t="s">
        <v>256</v>
      </c>
      <c r="B7" s="221" t="s">
        <v>259</v>
      </c>
      <c r="C7" s="222">
        <v>35289</v>
      </c>
      <c r="D7" s="222">
        <v>17829</v>
      </c>
      <c r="E7" s="223">
        <v>17460</v>
      </c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</row>
    <row r="8" spans="1:49" ht="15.75">
      <c r="A8" s="224" t="s">
        <v>256</v>
      </c>
      <c r="B8" s="225" t="s">
        <v>260</v>
      </c>
      <c r="C8" s="226">
        <v>18030</v>
      </c>
      <c r="D8" s="226">
        <v>8852</v>
      </c>
      <c r="E8" s="227">
        <v>9178</v>
      </c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</row>
    <row r="9" spans="1:49" ht="15.75">
      <c r="A9" s="220" t="s">
        <v>256</v>
      </c>
      <c r="B9" s="221" t="s">
        <v>261</v>
      </c>
      <c r="C9" s="222">
        <v>656464</v>
      </c>
      <c r="D9" s="222">
        <v>331513</v>
      </c>
      <c r="E9" s="223">
        <v>324951</v>
      </c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</row>
    <row r="10" spans="1:49" ht="15.75">
      <c r="A10" s="224" t="s">
        <v>256</v>
      </c>
      <c r="B10" s="225" t="s">
        <v>262</v>
      </c>
      <c r="C10" s="226">
        <v>14992</v>
      </c>
      <c r="D10" s="226">
        <v>7667</v>
      </c>
      <c r="E10" s="227">
        <v>7325</v>
      </c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</row>
    <row r="11" spans="1:49" ht="15.75">
      <c r="A11" s="220" t="s">
        <v>256</v>
      </c>
      <c r="B11" s="221" t="s">
        <v>263</v>
      </c>
      <c r="C11" s="222">
        <v>3661</v>
      </c>
      <c r="D11" s="222">
        <v>1824</v>
      </c>
      <c r="E11" s="223">
        <v>1837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</row>
    <row r="12" spans="1:49" ht="15.75">
      <c r="A12" s="224" t="s">
        <v>256</v>
      </c>
      <c r="B12" s="225" t="s">
        <v>264</v>
      </c>
      <c r="C12" s="226">
        <v>122337</v>
      </c>
      <c r="D12" s="226">
        <v>62377</v>
      </c>
      <c r="E12" s="227">
        <v>59960</v>
      </c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</row>
    <row r="13" spans="1:49" ht="15.75">
      <c r="A13" s="220" t="s">
        <v>256</v>
      </c>
      <c r="B13" s="221" t="s">
        <v>265</v>
      </c>
      <c r="C13" s="222">
        <v>7340</v>
      </c>
      <c r="D13" s="222">
        <v>3707</v>
      </c>
      <c r="E13" s="223">
        <v>3633</v>
      </c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</row>
    <row r="14" spans="1:49" ht="15.75">
      <c r="A14" s="224" t="s">
        <v>256</v>
      </c>
      <c r="B14" s="225" t="s">
        <v>266</v>
      </c>
      <c r="C14" s="226">
        <v>9930</v>
      </c>
      <c r="D14" s="226">
        <v>4961</v>
      </c>
      <c r="E14" s="227">
        <v>4969</v>
      </c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</row>
    <row r="15" spans="1:49" ht="15.75">
      <c r="A15" s="220" t="s">
        <v>256</v>
      </c>
      <c r="B15" s="221" t="s">
        <v>267</v>
      </c>
      <c r="C15" s="222">
        <v>68747</v>
      </c>
      <c r="D15" s="222">
        <v>35206</v>
      </c>
      <c r="E15" s="223">
        <v>33541</v>
      </c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</row>
    <row r="16" spans="1:49" ht="15.75">
      <c r="A16" s="224" t="s">
        <v>256</v>
      </c>
      <c r="B16" s="225" t="s">
        <v>268</v>
      </c>
      <c r="C16" s="226">
        <v>36088</v>
      </c>
      <c r="D16" s="226">
        <v>18060</v>
      </c>
      <c r="E16" s="227">
        <v>18028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</row>
    <row r="17" spans="1:49" ht="15.75">
      <c r="A17" s="220" t="s">
        <v>256</v>
      </c>
      <c r="B17" s="221" t="s">
        <v>269</v>
      </c>
      <c r="C17" s="222">
        <v>1360</v>
      </c>
      <c r="D17" s="222">
        <v>657</v>
      </c>
      <c r="E17" s="223">
        <v>703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</row>
    <row r="18" spans="1:49" ht="15.75">
      <c r="A18" s="224" t="s">
        <v>256</v>
      </c>
      <c r="B18" s="225" t="s">
        <v>270</v>
      </c>
      <c r="C18" s="226">
        <v>3256</v>
      </c>
      <c r="D18" s="226">
        <v>1672</v>
      </c>
      <c r="E18" s="227">
        <v>1584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</row>
    <row r="19" spans="1:49" ht="15.75">
      <c r="A19" s="220" t="s">
        <v>256</v>
      </c>
      <c r="B19" s="221" t="s">
        <v>271</v>
      </c>
      <c r="C19" s="222">
        <v>104478</v>
      </c>
      <c r="D19" s="222">
        <v>52883</v>
      </c>
      <c r="E19" s="223">
        <v>51595</v>
      </c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</row>
    <row r="20" spans="1:49" ht="15.75">
      <c r="A20" s="224" t="s">
        <v>256</v>
      </c>
      <c r="B20" s="225" t="s">
        <v>272</v>
      </c>
      <c r="C20" s="226">
        <v>40903</v>
      </c>
      <c r="D20" s="226">
        <v>20444</v>
      </c>
      <c r="E20" s="227">
        <v>20459</v>
      </c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</row>
    <row r="21" spans="1:49" ht="15.75">
      <c r="A21" s="220" t="s">
        <v>256</v>
      </c>
      <c r="B21" s="221" t="s">
        <v>273</v>
      </c>
      <c r="C21" s="222">
        <v>397205</v>
      </c>
      <c r="D21" s="222">
        <v>200708</v>
      </c>
      <c r="E21" s="223">
        <v>196497</v>
      </c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</row>
    <row r="22" spans="1:49" ht="15.75">
      <c r="A22" s="224" t="s">
        <v>256</v>
      </c>
      <c r="B22" s="225" t="s">
        <v>274</v>
      </c>
      <c r="C22" s="226">
        <v>5506</v>
      </c>
      <c r="D22" s="226">
        <v>2796</v>
      </c>
      <c r="E22" s="227">
        <v>2710</v>
      </c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</row>
    <row r="23" spans="1:49" ht="15.75">
      <c r="A23" s="220" t="s">
        <v>256</v>
      </c>
      <c r="B23" s="221" t="s">
        <v>275</v>
      </c>
      <c r="C23" s="222">
        <v>481213</v>
      </c>
      <c r="D23" s="222">
        <v>242161</v>
      </c>
      <c r="E23" s="223">
        <v>239052</v>
      </c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</row>
    <row r="24" spans="1:49" ht="15.75">
      <c r="A24" s="224" t="s">
        <v>256</v>
      </c>
      <c r="B24" s="225" t="s">
        <v>276</v>
      </c>
      <c r="C24" s="226">
        <v>14109</v>
      </c>
      <c r="D24" s="226">
        <v>7115</v>
      </c>
      <c r="E24" s="227">
        <v>6994</v>
      </c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</row>
    <row r="25" spans="1:49" ht="15.75">
      <c r="A25" s="220" t="s">
        <v>256</v>
      </c>
      <c r="B25" s="221" t="s">
        <v>277</v>
      </c>
      <c r="C25" s="222">
        <v>1808</v>
      </c>
      <c r="D25" s="222">
        <v>890</v>
      </c>
      <c r="E25" s="223">
        <v>918</v>
      </c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</row>
    <row r="26" spans="1:49" ht="15.75">
      <c r="A26" s="224" t="s">
        <v>256</v>
      </c>
      <c r="B26" s="225" t="s">
        <v>278</v>
      </c>
      <c r="C26" s="226">
        <v>6282</v>
      </c>
      <c r="D26" s="226">
        <v>3224</v>
      </c>
      <c r="E26" s="227">
        <v>3058</v>
      </c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</row>
    <row r="27" spans="1:49" ht="15.75">
      <c r="A27" s="220" t="s">
        <v>256</v>
      </c>
      <c r="B27" s="221" t="s">
        <v>279</v>
      </c>
      <c r="C27" s="222">
        <v>102149</v>
      </c>
      <c r="D27" s="222">
        <v>51844</v>
      </c>
      <c r="E27" s="223">
        <v>50305</v>
      </c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</row>
    <row r="28" spans="1:49" ht="15.75">
      <c r="A28" s="224" t="s">
        <v>256</v>
      </c>
      <c r="B28" s="225" t="s">
        <v>280</v>
      </c>
      <c r="C28" s="226">
        <v>643143</v>
      </c>
      <c r="D28" s="226">
        <v>318993</v>
      </c>
      <c r="E28" s="227">
        <v>324150</v>
      </c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</row>
    <row r="29" spans="1:49" ht="15.75">
      <c r="A29" s="220" t="s">
        <v>256</v>
      </c>
      <c r="B29" s="221" t="s">
        <v>281</v>
      </c>
      <c r="C29" s="222">
        <v>16086</v>
      </c>
      <c r="D29" s="222">
        <v>8082</v>
      </c>
      <c r="E29" s="223">
        <v>8004</v>
      </c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</row>
    <row r="30" spans="1:49" ht="15.75">
      <c r="A30" s="224" t="s">
        <v>256</v>
      </c>
      <c r="B30" s="225" t="s">
        <v>282</v>
      </c>
      <c r="C30" s="226">
        <v>1386</v>
      </c>
      <c r="D30" s="226">
        <v>724</v>
      </c>
      <c r="E30" s="227">
        <v>662</v>
      </c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</row>
    <row r="31" spans="1:49" ht="15.75">
      <c r="A31" s="220" t="s">
        <v>256</v>
      </c>
      <c r="B31" s="221" t="s">
        <v>283</v>
      </c>
      <c r="C31" s="222">
        <v>7026</v>
      </c>
      <c r="D31" s="222">
        <v>3480</v>
      </c>
      <c r="E31" s="223">
        <v>3546</v>
      </c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</row>
    <row r="32" spans="1:49" ht="15.75">
      <c r="A32" s="224" t="s">
        <v>256</v>
      </c>
      <c r="B32" s="225" t="s">
        <v>284</v>
      </c>
      <c r="C32" s="226">
        <v>3298</v>
      </c>
      <c r="D32" s="226">
        <v>1716</v>
      </c>
      <c r="E32" s="227">
        <v>1582</v>
      </c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</row>
    <row r="33" spans="1:49" ht="15.75">
      <c r="A33" s="220" t="s">
        <v>256</v>
      </c>
      <c r="B33" s="221" t="s">
        <v>285</v>
      </c>
      <c r="C33" s="222">
        <v>471523</v>
      </c>
      <c r="D33" s="222">
        <v>237717</v>
      </c>
      <c r="E33" s="223">
        <v>233806</v>
      </c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</row>
    <row r="34" spans="1:49" ht="15.75">
      <c r="A34" s="224" t="s">
        <v>256</v>
      </c>
      <c r="B34" s="225" t="s">
        <v>286</v>
      </c>
      <c r="C34" s="226">
        <v>5351</v>
      </c>
      <c r="D34" s="226">
        <v>2657</v>
      </c>
      <c r="E34" s="227">
        <v>2694</v>
      </c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</row>
    <row r="35" spans="1:49" ht="15.75">
      <c r="A35" s="220" t="s">
        <v>256</v>
      </c>
      <c r="B35" s="221" t="s">
        <v>287</v>
      </c>
      <c r="C35" s="222">
        <v>84666</v>
      </c>
      <c r="D35" s="222">
        <v>41878</v>
      </c>
      <c r="E35" s="223">
        <v>42788</v>
      </c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</row>
    <row r="36" spans="1:49" ht="15.75">
      <c r="A36" s="224" t="s">
        <v>256</v>
      </c>
      <c r="B36" s="225" t="s">
        <v>288</v>
      </c>
      <c r="C36" s="226">
        <v>1407</v>
      </c>
      <c r="D36" s="226">
        <v>699</v>
      </c>
      <c r="E36" s="227">
        <v>708</v>
      </c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</row>
    <row r="37" spans="1:49" ht="15.75">
      <c r="A37" s="220" t="s">
        <v>256</v>
      </c>
      <c r="B37" s="221" t="s">
        <v>289</v>
      </c>
      <c r="C37" s="222">
        <v>1959</v>
      </c>
      <c r="D37" s="222">
        <v>989</v>
      </c>
      <c r="E37" s="223">
        <v>970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</row>
    <row r="38" spans="1:49" ht="15.75">
      <c r="A38" s="224" t="s">
        <v>256</v>
      </c>
      <c r="B38" s="225" t="s">
        <v>290</v>
      </c>
      <c r="C38" s="226">
        <v>5389</v>
      </c>
      <c r="D38" s="226">
        <v>2776</v>
      </c>
      <c r="E38" s="227">
        <v>2613</v>
      </c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</row>
    <row r="39" spans="1:49" ht="15.75">
      <c r="A39" s="220" t="s">
        <v>256</v>
      </c>
      <c r="B39" s="221" t="s">
        <v>291</v>
      </c>
      <c r="C39" s="222">
        <v>5119</v>
      </c>
      <c r="D39" s="222">
        <v>2639</v>
      </c>
      <c r="E39" s="223">
        <v>2480</v>
      </c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</row>
    <row r="40" spans="1:49" ht="15.75">
      <c r="A40" s="224" t="s">
        <v>256</v>
      </c>
      <c r="B40" s="225" t="s">
        <v>292</v>
      </c>
      <c r="C40" s="226">
        <v>1483</v>
      </c>
      <c r="D40" s="226">
        <v>764</v>
      </c>
      <c r="E40" s="227">
        <v>719</v>
      </c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</row>
    <row r="41" spans="1:49" ht="15.75">
      <c r="A41" s="220" t="s">
        <v>256</v>
      </c>
      <c r="B41" s="221" t="s">
        <v>293</v>
      </c>
      <c r="C41" s="222">
        <v>7652</v>
      </c>
      <c r="D41" s="222">
        <v>3795</v>
      </c>
      <c r="E41" s="223">
        <v>3857</v>
      </c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</row>
    <row r="42" spans="1:49" ht="15.75">
      <c r="A42" s="224" t="s">
        <v>256</v>
      </c>
      <c r="B42" s="225" t="s">
        <v>294</v>
      </c>
      <c r="C42" s="226">
        <v>6048</v>
      </c>
      <c r="D42" s="226">
        <v>3056</v>
      </c>
      <c r="E42" s="227">
        <v>2992</v>
      </c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</row>
    <row r="43" spans="1:49" ht="15.75">
      <c r="A43" s="220" t="s">
        <v>256</v>
      </c>
      <c r="B43" s="221" t="s">
        <v>295</v>
      </c>
      <c r="C43" s="222">
        <v>67428</v>
      </c>
      <c r="D43" s="222">
        <v>33569</v>
      </c>
      <c r="E43" s="223">
        <v>33859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</row>
    <row r="44" spans="1:49" ht="15.75">
      <c r="A44" s="224" t="s">
        <v>256</v>
      </c>
      <c r="B44" s="225" t="s">
        <v>296</v>
      </c>
      <c r="C44" s="226">
        <v>1142994</v>
      </c>
      <c r="D44" s="226">
        <v>564805</v>
      </c>
      <c r="E44" s="227">
        <v>578189</v>
      </c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</row>
    <row r="45" spans="1:49" ht="15.75">
      <c r="A45" s="220" t="s">
        <v>256</v>
      </c>
      <c r="B45" s="221" t="s">
        <v>297</v>
      </c>
      <c r="C45" s="222">
        <v>906</v>
      </c>
      <c r="D45" s="222">
        <v>457</v>
      </c>
      <c r="E45" s="223">
        <v>449</v>
      </c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</row>
    <row r="46" spans="1:49" ht="15.75">
      <c r="A46" s="224" t="s">
        <v>256</v>
      </c>
      <c r="B46" s="225" t="s">
        <v>298</v>
      </c>
      <c r="C46" s="226">
        <v>147624</v>
      </c>
      <c r="D46" s="226">
        <v>76004</v>
      </c>
      <c r="E46" s="227">
        <v>71620</v>
      </c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</row>
    <row r="47" spans="1:49" ht="15.75">
      <c r="A47" s="220" t="s">
        <v>256</v>
      </c>
      <c r="B47" s="221" t="s">
        <v>299</v>
      </c>
      <c r="C47" s="222">
        <v>2377</v>
      </c>
      <c r="D47" s="222">
        <v>1230</v>
      </c>
      <c r="E47" s="223">
        <v>1147</v>
      </c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</row>
    <row r="48" spans="1:49" ht="15.75">
      <c r="A48" s="224" t="s">
        <v>256</v>
      </c>
      <c r="B48" s="225" t="s">
        <v>300</v>
      </c>
      <c r="C48" s="226">
        <v>34709</v>
      </c>
      <c r="D48" s="226">
        <v>17035</v>
      </c>
      <c r="E48" s="227">
        <v>17674</v>
      </c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</row>
    <row r="49" spans="1:49" ht="15.75">
      <c r="A49" s="220" t="s">
        <v>256</v>
      </c>
      <c r="B49" s="221" t="s">
        <v>301</v>
      </c>
      <c r="C49" s="222">
        <v>86766</v>
      </c>
      <c r="D49" s="222">
        <v>44135</v>
      </c>
      <c r="E49" s="223">
        <v>42631</v>
      </c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</row>
    <row r="50" spans="1:49" ht="15.75">
      <c r="A50" s="224" t="s">
        <v>256</v>
      </c>
      <c r="B50" s="225" t="s">
        <v>302</v>
      </c>
      <c r="C50" s="226">
        <v>412199</v>
      </c>
      <c r="D50" s="226">
        <v>202958</v>
      </c>
      <c r="E50" s="227">
        <v>209241</v>
      </c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</row>
    <row r="51" spans="1:49" ht="15.75">
      <c r="A51" s="220" t="s">
        <v>256</v>
      </c>
      <c r="B51" s="221" t="s">
        <v>303</v>
      </c>
      <c r="C51" s="222">
        <v>132169</v>
      </c>
      <c r="D51" s="222">
        <v>62586</v>
      </c>
      <c r="E51" s="223">
        <v>69583</v>
      </c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</row>
    <row r="52" spans="1:49" ht="15.75">
      <c r="A52" s="224" t="s">
        <v>256</v>
      </c>
      <c r="B52" s="225" t="s">
        <v>304</v>
      </c>
      <c r="C52" s="226">
        <v>306322</v>
      </c>
      <c r="D52" s="226">
        <v>152617</v>
      </c>
      <c r="E52" s="227">
        <v>153705</v>
      </c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</row>
    <row r="53" spans="1:49" ht="15.75">
      <c r="A53" s="220" t="s">
        <v>256</v>
      </c>
      <c r="B53" s="221" t="s">
        <v>305</v>
      </c>
      <c r="C53" s="222">
        <v>46784</v>
      </c>
      <c r="D53" s="222">
        <v>23460</v>
      </c>
      <c r="E53" s="223">
        <v>23324</v>
      </c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</row>
    <row r="54" spans="1:49" ht="15.75">
      <c r="A54" s="224" t="s">
        <v>256</v>
      </c>
      <c r="B54" s="225" t="s">
        <v>306</v>
      </c>
      <c r="C54" s="226">
        <v>1552</v>
      </c>
      <c r="D54" s="226">
        <v>820</v>
      </c>
      <c r="E54" s="227">
        <v>732</v>
      </c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</row>
    <row r="55" spans="1:49" ht="15.75">
      <c r="A55" s="228" t="s">
        <v>256</v>
      </c>
      <c r="B55" s="229" t="s">
        <v>307</v>
      </c>
      <c r="C55" s="230">
        <v>3573</v>
      </c>
      <c r="D55" s="230">
        <v>1787</v>
      </c>
      <c r="E55" s="231">
        <v>1786</v>
      </c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</row>
    <row r="56" spans="1:49">
      <c r="A56" s="234" t="s">
        <v>310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</row>
    <row r="57" spans="1:49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</row>
    <row r="58" spans="1:49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</row>
    <row r="59" spans="1:49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</row>
    <row r="60" spans="1:49">
      <c r="A60" s="232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</row>
    <row r="61" spans="1:49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</row>
    <row r="62" spans="1:49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</row>
    <row r="63" spans="1:49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</row>
    <row r="64" spans="1:49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</row>
    <row r="65" spans="1:49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</row>
    <row r="66" spans="1:49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</row>
    <row r="67" spans="1:49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</row>
    <row r="68" spans="1:49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</row>
    <row r="69" spans="1:49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</row>
    <row r="70" spans="1:49">
      <c r="A70" s="232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</row>
    <row r="71" spans="1:49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</row>
    <row r="72" spans="1:49">
      <c r="A72" s="232"/>
      <c r="B72" s="23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</row>
    <row r="73" spans="1:49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</row>
    <row r="74" spans="1:49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</row>
    <row r="75" spans="1:49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</row>
    <row r="76" spans="1:49">
      <c r="A76" s="232"/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</row>
    <row r="77" spans="1:49">
      <c r="A77" s="232"/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</row>
    <row r="78" spans="1:49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</row>
    <row r="79" spans="1:49">
      <c r="A79" s="232"/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</row>
    <row r="80" spans="1:49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</row>
    <row r="81" spans="1:49">
      <c r="A81" s="232"/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</row>
    <row r="82" spans="1:49">
      <c r="A82" s="232"/>
      <c r="B82" s="232"/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</row>
    <row r="83" spans="1:49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</row>
    <row r="84" spans="1:49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</row>
    <row r="85" spans="1:49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</row>
    <row r="86" spans="1:49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</row>
    <row r="87" spans="1:49">
      <c r="A87" s="232"/>
      <c r="B87" s="232"/>
      <c r="C87" s="232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</row>
    <row r="88" spans="1:49">
      <c r="A88" s="23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</row>
    <row r="89" spans="1:49">
      <c r="A89" s="232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</row>
    <row r="90" spans="1:49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</row>
    <row r="91" spans="1:49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</row>
    <row r="92" spans="1:49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</row>
    <row r="93" spans="1:49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</row>
    <row r="94" spans="1:49">
      <c r="A94" s="232"/>
      <c r="B94" s="232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</row>
    <row r="95" spans="1:49">
      <c r="A95" s="232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</row>
    <row r="96" spans="1:49">
      <c r="A96" s="232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</row>
    <row r="97" spans="1:49">
      <c r="A97" s="232"/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</row>
    <row r="98" spans="1:49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</row>
    <row r="99" spans="1:49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</row>
    <row r="100" spans="1:49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</row>
    <row r="101" spans="1:49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</row>
    <row r="102" spans="1:49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</row>
    <row r="103" spans="1:49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</row>
    <row r="104" spans="1:49">
      <c r="A104" s="232"/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</row>
    <row r="105" spans="1:49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</row>
    <row r="106" spans="1:49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</row>
    <row r="107" spans="1:49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</row>
    <row r="108" spans="1:49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</row>
    <row r="109" spans="1:49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</row>
    <row r="110" spans="1:49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</row>
    <row r="111" spans="1:49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</row>
    <row r="112" spans="1:49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</row>
    <row r="113" spans="1:49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</row>
    <row r="114" spans="1:49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</row>
    <row r="115" spans="1:49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</row>
    <row r="116" spans="1:49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</row>
    <row r="117" spans="1:49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</row>
    <row r="118" spans="1:49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</row>
    <row r="119" spans="1:49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</row>
    <row r="120" spans="1:49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</row>
    <row r="121" spans="1:49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</row>
    <row r="122" spans="1:49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</row>
    <row r="123" spans="1:49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</row>
    <row r="124" spans="1:49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</row>
    <row r="125" spans="1:49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</row>
    <row r="126" spans="1:49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2"/>
    </row>
    <row r="127" spans="1:49">
      <c r="A127" s="232"/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</row>
    <row r="128" spans="1:49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</row>
    <row r="129" spans="1:49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</row>
    <row r="130" spans="1:49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</row>
    <row r="131" spans="1:49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</row>
    <row r="132" spans="1:49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</row>
    <row r="133" spans="1:49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</row>
    <row r="134" spans="1:49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</row>
    <row r="135" spans="1:49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</row>
    <row r="136" spans="1:49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</row>
    <row r="137" spans="1:49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</row>
    <row r="138" spans="1:49">
      <c r="A138" s="232"/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232"/>
      <c r="AV138" s="232"/>
      <c r="AW138" s="232"/>
    </row>
    <row r="139" spans="1:49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232"/>
      <c r="AV139" s="232"/>
      <c r="AW139" s="232"/>
    </row>
    <row r="140" spans="1:49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</row>
    <row r="141" spans="1:49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  <c r="AI141" s="232"/>
      <c r="AJ141" s="232"/>
      <c r="AK141" s="232"/>
      <c r="AL141" s="232"/>
      <c r="AM141" s="232"/>
      <c r="AN141" s="232"/>
      <c r="AO141" s="232"/>
      <c r="AP141" s="232"/>
      <c r="AQ141" s="232"/>
      <c r="AR141" s="232"/>
      <c r="AS141" s="232"/>
      <c r="AT141" s="232"/>
      <c r="AU141" s="232"/>
      <c r="AV141" s="232"/>
      <c r="AW141" s="232"/>
    </row>
    <row r="142" spans="1:49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232"/>
      <c r="AV142" s="232"/>
      <c r="AW142" s="232"/>
    </row>
    <row r="143" spans="1:49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32"/>
      <c r="AT143" s="232"/>
      <c r="AU143" s="232"/>
      <c r="AV143" s="232"/>
      <c r="AW143" s="232"/>
    </row>
    <row r="144" spans="1:49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32"/>
      <c r="AT144" s="232"/>
      <c r="AU144" s="232"/>
      <c r="AV144" s="232"/>
      <c r="AW144" s="232"/>
    </row>
    <row r="145" spans="1:49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32"/>
      <c r="AT145" s="232"/>
      <c r="AU145" s="232"/>
      <c r="AV145" s="232"/>
      <c r="AW145" s="232"/>
    </row>
    <row r="146" spans="1:49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232"/>
      <c r="AV146" s="232"/>
      <c r="AW146" s="232"/>
    </row>
    <row r="147" spans="1:49">
      <c r="A147" s="232"/>
      <c r="B147" s="23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  <c r="AI147" s="232"/>
      <c r="AJ147" s="232"/>
      <c r="AK147" s="232"/>
      <c r="AL147" s="232"/>
      <c r="AM147" s="232"/>
      <c r="AN147" s="232"/>
      <c r="AO147" s="232"/>
      <c r="AP147" s="232"/>
      <c r="AQ147" s="232"/>
      <c r="AR147" s="232"/>
      <c r="AS147" s="232"/>
      <c r="AT147" s="232"/>
      <c r="AU147" s="232"/>
      <c r="AV147" s="232"/>
      <c r="AW147" s="232"/>
    </row>
    <row r="148" spans="1:49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</row>
    <row r="149" spans="1:49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2"/>
      <c r="AW149" s="232"/>
    </row>
    <row r="150" spans="1:49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2"/>
      <c r="AW150" s="232"/>
    </row>
    <row r="151" spans="1:49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32"/>
      <c r="AT151" s="232"/>
      <c r="AU151" s="232"/>
      <c r="AV151" s="232"/>
      <c r="AW151" s="232"/>
    </row>
    <row r="152" spans="1:49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32"/>
      <c r="AT152" s="232"/>
      <c r="AU152" s="232"/>
      <c r="AV152" s="232"/>
      <c r="AW152" s="232"/>
    </row>
    <row r="153" spans="1:49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</row>
    <row r="154" spans="1:49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</row>
    <row r="155" spans="1:49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</row>
    <row r="156" spans="1:49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</row>
    <row r="157" spans="1:49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</row>
    <row r="158" spans="1:49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</row>
    <row r="159" spans="1:49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</row>
    <row r="160" spans="1:49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</row>
    <row r="161" spans="1:49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</row>
    <row r="162" spans="1:49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</row>
    <row r="163" spans="1:49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232"/>
      <c r="AV163" s="232"/>
      <c r="AW163" s="232"/>
    </row>
    <row r="164" spans="1:49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32"/>
      <c r="AT164" s="232"/>
      <c r="AU164" s="232"/>
      <c r="AV164" s="232"/>
      <c r="AW164" s="232"/>
    </row>
    <row r="165" spans="1:49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32"/>
      <c r="AT165" s="232"/>
      <c r="AU165" s="232"/>
      <c r="AV165" s="232"/>
      <c r="AW165" s="232"/>
    </row>
    <row r="166" spans="1:49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232"/>
      <c r="AV166" s="232"/>
      <c r="AW166" s="232"/>
    </row>
    <row r="167" spans="1:49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32"/>
      <c r="AT167" s="232"/>
      <c r="AU167" s="232"/>
      <c r="AV167" s="232"/>
      <c r="AW167" s="232"/>
    </row>
    <row r="168" spans="1:49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</row>
    <row r="169" spans="1:49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232"/>
      <c r="AV169" s="232"/>
      <c r="AW169" s="232"/>
    </row>
    <row r="170" spans="1:49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32"/>
      <c r="AT170" s="232"/>
      <c r="AU170" s="232"/>
      <c r="AV170" s="232"/>
      <c r="AW170" s="232"/>
    </row>
    <row r="171" spans="1:49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232"/>
      <c r="AV171" s="232"/>
      <c r="AW171" s="232"/>
    </row>
    <row r="172" spans="1:49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232"/>
      <c r="AV172" s="232"/>
      <c r="AW172" s="232"/>
    </row>
    <row r="173" spans="1:49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232"/>
      <c r="AV173" s="232"/>
      <c r="AW173" s="232"/>
    </row>
    <row r="174" spans="1:49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232"/>
      <c r="AV174" s="232"/>
      <c r="AW174" s="232"/>
    </row>
    <row r="175" spans="1:49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232"/>
      <c r="AV175" s="232"/>
      <c r="AW175" s="232"/>
    </row>
    <row r="176" spans="1:49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</row>
    <row r="177" spans="1:49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232"/>
      <c r="AV177" s="232"/>
      <c r="AW177" s="232"/>
    </row>
    <row r="178" spans="1:49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</row>
    <row r="179" spans="1:49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</row>
    <row r="180" spans="1:49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</row>
    <row r="181" spans="1:49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232"/>
      <c r="AV181" s="232"/>
      <c r="AW181" s="232"/>
    </row>
    <row r="182" spans="1:49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  <c r="AI182" s="232"/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</row>
    <row r="183" spans="1:49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  <c r="AI183" s="232"/>
      <c r="AJ183" s="232"/>
      <c r="AK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232"/>
      <c r="AV183" s="232"/>
      <c r="AW183" s="232"/>
    </row>
    <row r="184" spans="1:49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</row>
    <row r="185" spans="1:49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232"/>
      <c r="AV185" s="232"/>
      <c r="AW185" s="232"/>
    </row>
    <row r="186" spans="1:49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32"/>
      <c r="AT186" s="232"/>
      <c r="AU186" s="232"/>
      <c r="AV186" s="232"/>
      <c r="AW186" s="232"/>
    </row>
    <row r="187" spans="1:49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232"/>
      <c r="AV187" s="232"/>
      <c r="AW187" s="232"/>
    </row>
    <row r="188" spans="1:49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32"/>
      <c r="AT188" s="232"/>
      <c r="AU188" s="232"/>
      <c r="AV188" s="232"/>
      <c r="AW188" s="232"/>
    </row>
    <row r="189" spans="1:49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232"/>
      <c r="AV189" s="232"/>
      <c r="AW189" s="232"/>
    </row>
    <row r="190" spans="1:49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  <c r="AI190" s="232"/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32"/>
      <c r="AT190" s="232"/>
      <c r="AU190" s="232"/>
      <c r="AV190" s="232"/>
      <c r="AW190" s="232"/>
    </row>
    <row r="191" spans="1:49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32"/>
      <c r="AT191" s="232"/>
      <c r="AU191" s="232"/>
      <c r="AV191" s="232"/>
      <c r="AW191" s="232"/>
    </row>
    <row r="192" spans="1:49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32"/>
      <c r="AT192" s="232"/>
      <c r="AU192" s="232"/>
      <c r="AV192" s="232"/>
      <c r="AW192" s="232"/>
    </row>
    <row r="193" spans="1:49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32"/>
      <c r="AT193" s="232"/>
      <c r="AU193" s="232"/>
      <c r="AV193" s="232"/>
      <c r="AW193" s="232"/>
    </row>
    <row r="194" spans="1:49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232"/>
      <c r="AV194" s="232"/>
      <c r="AW194" s="232"/>
    </row>
    <row r="195" spans="1:49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232"/>
      <c r="AV195" s="232"/>
      <c r="AW195" s="232"/>
    </row>
    <row r="196" spans="1:49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232"/>
      <c r="AV196" s="232"/>
      <c r="AW196" s="232"/>
    </row>
    <row r="197" spans="1:49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</row>
    <row r="198" spans="1:49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232"/>
      <c r="AV198" s="232"/>
      <c r="AW198" s="232"/>
    </row>
    <row r="199" spans="1:49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</row>
    <row r="200" spans="1:49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</row>
    <row r="201" spans="1:49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232"/>
      <c r="AV201" s="232"/>
      <c r="AW201" s="232"/>
    </row>
    <row r="202" spans="1:49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232"/>
      <c r="AP202" s="232"/>
      <c r="AQ202" s="232"/>
      <c r="AR202" s="232"/>
      <c r="AS202" s="232"/>
      <c r="AT202" s="232"/>
      <c r="AU202" s="232"/>
      <c r="AV202" s="232"/>
      <c r="AW202" s="232"/>
    </row>
    <row r="203" spans="1:49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</row>
    <row r="204" spans="1:49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</row>
    <row r="205" spans="1:49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  <c r="AI205" s="232"/>
      <c r="AJ205" s="232"/>
      <c r="AK205" s="232"/>
      <c r="AL205" s="232"/>
      <c r="AM205" s="232"/>
      <c r="AN205" s="232"/>
      <c r="AO205" s="232"/>
      <c r="AP205" s="232"/>
      <c r="AQ205" s="232"/>
      <c r="AR205" s="232"/>
      <c r="AS205" s="232"/>
      <c r="AT205" s="232"/>
      <c r="AU205" s="232"/>
      <c r="AV205" s="232"/>
      <c r="AW205" s="232"/>
    </row>
    <row r="206" spans="1:49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  <c r="AI206" s="232"/>
      <c r="AJ206" s="232"/>
      <c r="AK206" s="232"/>
      <c r="AL206" s="232"/>
      <c r="AM206" s="232"/>
      <c r="AN206" s="232"/>
      <c r="AO206" s="232"/>
      <c r="AP206" s="232"/>
      <c r="AQ206" s="232"/>
      <c r="AR206" s="232"/>
      <c r="AS206" s="232"/>
      <c r="AT206" s="232"/>
      <c r="AU206" s="232"/>
      <c r="AV206" s="232"/>
      <c r="AW206" s="232"/>
    </row>
    <row r="207" spans="1:49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232"/>
      <c r="AV207" s="232"/>
      <c r="AW207" s="232"/>
    </row>
    <row r="208" spans="1:49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</row>
    <row r="209" spans="1:49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232"/>
      <c r="AV209" s="232"/>
      <c r="AW209" s="232"/>
    </row>
    <row r="210" spans="1:49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  <c r="AK210" s="232"/>
      <c r="AL210" s="232"/>
      <c r="AM210" s="232"/>
      <c r="AN210" s="232"/>
      <c r="AO210" s="232"/>
      <c r="AP210" s="232"/>
      <c r="AQ210" s="232"/>
      <c r="AR210" s="232"/>
      <c r="AS210" s="232"/>
      <c r="AT210" s="232"/>
      <c r="AU210" s="232"/>
      <c r="AV210" s="232"/>
      <c r="AW210" s="232"/>
    </row>
    <row r="211" spans="1:49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232"/>
      <c r="AV211" s="232"/>
      <c r="AW211" s="232"/>
    </row>
    <row r="212" spans="1:49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232"/>
      <c r="AV212" s="232"/>
      <c r="AW212" s="232"/>
    </row>
    <row r="213" spans="1:49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32"/>
      <c r="AT213" s="232"/>
      <c r="AU213" s="232"/>
      <c r="AV213" s="232"/>
      <c r="AW213" s="232"/>
    </row>
    <row r="214" spans="1:49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32"/>
      <c r="AT214" s="232"/>
      <c r="AU214" s="232"/>
      <c r="AV214" s="232"/>
      <c r="AW214" s="232"/>
    </row>
    <row r="215" spans="1:49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32"/>
      <c r="AT215" s="232"/>
      <c r="AU215" s="232"/>
      <c r="AV215" s="232"/>
      <c r="AW215" s="232"/>
    </row>
    <row r="216" spans="1:49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32"/>
      <c r="AT216" s="232"/>
      <c r="AU216" s="232"/>
      <c r="AV216" s="232"/>
      <c r="AW216" s="232"/>
    </row>
    <row r="217" spans="1:49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32"/>
      <c r="AT217" s="232"/>
      <c r="AU217" s="232"/>
      <c r="AV217" s="232"/>
      <c r="AW217" s="232"/>
    </row>
    <row r="218" spans="1:49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32"/>
      <c r="AT218" s="232"/>
      <c r="AU218" s="232"/>
      <c r="AV218" s="232"/>
      <c r="AW218" s="232"/>
    </row>
    <row r="219" spans="1:49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32"/>
      <c r="AT219" s="232"/>
      <c r="AU219" s="232"/>
      <c r="AV219" s="232"/>
      <c r="AW219" s="232"/>
    </row>
    <row r="220" spans="1:49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32"/>
      <c r="AT220" s="232"/>
      <c r="AU220" s="232"/>
      <c r="AV220" s="232"/>
      <c r="AW220" s="232"/>
    </row>
    <row r="221" spans="1:49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</row>
    <row r="222" spans="1:49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32"/>
      <c r="AT222" s="232"/>
      <c r="AU222" s="232"/>
      <c r="AV222" s="232"/>
      <c r="AW222" s="232"/>
    </row>
    <row r="223" spans="1:49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32"/>
      <c r="AT223" s="232"/>
      <c r="AU223" s="232"/>
      <c r="AV223" s="232"/>
      <c r="AW223" s="232"/>
    </row>
    <row r="224" spans="1:49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32"/>
      <c r="AI224" s="232"/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232"/>
      <c r="AV224" s="232"/>
      <c r="AW224" s="232"/>
    </row>
    <row r="225" spans="1:49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32"/>
      <c r="AI225" s="232"/>
      <c r="AJ225" s="232"/>
      <c r="AK225" s="232"/>
      <c r="AL225" s="232"/>
      <c r="AM225" s="232"/>
      <c r="AN225" s="232"/>
      <c r="AO225" s="232"/>
      <c r="AP225" s="232"/>
      <c r="AQ225" s="232"/>
      <c r="AR225" s="232"/>
      <c r="AS225" s="232"/>
      <c r="AT225" s="232"/>
      <c r="AU225" s="232"/>
      <c r="AV225" s="232"/>
      <c r="AW225" s="232"/>
    </row>
    <row r="226" spans="1:49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32"/>
      <c r="AT226" s="232"/>
      <c r="AU226" s="232"/>
      <c r="AV226" s="232"/>
      <c r="AW226" s="232"/>
    </row>
    <row r="227" spans="1:49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32"/>
      <c r="AT227" s="232"/>
      <c r="AU227" s="232"/>
      <c r="AV227" s="232"/>
      <c r="AW227" s="232"/>
    </row>
    <row r="228" spans="1:49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32"/>
      <c r="AT228" s="232"/>
      <c r="AU228" s="232"/>
      <c r="AV228" s="232"/>
      <c r="AW228" s="232"/>
    </row>
    <row r="229" spans="1:49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32"/>
      <c r="AT229" s="232"/>
      <c r="AU229" s="232"/>
      <c r="AV229" s="232"/>
      <c r="AW229" s="232"/>
    </row>
    <row r="230" spans="1:49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32"/>
      <c r="AT230" s="232"/>
      <c r="AU230" s="232"/>
      <c r="AV230" s="232"/>
      <c r="AW230" s="232"/>
    </row>
    <row r="231" spans="1:49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  <c r="AI231" s="232"/>
      <c r="AJ231" s="232"/>
      <c r="AK231" s="232"/>
      <c r="AL231" s="232"/>
      <c r="AM231" s="232"/>
      <c r="AN231" s="232"/>
      <c r="AO231" s="232"/>
      <c r="AP231" s="232"/>
      <c r="AQ231" s="232"/>
      <c r="AR231" s="232"/>
      <c r="AS231" s="232"/>
      <c r="AT231" s="232"/>
      <c r="AU231" s="232"/>
      <c r="AV231" s="232"/>
      <c r="AW231" s="232"/>
    </row>
    <row r="232" spans="1:49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  <c r="AI232" s="232"/>
      <c r="AJ232" s="232"/>
      <c r="AK232" s="232"/>
      <c r="AL232" s="232"/>
      <c r="AM232" s="232"/>
      <c r="AN232" s="232"/>
      <c r="AO232" s="232"/>
      <c r="AP232" s="232"/>
      <c r="AQ232" s="232"/>
      <c r="AR232" s="232"/>
      <c r="AS232" s="232"/>
      <c r="AT232" s="232"/>
      <c r="AU232" s="232"/>
      <c r="AV232" s="232"/>
      <c r="AW232" s="232"/>
    </row>
    <row r="233" spans="1:49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  <c r="AK233" s="232"/>
      <c r="AL233" s="232"/>
      <c r="AM233" s="232"/>
      <c r="AN233" s="232"/>
      <c r="AO233" s="232"/>
      <c r="AP233" s="232"/>
      <c r="AQ233" s="232"/>
      <c r="AR233" s="232"/>
      <c r="AS233" s="232"/>
      <c r="AT233" s="232"/>
      <c r="AU233" s="232"/>
      <c r="AV233" s="232"/>
      <c r="AW233" s="232"/>
    </row>
    <row r="234" spans="1:49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32"/>
      <c r="AT234" s="232"/>
      <c r="AU234" s="232"/>
      <c r="AV234" s="232"/>
      <c r="AW234" s="232"/>
    </row>
    <row r="235" spans="1:49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32"/>
      <c r="AT235" s="232"/>
      <c r="AU235" s="232"/>
      <c r="AV235" s="232"/>
      <c r="AW235" s="232"/>
    </row>
    <row r="236" spans="1:49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32"/>
      <c r="AT236" s="232"/>
      <c r="AU236" s="232"/>
      <c r="AV236" s="232"/>
      <c r="AW236" s="232"/>
    </row>
    <row r="237" spans="1:49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32"/>
      <c r="AT237" s="232"/>
      <c r="AU237" s="232"/>
      <c r="AV237" s="232"/>
      <c r="AW237" s="232"/>
    </row>
    <row r="238" spans="1:49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  <c r="AI238" s="232"/>
      <c r="AJ238" s="232"/>
      <c r="AK238" s="232"/>
      <c r="AL238" s="232"/>
      <c r="AM238" s="232"/>
      <c r="AN238" s="232"/>
      <c r="AO238" s="232"/>
      <c r="AP238" s="232"/>
      <c r="AQ238" s="232"/>
      <c r="AR238" s="232"/>
      <c r="AS238" s="232"/>
      <c r="AT238" s="232"/>
      <c r="AU238" s="232"/>
      <c r="AV238" s="232"/>
      <c r="AW238" s="232"/>
    </row>
    <row r="239" spans="1:49">
      <c r="A239" s="232"/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  <c r="AK239" s="232"/>
      <c r="AL239" s="232"/>
      <c r="AM239" s="232"/>
      <c r="AN239" s="232"/>
      <c r="AO239" s="232"/>
      <c r="AP239" s="232"/>
      <c r="AQ239" s="232"/>
      <c r="AR239" s="232"/>
      <c r="AS239" s="232"/>
      <c r="AT239" s="232"/>
      <c r="AU239" s="232"/>
      <c r="AV239" s="232"/>
      <c r="AW239" s="232"/>
    </row>
    <row r="240" spans="1:49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32"/>
      <c r="AT240" s="232"/>
      <c r="AU240" s="232"/>
      <c r="AV240" s="232"/>
      <c r="AW240" s="232"/>
    </row>
    <row r="241" spans="1:49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32"/>
      <c r="AT241" s="232"/>
      <c r="AU241" s="232"/>
      <c r="AV241" s="232"/>
      <c r="AW241" s="232"/>
    </row>
    <row r="242" spans="1:49">
      <c r="A242" s="232"/>
      <c r="B242" s="232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32"/>
      <c r="AT242" s="232"/>
      <c r="AU242" s="232"/>
      <c r="AV242" s="232"/>
      <c r="AW242" s="232"/>
    </row>
    <row r="243" spans="1:49">
      <c r="A243" s="232"/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32"/>
      <c r="AT243" s="232"/>
      <c r="AU243" s="232"/>
      <c r="AV243" s="232"/>
      <c r="AW243" s="232"/>
    </row>
    <row r="244" spans="1:49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  <c r="AH244" s="232"/>
      <c r="AI244" s="232"/>
      <c r="AJ244" s="232"/>
      <c r="AK244" s="232"/>
      <c r="AL244" s="232"/>
      <c r="AM244" s="232"/>
      <c r="AN244" s="232"/>
      <c r="AO244" s="232"/>
      <c r="AP244" s="232"/>
      <c r="AQ244" s="232"/>
      <c r="AR244" s="232"/>
      <c r="AS244" s="232"/>
      <c r="AT244" s="232"/>
      <c r="AU244" s="232"/>
      <c r="AV244" s="232"/>
      <c r="AW244" s="232"/>
    </row>
    <row r="245" spans="1:49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32"/>
      <c r="AT245" s="232"/>
      <c r="AU245" s="232"/>
      <c r="AV245" s="232"/>
      <c r="AW245" s="232"/>
    </row>
    <row r="246" spans="1:49">
      <c r="A246" s="232"/>
      <c r="B246" s="232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32"/>
      <c r="AI246" s="232"/>
      <c r="AJ246" s="232"/>
      <c r="AK246" s="232"/>
      <c r="AL246" s="232"/>
      <c r="AM246" s="232"/>
      <c r="AN246" s="232"/>
      <c r="AO246" s="232"/>
      <c r="AP246" s="232"/>
      <c r="AQ246" s="232"/>
      <c r="AR246" s="232"/>
      <c r="AS246" s="232"/>
      <c r="AT246" s="232"/>
      <c r="AU246" s="232"/>
      <c r="AV246" s="232"/>
      <c r="AW246" s="232"/>
    </row>
    <row r="247" spans="1:49">
      <c r="A247" s="232"/>
      <c r="B247" s="232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32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32"/>
      <c r="AT247" s="232"/>
      <c r="AU247" s="232"/>
      <c r="AV247" s="232"/>
      <c r="AW247" s="232"/>
    </row>
    <row r="248" spans="1:49">
      <c r="A248" s="232"/>
      <c r="B248" s="232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32"/>
      <c r="AT248" s="232"/>
      <c r="AU248" s="232"/>
      <c r="AV248" s="232"/>
      <c r="AW248" s="232"/>
    </row>
    <row r="249" spans="1:49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232"/>
      <c r="AV249" s="232"/>
      <c r="AW249" s="232"/>
    </row>
    <row r="250" spans="1:49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32"/>
      <c r="AT250" s="232"/>
      <c r="AU250" s="232"/>
      <c r="AV250" s="232"/>
      <c r="AW250" s="232"/>
    </row>
    <row r="251" spans="1:49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32"/>
      <c r="AT251" s="232"/>
      <c r="AU251" s="232"/>
      <c r="AV251" s="232"/>
      <c r="AW251" s="232"/>
    </row>
    <row r="252" spans="1:49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</row>
    <row r="253" spans="1:49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32"/>
      <c r="AI253" s="232"/>
      <c r="AJ253" s="232"/>
      <c r="AK253" s="232"/>
      <c r="AL253" s="232"/>
      <c r="AM253" s="232"/>
      <c r="AN253" s="232"/>
      <c r="AO253" s="232"/>
      <c r="AP253" s="232"/>
      <c r="AQ253" s="232"/>
      <c r="AR253" s="232"/>
      <c r="AS253" s="232"/>
      <c r="AT253" s="232"/>
      <c r="AU253" s="232"/>
      <c r="AV253" s="232"/>
      <c r="AW253" s="232"/>
    </row>
    <row r="254" spans="1:49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32"/>
      <c r="AT254" s="232"/>
      <c r="AU254" s="232"/>
      <c r="AV254" s="232"/>
      <c r="AW254" s="232"/>
    </row>
    <row r="255" spans="1:49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32"/>
      <c r="AT255" s="232"/>
      <c r="AU255" s="232"/>
      <c r="AV255" s="232"/>
      <c r="AW255" s="232"/>
    </row>
    <row r="256" spans="1:49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32"/>
      <c r="AT256" s="232"/>
      <c r="AU256" s="232"/>
      <c r="AV256" s="232"/>
      <c r="AW256" s="232"/>
    </row>
    <row r="257" spans="1:49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32"/>
      <c r="AT257" s="232"/>
      <c r="AU257" s="232"/>
      <c r="AV257" s="232"/>
      <c r="AW257" s="232"/>
    </row>
    <row r="258" spans="1:49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  <c r="AH258" s="232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32"/>
      <c r="AT258" s="232"/>
      <c r="AU258" s="232"/>
      <c r="AV258" s="232"/>
      <c r="AW258" s="232"/>
    </row>
    <row r="259" spans="1:49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  <c r="AH259" s="232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32"/>
      <c r="AT259" s="232"/>
      <c r="AU259" s="232"/>
      <c r="AV259" s="232"/>
      <c r="AW259" s="232"/>
    </row>
    <row r="260" spans="1:49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  <c r="AH260" s="232"/>
      <c r="AI260" s="232"/>
      <c r="AJ260" s="232"/>
      <c r="AK260" s="232"/>
      <c r="AL260" s="232"/>
      <c r="AM260" s="232"/>
      <c r="AN260" s="232"/>
      <c r="AO260" s="232"/>
      <c r="AP260" s="232"/>
      <c r="AQ260" s="232"/>
      <c r="AR260" s="232"/>
      <c r="AS260" s="232"/>
      <c r="AT260" s="232"/>
      <c r="AU260" s="232"/>
      <c r="AV260" s="232"/>
      <c r="AW260" s="232"/>
    </row>
    <row r="261" spans="1:49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  <c r="AH261" s="232"/>
      <c r="AI261" s="232"/>
      <c r="AJ261" s="232"/>
      <c r="AK261" s="232"/>
      <c r="AL261" s="232"/>
      <c r="AM261" s="232"/>
      <c r="AN261" s="232"/>
      <c r="AO261" s="232"/>
      <c r="AP261" s="232"/>
      <c r="AQ261" s="232"/>
      <c r="AR261" s="232"/>
      <c r="AS261" s="232"/>
      <c r="AT261" s="232"/>
      <c r="AU261" s="232"/>
      <c r="AV261" s="232"/>
      <c r="AW261" s="232"/>
    </row>
    <row r="262" spans="1:49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  <c r="AH262" s="232"/>
      <c r="AI262" s="232"/>
      <c r="AJ262" s="232"/>
      <c r="AK262" s="232"/>
      <c r="AL262" s="232"/>
      <c r="AM262" s="232"/>
      <c r="AN262" s="232"/>
      <c r="AO262" s="232"/>
      <c r="AP262" s="232"/>
      <c r="AQ262" s="232"/>
      <c r="AR262" s="232"/>
      <c r="AS262" s="232"/>
      <c r="AT262" s="232"/>
      <c r="AU262" s="232"/>
      <c r="AV262" s="232"/>
      <c r="AW262" s="232"/>
    </row>
    <row r="263" spans="1:49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32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32"/>
      <c r="AT263" s="232"/>
      <c r="AU263" s="232"/>
      <c r="AV263" s="232"/>
      <c r="AW263" s="232"/>
    </row>
    <row r="264" spans="1:49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32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32"/>
      <c r="AT264" s="232"/>
      <c r="AU264" s="232"/>
      <c r="AV264" s="232"/>
      <c r="AW264" s="232"/>
    </row>
    <row r="265" spans="1:49">
      <c r="A265" s="232"/>
      <c r="B265" s="232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32"/>
      <c r="AT265" s="232"/>
      <c r="AU265" s="232"/>
      <c r="AV265" s="232"/>
      <c r="AW265" s="232"/>
    </row>
    <row r="266" spans="1:49">
      <c r="A266" s="232"/>
      <c r="B266" s="232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  <c r="AH266" s="232"/>
      <c r="AI266" s="232"/>
      <c r="AJ266" s="232"/>
      <c r="AK266" s="232"/>
      <c r="AL266" s="232"/>
      <c r="AM266" s="232"/>
      <c r="AN266" s="232"/>
      <c r="AO266" s="232"/>
      <c r="AP266" s="232"/>
      <c r="AQ266" s="232"/>
      <c r="AR266" s="232"/>
      <c r="AS266" s="232"/>
      <c r="AT266" s="232"/>
      <c r="AU266" s="232"/>
      <c r="AV266" s="232"/>
      <c r="AW266" s="232"/>
    </row>
    <row r="267" spans="1:49">
      <c r="A267" s="232"/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  <c r="AH267" s="232"/>
      <c r="AI267" s="232"/>
      <c r="AJ267" s="232"/>
      <c r="AK267" s="232"/>
      <c r="AL267" s="232"/>
      <c r="AM267" s="232"/>
      <c r="AN267" s="232"/>
      <c r="AO267" s="232"/>
      <c r="AP267" s="232"/>
      <c r="AQ267" s="232"/>
      <c r="AR267" s="232"/>
      <c r="AS267" s="232"/>
      <c r="AT267" s="232"/>
      <c r="AU267" s="232"/>
      <c r="AV267" s="232"/>
      <c r="AW267" s="232"/>
    </row>
    <row r="268" spans="1:49">
      <c r="A268" s="232"/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  <c r="AH268" s="232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32"/>
      <c r="AT268" s="232"/>
      <c r="AU268" s="232"/>
      <c r="AV268" s="232"/>
      <c r="AW268" s="232"/>
    </row>
    <row r="269" spans="1:49">
      <c r="A269" s="232"/>
      <c r="B269" s="232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32"/>
      <c r="AT269" s="232"/>
      <c r="AU269" s="232"/>
      <c r="AV269" s="232"/>
      <c r="AW269" s="232"/>
    </row>
    <row r="270" spans="1:49">
      <c r="A270" s="232"/>
      <c r="B270" s="232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32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32"/>
      <c r="AT270" s="232"/>
      <c r="AU270" s="232"/>
      <c r="AV270" s="232"/>
      <c r="AW270" s="232"/>
    </row>
    <row r="271" spans="1:49">
      <c r="A271" s="232"/>
      <c r="B271" s="232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32"/>
      <c r="AT271" s="232"/>
      <c r="AU271" s="232"/>
      <c r="AV271" s="232"/>
      <c r="AW271" s="232"/>
    </row>
    <row r="272" spans="1:49">
      <c r="A272" s="232"/>
      <c r="B272" s="232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  <c r="AH272" s="232"/>
      <c r="AI272" s="232"/>
      <c r="AJ272" s="232"/>
      <c r="AK272" s="232"/>
      <c r="AL272" s="232"/>
      <c r="AM272" s="232"/>
      <c r="AN272" s="232"/>
      <c r="AO272" s="232"/>
      <c r="AP272" s="232"/>
      <c r="AQ272" s="232"/>
      <c r="AR272" s="232"/>
      <c r="AS272" s="232"/>
      <c r="AT272" s="232"/>
      <c r="AU272" s="232"/>
      <c r="AV272" s="232"/>
      <c r="AW272" s="232"/>
    </row>
    <row r="273" spans="1:49">
      <c r="A273" s="232"/>
      <c r="B273" s="232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  <c r="AH273" s="232"/>
      <c r="AI273" s="232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232"/>
      <c r="AV273" s="232"/>
      <c r="AW273" s="232"/>
    </row>
    <row r="274" spans="1:49">
      <c r="A274" s="232"/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  <c r="AH274" s="232"/>
      <c r="AI274" s="232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232"/>
      <c r="AV274" s="232"/>
      <c r="AW274" s="232"/>
    </row>
    <row r="275" spans="1:49">
      <c r="A275" s="232"/>
      <c r="B275" s="232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  <c r="AH275" s="232"/>
      <c r="AI275" s="232"/>
      <c r="AJ275" s="232"/>
      <c r="AK275" s="232"/>
      <c r="AL275" s="232"/>
      <c r="AM275" s="232"/>
      <c r="AN275" s="232"/>
      <c r="AO275" s="232"/>
      <c r="AP275" s="232"/>
      <c r="AQ275" s="232"/>
      <c r="AR275" s="232"/>
      <c r="AS275" s="232"/>
      <c r="AT275" s="232"/>
      <c r="AU275" s="232"/>
      <c r="AV275" s="232"/>
      <c r="AW275" s="232"/>
    </row>
    <row r="276" spans="1:49">
      <c r="A276" s="232"/>
      <c r="B276" s="232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  <c r="AH276" s="232"/>
      <c r="AI276" s="232"/>
      <c r="AJ276" s="232"/>
      <c r="AK276" s="232"/>
      <c r="AL276" s="232"/>
      <c r="AM276" s="232"/>
      <c r="AN276" s="232"/>
      <c r="AO276" s="232"/>
      <c r="AP276" s="232"/>
      <c r="AQ276" s="232"/>
      <c r="AR276" s="232"/>
      <c r="AS276" s="232"/>
      <c r="AT276" s="232"/>
      <c r="AU276" s="232"/>
      <c r="AV276" s="232"/>
      <c r="AW276" s="232"/>
    </row>
    <row r="277" spans="1:49">
      <c r="A277" s="232"/>
      <c r="B277" s="232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32"/>
      <c r="AT277" s="232"/>
      <c r="AU277" s="232"/>
      <c r="AV277" s="232"/>
      <c r="AW277" s="232"/>
    </row>
    <row r="278" spans="1:49">
      <c r="A278" s="232"/>
      <c r="B278" s="232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32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32"/>
      <c r="AT278" s="232"/>
      <c r="AU278" s="232"/>
      <c r="AV278" s="232"/>
      <c r="AW278" s="232"/>
    </row>
    <row r="279" spans="1:49">
      <c r="A279" s="232"/>
      <c r="B279" s="232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32"/>
      <c r="AT279" s="232"/>
      <c r="AU279" s="232"/>
      <c r="AV279" s="232"/>
      <c r="AW279" s="232"/>
    </row>
    <row r="280" spans="1:49">
      <c r="A280" s="232"/>
      <c r="B280" s="232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32"/>
      <c r="AF280" s="232"/>
      <c r="AG280" s="232"/>
      <c r="AH280" s="232"/>
      <c r="AI280" s="232"/>
      <c r="AJ280" s="232"/>
      <c r="AK280" s="232"/>
      <c r="AL280" s="232"/>
      <c r="AM280" s="232"/>
      <c r="AN280" s="232"/>
      <c r="AO280" s="232"/>
      <c r="AP280" s="232"/>
      <c r="AQ280" s="232"/>
      <c r="AR280" s="232"/>
      <c r="AS280" s="232"/>
      <c r="AT280" s="232"/>
      <c r="AU280" s="232"/>
      <c r="AV280" s="232"/>
      <c r="AW280" s="232"/>
    </row>
    <row r="281" spans="1:49">
      <c r="A281" s="232"/>
      <c r="B281" s="232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  <c r="AA281" s="232"/>
      <c r="AB281" s="232"/>
      <c r="AC281" s="232"/>
      <c r="AD281" s="232"/>
      <c r="AE281" s="232"/>
      <c r="AF281" s="232"/>
      <c r="AG281" s="232"/>
      <c r="AH281" s="232"/>
      <c r="AI281" s="232"/>
      <c r="AJ281" s="232"/>
      <c r="AK281" s="232"/>
      <c r="AL281" s="232"/>
      <c r="AM281" s="232"/>
      <c r="AN281" s="232"/>
      <c r="AO281" s="232"/>
      <c r="AP281" s="232"/>
      <c r="AQ281" s="232"/>
      <c r="AR281" s="232"/>
      <c r="AS281" s="232"/>
      <c r="AT281" s="232"/>
      <c r="AU281" s="232"/>
      <c r="AV281" s="232"/>
      <c r="AW281" s="232"/>
    </row>
    <row r="282" spans="1:49">
      <c r="A282" s="232"/>
      <c r="B282" s="232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32"/>
      <c r="AT282" s="232"/>
      <c r="AU282" s="232"/>
      <c r="AV282" s="232"/>
      <c r="AW282" s="232"/>
    </row>
    <row r="283" spans="1:49">
      <c r="A283" s="232"/>
      <c r="B283" s="232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32"/>
      <c r="AT283" s="232"/>
      <c r="AU283" s="232"/>
      <c r="AV283" s="232"/>
      <c r="AW283" s="232"/>
    </row>
    <row r="284" spans="1:49">
      <c r="A284" s="232"/>
      <c r="B284" s="232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32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32"/>
      <c r="AT284" s="232"/>
      <c r="AU284" s="232"/>
      <c r="AV284" s="232"/>
      <c r="AW284" s="232"/>
    </row>
    <row r="285" spans="1:49">
      <c r="A285" s="232"/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32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32"/>
      <c r="AT285" s="232"/>
      <c r="AU285" s="232"/>
      <c r="AV285" s="232"/>
      <c r="AW285" s="232"/>
    </row>
    <row r="286" spans="1:49">
      <c r="A286" s="232"/>
      <c r="B286" s="232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  <c r="AA286" s="232"/>
      <c r="AB286" s="232"/>
      <c r="AC286" s="232"/>
      <c r="AD286" s="232"/>
      <c r="AE286" s="232"/>
      <c r="AF286" s="232"/>
      <c r="AG286" s="232"/>
      <c r="AH286" s="232"/>
      <c r="AI286" s="232"/>
      <c r="AJ286" s="232"/>
      <c r="AK286" s="232"/>
      <c r="AL286" s="232"/>
      <c r="AM286" s="232"/>
      <c r="AN286" s="232"/>
      <c r="AO286" s="232"/>
      <c r="AP286" s="232"/>
      <c r="AQ286" s="232"/>
      <c r="AR286" s="232"/>
      <c r="AS286" s="232"/>
      <c r="AT286" s="232"/>
      <c r="AU286" s="232"/>
      <c r="AV286" s="232"/>
      <c r="AW286" s="232"/>
    </row>
    <row r="287" spans="1:49">
      <c r="A287" s="232"/>
      <c r="B287" s="232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32"/>
      <c r="R287" s="232"/>
      <c r="S287" s="232"/>
      <c r="T287" s="232"/>
      <c r="U287" s="232"/>
      <c r="V287" s="232"/>
      <c r="W287" s="232"/>
      <c r="X287" s="232"/>
      <c r="Y287" s="232"/>
      <c r="Z287" s="232"/>
      <c r="AA287" s="232"/>
      <c r="AB287" s="232"/>
      <c r="AC287" s="232"/>
      <c r="AD287" s="232"/>
      <c r="AE287" s="232"/>
      <c r="AF287" s="232"/>
      <c r="AG287" s="232"/>
      <c r="AH287" s="232"/>
      <c r="AI287" s="232"/>
      <c r="AJ287" s="232"/>
      <c r="AK287" s="232"/>
      <c r="AL287" s="232"/>
      <c r="AM287" s="232"/>
      <c r="AN287" s="232"/>
      <c r="AO287" s="232"/>
      <c r="AP287" s="232"/>
      <c r="AQ287" s="232"/>
      <c r="AR287" s="232"/>
      <c r="AS287" s="232"/>
      <c r="AT287" s="232"/>
      <c r="AU287" s="232"/>
      <c r="AV287" s="232"/>
      <c r="AW287" s="232"/>
    </row>
    <row r="288" spans="1:49">
      <c r="A288" s="232"/>
      <c r="B288" s="232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32"/>
      <c r="AI288" s="232"/>
      <c r="AJ288" s="232"/>
      <c r="AK288" s="232"/>
      <c r="AL288" s="232"/>
      <c r="AM288" s="232"/>
      <c r="AN288" s="232"/>
      <c r="AO288" s="232"/>
      <c r="AP288" s="232"/>
      <c r="AQ288" s="232"/>
      <c r="AR288" s="232"/>
      <c r="AS288" s="232"/>
      <c r="AT288" s="232"/>
      <c r="AU288" s="232"/>
      <c r="AV288" s="232"/>
      <c r="AW288" s="232"/>
    </row>
    <row r="289" spans="1:49">
      <c r="A289" s="232"/>
      <c r="B289" s="232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  <c r="U289" s="232"/>
      <c r="V289" s="232"/>
      <c r="W289" s="232"/>
      <c r="X289" s="232"/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32"/>
      <c r="AI289" s="232"/>
      <c r="AJ289" s="232"/>
      <c r="AK289" s="232"/>
      <c r="AL289" s="232"/>
      <c r="AM289" s="232"/>
      <c r="AN289" s="232"/>
      <c r="AO289" s="232"/>
      <c r="AP289" s="232"/>
      <c r="AQ289" s="232"/>
      <c r="AR289" s="232"/>
      <c r="AS289" s="232"/>
      <c r="AT289" s="232"/>
      <c r="AU289" s="232"/>
      <c r="AV289" s="232"/>
      <c r="AW289" s="232"/>
    </row>
    <row r="290" spans="1:49">
      <c r="A290" s="232"/>
      <c r="B290" s="232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  <c r="Q290" s="232"/>
      <c r="R290" s="232"/>
      <c r="S290" s="232"/>
      <c r="T290" s="232"/>
      <c r="U290" s="232"/>
      <c r="V290" s="232"/>
      <c r="W290" s="232"/>
      <c r="X290" s="232"/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32"/>
      <c r="AT290" s="232"/>
      <c r="AU290" s="232"/>
      <c r="AV290" s="232"/>
      <c r="AW290" s="232"/>
    </row>
    <row r="291" spans="1:49">
      <c r="A291" s="232"/>
      <c r="B291" s="232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32"/>
      <c r="AT291" s="232"/>
      <c r="AU291" s="232"/>
      <c r="AV291" s="232"/>
      <c r="AW291" s="232"/>
    </row>
    <row r="292" spans="1:49">
      <c r="A292" s="232"/>
      <c r="B292" s="232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32"/>
      <c r="AT292" s="232"/>
      <c r="AU292" s="232"/>
      <c r="AV292" s="232"/>
      <c r="AW292" s="232"/>
    </row>
    <row r="293" spans="1:49">
      <c r="A293" s="232"/>
      <c r="B293" s="232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32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32"/>
      <c r="AT293" s="232"/>
      <c r="AU293" s="232"/>
      <c r="AV293" s="232"/>
      <c r="AW293" s="232"/>
    </row>
    <row r="294" spans="1:49">
      <c r="A294" s="232"/>
      <c r="B294" s="232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  <c r="Q294" s="232"/>
      <c r="R294" s="232"/>
      <c r="S294" s="232"/>
      <c r="T294" s="232"/>
      <c r="U294" s="232"/>
      <c r="V294" s="232"/>
      <c r="W294" s="232"/>
      <c r="X294" s="232"/>
      <c r="Y294" s="232"/>
      <c r="Z294" s="232"/>
      <c r="AA294" s="232"/>
      <c r="AB294" s="232"/>
      <c r="AC294" s="232"/>
      <c r="AD294" s="232"/>
      <c r="AE294" s="232"/>
      <c r="AF294" s="232"/>
      <c r="AG294" s="232"/>
      <c r="AH294" s="232"/>
      <c r="AI294" s="232"/>
      <c r="AJ294" s="232"/>
      <c r="AK294" s="232"/>
      <c r="AL294" s="232"/>
      <c r="AM294" s="232"/>
      <c r="AN294" s="232"/>
      <c r="AO294" s="232"/>
      <c r="AP294" s="232"/>
      <c r="AQ294" s="232"/>
      <c r="AR294" s="232"/>
      <c r="AS294" s="232"/>
      <c r="AT294" s="232"/>
      <c r="AU294" s="232"/>
      <c r="AV294" s="232"/>
      <c r="AW294" s="232"/>
    </row>
    <row r="295" spans="1:49">
      <c r="A295" s="232"/>
      <c r="B295" s="232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  <c r="Q295" s="232"/>
      <c r="R295" s="232"/>
      <c r="S295" s="232"/>
      <c r="T295" s="232"/>
      <c r="U295" s="232"/>
      <c r="V295" s="232"/>
      <c r="W295" s="232"/>
      <c r="X295" s="232"/>
      <c r="Y295" s="232"/>
      <c r="Z295" s="232"/>
      <c r="AA295" s="232"/>
      <c r="AB295" s="232"/>
      <c r="AC295" s="232"/>
      <c r="AD295" s="232"/>
      <c r="AE295" s="232"/>
      <c r="AF295" s="232"/>
      <c r="AG295" s="232"/>
      <c r="AH295" s="232"/>
      <c r="AI295" s="232"/>
      <c r="AJ295" s="232"/>
      <c r="AK295" s="232"/>
      <c r="AL295" s="232"/>
      <c r="AM295" s="232"/>
      <c r="AN295" s="232"/>
      <c r="AO295" s="232"/>
      <c r="AP295" s="232"/>
      <c r="AQ295" s="232"/>
      <c r="AR295" s="232"/>
      <c r="AS295" s="232"/>
      <c r="AT295" s="232"/>
      <c r="AU295" s="232"/>
      <c r="AV295" s="232"/>
      <c r="AW295" s="232"/>
    </row>
    <row r="296" spans="1:49">
      <c r="A296" s="232"/>
      <c r="B296" s="232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  <c r="Q296" s="232"/>
      <c r="R296" s="232"/>
      <c r="S296" s="232"/>
      <c r="T296" s="232"/>
      <c r="U296" s="232"/>
      <c r="V296" s="232"/>
      <c r="W296" s="232"/>
      <c r="X296" s="232"/>
      <c r="Y296" s="232"/>
      <c r="Z296" s="232"/>
      <c r="AA296" s="232"/>
      <c r="AB296" s="232"/>
      <c r="AC296" s="232"/>
      <c r="AD296" s="232"/>
      <c r="AE296" s="232"/>
      <c r="AF296" s="232"/>
      <c r="AG296" s="232"/>
      <c r="AH296" s="232"/>
      <c r="AI296" s="232"/>
      <c r="AJ296" s="232"/>
      <c r="AK296" s="232"/>
      <c r="AL296" s="232"/>
      <c r="AM296" s="232"/>
      <c r="AN296" s="232"/>
      <c r="AO296" s="232"/>
      <c r="AP296" s="232"/>
      <c r="AQ296" s="232"/>
      <c r="AR296" s="232"/>
      <c r="AS296" s="232"/>
      <c r="AT296" s="232"/>
      <c r="AU296" s="232"/>
      <c r="AV296" s="232"/>
      <c r="AW296" s="232"/>
    </row>
    <row r="297" spans="1:49">
      <c r="A297" s="232"/>
      <c r="B297" s="232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  <c r="Q297" s="232"/>
      <c r="R297" s="232"/>
      <c r="S297" s="232"/>
      <c r="T297" s="232"/>
      <c r="U297" s="232"/>
      <c r="V297" s="232"/>
      <c r="W297" s="232"/>
      <c r="X297" s="232"/>
      <c r="Y297" s="232"/>
      <c r="Z297" s="232"/>
      <c r="AA297" s="232"/>
      <c r="AB297" s="232"/>
      <c r="AC297" s="232"/>
      <c r="AD297" s="232"/>
      <c r="AE297" s="232"/>
      <c r="AF297" s="232"/>
      <c r="AG297" s="232"/>
      <c r="AH297" s="232"/>
      <c r="AI297" s="232"/>
      <c r="AJ297" s="232"/>
      <c r="AK297" s="232"/>
      <c r="AL297" s="232"/>
      <c r="AM297" s="232"/>
      <c r="AN297" s="232"/>
      <c r="AO297" s="232"/>
      <c r="AP297" s="232"/>
      <c r="AQ297" s="232"/>
      <c r="AR297" s="232"/>
      <c r="AS297" s="232"/>
      <c r="AT297" s="232"/>
      <c r="AU297" s="232"/>
      <c r="AV297" s="232"/>
      <c r="AW297" s="232"/>
    </row>
    <row r="298" spans="1:49">
      <c r="A298" s="232"/>
      <c r="B298" s="232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  <c r="Q298" s="232"/>
      <c r="R298" s="232"/>
      <c r="S298" s="232"/>
      <c r="T298" s="232"/>
      <c r="U298" s="232"/>
      <c r="V298" s="232"/>
      <c r="W298" s="232"/>
      <c r="X298" s="232"/>
      <c r="Y298" s="232"/>
      <c r="Z298" s="232"/>
      <c r="AA298" s="232"/>
      <c r="AB298" s="232"/>
      <c r="AC298" s="232"/>
      <c r="AD298" s="232"/>
      <c r="AE298" s="232"/>
      <c r="AF298" s="232"/>
      <c r="AG298" s="232"/>
      <c r="AH298" s="232"/>
      <c r="AI298" s="232"/>
      <c r="AJ298" s="232"/>
      <c r="AK298" s="232"/>
      <c r="AL298" s="232"/>
      <c r="AM298" s="232"/>
      <c r="AN298" s="232"/>
      <c r="AO298" s="232"/>
      <c r="AP298" s="232"/>
      <c r="AQ298" s="232"/>
      <c r="AR298" s="232"/>
      <c r="AS298" s="232"/>
      <c r="AT298" s="232"/>
      <c r="AU298" s="232"/>
      <c r="AV298" s="232"/>
      <c r="AW298" s="232"/>
    </row>
    <row r="299" spans="1:49">
      <c r="A299" s="232"/>
      <c r="B299" s="232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32"/>
      <c r="AT299" s="232"/>
      <c r="AU299" s="232"/>
      <c r="AV299" s="232"/>
      <c r="AW299" s="232"/>
    </row>
    <row r="300" spans="1:49">
      <c r="A300" s="232"/>
      <c r="B300" s="232"/>
      <c r="C300" s="232"/>
      <c r="D300" s="232"/>
      <c r="E300" s="232"/>
      <c r="F300" s="232"/>
      <c r="G300" s="232"/>
      <c r="H300" s="232"/>
      <c r="I300" s="232"/>
      <c r="J300" s="232"/>
      <c r="K300" s="232"/>
      <c r="L300" s="232"/>
      <c r="M300" s="232"/>
      <c r="N300" s="232"/>
      <c r="O300" s="232"/>
      <c r="P300" s="232"/>
      <c r="Q300" s="232"/>
      <c r="R300" s="232"/>
      <c r="S300" s="232"/>
      <c r="T300" s="232"/>
      <c r="U300" s="232"/>
      <c r="V300" s="232"/>
      <c r="W300" s="232"/>
      <c r="X300" s="232"/>
      <c r="Y300" s="232"/>
      <c r="Z300" s="232"/>
      <c r="AA300" s="232"/>
      <c r="AB300" s="232"/>
      <c r="AC300" s="232"/>
      <c r="AD300" s="232"/>
      <c r="AE300" s="232"/>
      <c r="AF300" s="232"/>
      <c r="AG300" s="232"/>
      <c r="AH300" s="232"/>
      <c r="AI300" s="232"/>
      <c r="AJ300" s="232"/>
      <c r="AK300" s="232"/>
      <c r="AL300" s="232"/>
      <c r="AM300" s="232"/>
      <c r="AN300" s="232"/>
      <c r="AO300" s="232"/>
      <c r="AP300" s="232"/>
      <c r="AQ300" s="232"/>
      <c r="AR300" s="232"/>
      <c r="AS300" s="232"/>
      <c r="AT300" s="232"/>
      <c r="AU300" s="232"/>
      <c r="AV300" s="232"/>
      <c r="AW300" s="232"/>
    </row>
    <row r="301" spans="1:49">
      <c r="A301" s="232"/>
      <c r="B301" s="232"/>
      <c r="C301" s="232"/>
      <c r="D301" s="232"/>
      <c r="E301" s="232"/>
      <c r="F301" s="232"/>
      <c r="G301" s="232"/>
      <c r="H301" s="232"/>
      <c r="I301" s="232"/>
      <c r="J301" s="232"/>
      <c r="K301" s="232"/>
      <c r="L301" s="232"/>
      <c r="M301" s="232"/>
      <c r="N301" s="232"/>
      <c r="O301" s="232"/>
      <c r="P301" s="232"/>
      <c r="Q301" s="232"/>
      <c r="R301" s="232"/>
      <c r="S301" s="232"/>
      <c r="T301" s="232"/>
      <c r="U301" s="232"/>
      <c r="V301" s="232"/>
      <c r="W301" s="232"/>
      <c r="X301" s="232"/>
      <c r="Y301" s="232"/>
      <c r="Z301" s="232"/>
      <c r="AA301" s="232"/>
      <c r="AB301" s="232"/>
      <c r="AC301" s="232"/>
      <c r="AD301" s="232"/>
      <c r="AE301" s="232"/>
      <c r="AF301" s="232"/>
      <c r="AG301" s="232"/>
      <c r="AH301" s="232"/>
      <c r="AI301" s="232"/>
      <c r="AJ301" s="232"/>
      <c r="AK301" s="232"/>
      <c r="AL301" s="232"/>
      <c r="AM301" s="232"/>
      <c r="AN301" s="232"/>
      <c r="AO301" s="232"/>
      <c r="AP301" s="232"/>
      <c r="AQ301" s="232"/>
      <c r="AR301" s="232"/>
      <c r="AS301" s="232"/>
      <c r="AT301" s="232"/>
      <c r="AU301" s="232"/>
      <c r="AV301" s="232"/>
      <c r="AW301" s="232"/>
    </row>
    <row r="302" spans="1:49">
      <c r="A302" s="232"/>
      <c r="B302" s="232"/>
      <c r="C302" s="232"/>
      <c r="D302" s="232"/>
      <c r="E302" s="232"/>
      <c r="F302" s="232"/>
      <c r="G302" s="232"/>
      <c r="H302" s="232"/>
      <c r="I302" s="232"/>
      <c r="J302" s="232"/>
      <c r="K302" s="232"/>
      <c r="L302" s="232"/>
      <c r="M302" s="232"/>
      <c r="N302" s="232"/>
      <c r="O302" s="232"/>
      <c r="P302" s="232"/>
      <c r="Q302" s="232"/>
      <c r="R302" s="232"/>
      <c r="S302" s="232"/>
      <c r="T302" s="232"/>
      <c r="U302" s="232"/>
      <c r="V302" s="232"/>
      <c r="W302" s="232"/>
      <c r="X302" s="232"/>
      <c r="Y302" s="232"/>
      <c r="Z302" s="232"/>
      <c r="AA302" s="232"/>
      <c r="AB302" s="232"/>
      <c r="AC302" s="232"/>
      <c r="AD302" s="232"/>
      <c r="AE302" s="232"/>
      <c r="AF302" s="232"/>
      <c r="AG302" s="232"/>
      <c r="AH302" s="232"/>
      <c r="AI302" s="232"/>
      <c r="AJ302" s="232"/>
      <c r="AK302" s="232"/>
      <c r="AL302" s="232"/>
      <c r="AM302" s="232"/>
      <c r="AN302" s="232"/>
      <c r="AO302" s="232"/>
      <c r="AP302" s="232"/>
      <c r="AQ302" s="232"/>
      <c r="AR302" s="232"/>
      <c r="AS302" s="232"/>
      <c r="AT302" s="232"/>
      <c r="AU302" s="232"/>
      <c r="AV302" s="232"/>
      <c r="AW302" s="232"/>
    </row>
    <row r="303" spans="1:49">
      <c r="A303" s="232"/>
      <c r="B303" s="232"/>
      <c r="C303" s="232"/>
      <c r="D303" s="232"/>
      <c r="E303" s="232"/>
      <c r="F303" s="232"/>
      <c r="G303" s="232"/>
      <c r="H303" s="232"/>
      <c r="I303" s="232"/>
      <c r="J303" s="232"/>
      <c r="K303" s="232"/>
      <c r="L303" s="232"/>
      <c r="M303" s="232"/>
      <c r="N303" s="232"/>
      <c r="O303" s="232"/>
      <c r="P303" s="232"/>
      <c r="Q303" s="232"/>
      <c r="R303" s="232"/>
      <c r="S303" s="232"/>
      <c r="T303" s="232"/>
      <c r="U303" s="232"/>
      <c r="V303" s="232"/>
      <c r="W303" s="232"/>
      <c r="X303" s="232"/>
      <c r="Y303" s="232"/>
      <c r="Z303" s="232"/>
      <c r="AA303" s="232"/>
      <c r="AB303" s="232"/>
      <c r="AC303" s="232"/>
      <c r="AD303" s="232"/>
      <c r="AE303" s="232"/>
      <c r="AF303" s="232"/>
      <c r="AG303" s="232"/>
      <c r="AH303" s="232"/>
      <c r="AI303" s="232"/>
      <c r="AJ303" s="232"/>
      <c r="AK303" s="232"/>
      <c r="AL303" s="232"/>
      <c r="AM303" s="232"/>
      <c r="AN303" s="232"/>
      <c r="AO303" s="232"/>
      <c r="AP303" s="232"/>
      <c r="AQ303" s="232"/>
      <c r="AR303" s="232"/>
      <c r="AS303" s="232"/>
      <c r="AT303" s="232"/>
      <c r="AU303" s="232"/>
      <c r="AV303" s="232"/>
      <c r="AW303" s="232"/>
    </row>
    <row r="304" spans="1:49">
      <c r="A304" s="232"/>
      <c r="B304" s="232"/>
      <c r="C304" s="232"/>
      <c r="D304" s="232"/>
      <c r="E304" s="232"/>
      <c r="F304" s="232"/>
      <c r="G304" s="232"/>
      <c r="H304" s="232"/>
      <c r="I304" s="232"/>
      <c r="J304" s="232"/>
      <c r="K304" s="232"/>
      <c r="L304" s="232"/>
      <c r="M304" s="232"/>
      <c r="N304" s="232"/>
      <c r="O304" s="232"/>
      <c r="P304" s="232"/>
      <c r="Q304" s="232"/>
      <c r="R304" s="232"/>
      <c r="S304" s="232"/>
      <c r="T304" s="232"/>
      <c r="U304" s="232"/>
      <c r="V304" s="232"/>
      <c r="W304" s="232"/>
      <c r="X304" s="232"/>
      <c r="Y304" s="232"/>
      <c r="Z304" s="232"/>
      <c r="AA304" s="232"/>
      <c r="AB304" s="232"/>
      <c r="AC304" s="232"/>
      <c r="AD304" s="232"/>
      <c r="AE304" s="232"/>
      <c r="AF304" s="232"/>
      <c r="AG304" s="232"/>
      <c r="AH304" s="232"/>
      <c r="AI304" s="232"/>
      <c r="AJ304" s="232"/>
      <c r="AK304" s="232"/>
      <c r="AL304" s="232"/>
      <c r="AM304" s="232"/>
      <c r="AN304" s="232"/>
      <c r="AO304" s="232"/>
      <c r="AP304" s="232"/>
      <c r="AQ304" s="232"/>
      <c r="AR304" s="232"/>
      <c r="AS304" s="232"/>
      <c r="AT304" s="232"/>
      <c r="AU304" s="232"/>
      <c r="AV304" s="232"/>
      <c r="AW304" s="232"/>
    </row>
    <row r="305" spans="1:49">
      <c r="A305" s="232"/>
      <c r="B305" s="232"/>
      <c r="C305" s="232"/>
      <c r="D305" s="232"/>
      <c r="E305" s="232"/>
      <c r="F305" s="232"/>
      <c r="G305" s="232"/>
      <c r="H305" s="232"/>
      <c r="I305" s="232"/>
      <c r="J305" s="232"/>
      <c r="K305" s="232"/>
      <c r="L305" s="232"/>
      <c r="M305" s="232"/>
      <c r="N305" s="232"/>
      <c r="O305" s="232"/>
      <c r="P305" s="232"/>
      <c r="Q305" s="232"/>
      <c r="R305" s="232"/>
      <c r="S305" s="232"/>
      <c r="T305" s="232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32"/>
      <c r="AH305" s="232"/>
      <c r="AI305" s="232"/>
      <c r="AJ305" s="232"/>
      <c r="AK305" s="232"/>
      <c r="AL305" s="232"/>
      <c r="AM305" s="232"/>
      <c r="AN305" s="232"/>
      <c r="AO305" s="232"/>
      <c r="AP305" s="232"/>
      <c r="AQ305" s="232"/>
      <c r="AR305" s="232"/>
      <c r="AS305" s="232"/>
      <c r="AT305" s="232"/>
      <c r="AU305" s="232"/>
      <c r="AV305" s="232"/>
      <c r="AW305" s="232"/>
    </row>
    <row r="306" spans="1:49">
      <c r="A306" s="232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232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32"/>
      <c r="AT306" s="232"/>
      <c r="AU306" s="232"/>
      <c r="AV306" s="232"/>
      <c r="AW306" s="232"/>
    </row>
    <row r="307" spans="1:49">
      <c r="A307" s="232"/>
      <c r="B307" s="232"/>
      <c r="C307" s="232"/>
      <c r="D307" s="232"/>
      <c r="E307" s="232"/>
      <c r="F307" s="232"/>
      <c r="G307" s="232"/>
      <c r="H307" s="232"/>
      <c r="I307" s="232"/>
      <c r="J307" s="232"/>
      <c r="K307" s="232"/>
      <c r="L307" s="232"/>
      <c r="M307" s="232"/>
      <c r="N307" s="232"/>
      <c r="O307" s="232"/>
      <c r="P307" s="232"/>
      <c r="Q307" s="232"/>
      <c r="R307" s="232"/>
      <c r="S307" s="232"/>
      <c r="T307" s="232"/>
      <c r="U307" s="232"/>
      <c r="V307" s="232"/>
      <c r="W307" s="232"/>
      <c r="X307" s="232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32"/>
      <c r="AI307" s="232"/>
      <c r="AJ307" s="232"/>
      <c r="AK307" s="232"/>
      <c r="AL307" s="232"/>
      <c r="AM307" s="232"/>
      <c r="AN307" s="232"/>
      <c r="AO307" s="232"/>
      <c r="AP307" s="232"/>
      <c r="AQ307" s="232"/>
      <c r="AR307" s="232"/>
      <c r="AS307" s="232"/>
      <c r="AT307" s="232"/>
      <c r="AU307" s="232"/>
      <c r="AV307" s="232"/>
      <c r="AW307" s="232"/>
    </row>
    <row r="308" spans="1:49">
      <c r="A308" s="232"/>
      <c r="B308" s="232"/>
      <c r="C308" s="232"/>
      <c r="D308" s="232"/>
      <c r="E308" s="232"/>
      <c r="F308" s="232"/>
      <c r="G308" s="232"/>
      <c r="H308" s="232"/>
      <c r="I308" s="232"/>
      <c r="J308" s="232"/>
      <c r="K308" s="232"/>
      <c r="L308" s="232"/>
      <c r="M308" s="232"/>
      <c r="N308" s="232"/>
      <c r="O308" s="232"/>
      <c r="P308" s="232"/>
      <c r="Q308" s="232"/>
      <c r="R308" s="232"/>
      <c r="S308" s="232"/>
      <c r="T308" s="232"/>
      <c r="U308" s="232"/>
      <c r="V308" s="232"/>
      <c r="W308" s="232"/>
      <c r="X308" s="232"/>
      <c r="Y308" s="232"/>
      <c r="Z308" s="232"/>
      <c r="AA308" s="232"/>
      <c r="AB308" s="232"/>
      <c r="AC308" s="232"/>
      <c r="AD308" s="232"/>
      <c r="AE308" s="232"/>
      <c r="AF308" s="232"/>
      <c r="AG308" s="232"/>
      <c r="AH308" s="232"/>
      <c r="AI308" s="232"/>
      <c r="AJ308" s="232"/>
      <c r="AK308" s="232"/>
      <c r="AL308" s="232"/>
      <c r="AM308" s="232"/>
      <c r="AN308" s="232"/>
      <c r="AO308" s="232"/>
      <c r="AP308" s="232"/>
      <c r="AQ308" s="232"/>
      <c r="AR308" s="232"/>
      <c r="AS308" s="232"/>
      <c r="AT308" s="232"/>
      <c r="AU308" s="232"/>
      <c r="AV308" s="232"/>
      <c r="AW308" s="232"/>
    </row>
    <row r="309" spans="1:49">
      <c r="A309" s="232"/>
      <c r="B309" s="232"/>
      <c r="C309" s="232"/>
      <c r="D309" s="232"/>
      <c r="E309" s="232"/>
      <c r="F309" s="232"/>
      <c r="G309" s="232"/>
      <c r="H309" s="232"/>
      <c r="I309" s="232"/>
      <c r="J309" s="232"/>
      <c r="K309" s="232"/>
      <c r="L309" s="232"/>
      <c r="M309" s="232"/>
      <c r="N309" s="232"/>
      <c r="O309" s="232"/>
      <c r="P309" s="232"/>
      <c r="Q309" s="232"/>
      <c r="R309" s="232"/>
      <c r="S309" s="232"/>
      <c r="T309" s="232"/>
      <c r="U309" s="232"/>
      <c r="V309" s="232"/>
      <c r="W309" s="232"/>
      <c r="X309" s="232"/>
      <c r="Y309" s="232"/>
      <c r="Z309" s="232"/>
      <c r="AA309" s="232"/>
      <c r="AB309" s="232"/>
      <c r="AC309" s="232"/>
      <c r="AD309" s="232"/>
      <c r="AE309" s="232"/>
      <c r="AF309" s="232"/>
      <c r="AG309" s="232"/>
      <c r="AH309" s="232"/>
      <c r="AI309" s="232"/>
      <c r="AJ309" s="232"/>
      <c r="AK309" s="232"/>
      <c r="AL309" s="232"/>
      <c r="AM309" s="232"/>
      <c r="AN309" s="232"/>
      <c r="AO309" s="232"/>
      <c r="AP309" s="232"/>
      <c r="AQ309" s="232"/>
      <c r="AR309" s="232"/>
      <c r="AS309" s="232"/>
      <c r="AT309" s="232"/>
      <c r="AU309" s="232"/>
      <c r="AV309" s="232"/>
      <c r="AW309" s="232"/>
    </row>
    <row r="310" spans="1:49">
      <c r="A310" s="232"/>
      <c r="B310" s="232"/>
      <c r="C310" s="232"/>
      <c r="D310" s="232"/>
      <c r="E310" s="232"/>
      <c r="F310" s="232"/>
      <c r="G310" s="232"/>
      <c r="H310" s="232"/>
      <c r="I310" s="232"/>
      <c r="J310" s="232"/>
      <c r="K310" s="232"/>
      <c r="L310" s="232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  <c r="AK310" s="232"/>
      <c r="AL310" s="232"/>
      <c r="AM310" s="232"/>
      <c r="AN310" s="232"/>
      <c r="AO310" s="232"/>
      <c r="AP310" s="232"/>
      <c r="AQ310" s="232"/>
      <c r="AR310" s="232"/>
      <c r="AS310" s="232"/>
      <c r="AT310" s="232"/>
      <c r="AU310" s="232"/>
      <c r="AV310" s="232"/>
      <c r="AW310" s="232"/>
    </row>
    <row r="311" spans="1:49">
      <c r="A311" s="232"/>
      <c r="B311" s="232"/>
      <c r="C311" s="232"/>
      <c r="D311" s="232"/>
      <c r="E311" s="232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/>
      <c r="Q311" s="232"/>
      <c r="R311" s="232"/>
      <c r="S311" s="232"/>
      <c r="T311" s="232"/>
      <c r="U311" s="232"/>
      <c r="V311" s="232"/>
      <c r="W311" s="232"/>
      <c r="X311" s="232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32"/>
      <c r="AI311" s="232"/>
      <c r="AJ311" s="232"/>
      <c r="AK311" s="232"/>
      <c r="AL311" s="232"/>
      <c r="AM311" s="232"/>
      <c r="AN311" s="232"/>
      <c r="AO311" s="232"/>
      <c r="AP311" s="232"/>
      <c r="AQ311" s="232"/>
      <c r="AR311" s="232"/>
      <c r="AS311" s="232"/>
      <c r="AT311" s="232"/>
      <c r="AU311" s="232"/>
      <c r="AV311" s="232"/>
      <c r="AW311" s="232"/>
    </row>
    <row r="312" spans="1:49">
      <c r="A312" s="232"/>
      <c r="B312" s="232"/>
      <c r="C312" s="232"/>
      <c r="D312" s="232"/>
      <c r="E312" s="232"/>
      <c r="F312" s="232"/>
      <c r="G312" s="232"/>
      <c r="H312" s="232"/>
      <c r="I312" s="232"/>
      <c r="J312" s="232"/>
      <c r="K312" s="232"/>
      <c r="L312" s="232"/>
      <c r="M312" s="232"/>
      <c r="N312" s="232"/>
      <c r="O312" s="232"/>
      <c r="P312" s="232"/>
      <c r="Q312" s="232"/>
      <c r="R312" s="232"/>
      <c r="S312" s="232"/>
      <c r="T312" s="232"/>
      <c r="U312" s="232"/>
      <c r="V312" s="232"/>
      <c r="W312" s="232"/>
      <c r="X312" s="232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32"/>
      <c r="AI312" s="232"/>
      <c r="AJ312" s="232"/>
      <c r="AK312" s="232"/>
      <c r="AL312" s="232"/>
      <c r="AM312" s="232"/>
      <c r="AN312" s="232"/>
      <c r="AO312" s="232"/>
      <c r="AP312" s="232"/>
      <c r="AQ312" s="232"/>
      <c r="AR312" s="232"/>
      <c r="AS312" s="232"/>
      <c r="AT312" s="232"/>
      <c r="AU312" s="232"/>
      <c r="AV312" s="232"/>
      <c r="AW312" s="232"/>
    </row>
    <row r="313" spans="1:49">
      <c r="A313" s="232"/>
      <c r="B313" s="232"/>
      <c r="C313" s="232"/>
      <c r="D313" s="232"/>
      <c r="E313" s="232"/>
      <c r="F313" s="232"/>
      <c r="G313" s="232"/>
      <c r="H313" s="232"/>
      <c r="I313" s="232"/>
      <c r="J313" s="232"/>
      <c r="K313" s="232"/>
      <c r="L313" s="232"/>
      <c r="M313" s="232"/>
      <c r="N313" s="232"/>
      <c r="O313" s="232"/>
      <c r="P313" s="232"/>
      <c r="Q313" s="232"/>
      <c r="R313" s="232"/>
      <c r="S313" s="232"/>
      <c r="T313" s="232"/>
      <c r="U313" s="232"/>
      <c r="V313" s="232"/>
      <c r="W313" s="232"/>
      <c r="X313" s="232"/>
      <c r="Y313" s="232"/>
      <c r="Z313" s="232"/>
      <c r="AA313" s="232"/>
      <c r="AB313" s="232"/>
      <c r="AC313" s="232"/>
      <c r="AD313" s="232"/>
      <c r="AE313" s="232"/>
      <c r="AF313" s="232"/>
      <c r="AG313" s="232"/>
      <c r="AH313" s="232"/>
      <c r="AI313" s="232"/>
      <c r="AJ313" s="232"/>
      <c r="AK313" s="232"/>
      <c r="AL313" s="232"/>
      <c r="AM313" s="232"/>
      <c r="AN313" s="232"/>
      <c r="AO313" s="232"/>
      <c r="AP313" s="232"/>
      <c r="AQ313" s="232"/>
      <c r="AR313" s="232"/>
      <c r="AS313" s="232"/>
      <c r="AT313" s="232"/>
      <c r="AU313" s="232"/>
      <c r="AV313" s="232"/>
      <c r="AW313" s="232"/>
    </row>
    <row r="314" spans="1:49">
      <c r="A314" s="232"/>
      <c r="B314" s="232"/>
      <c r="C314" s="232"/>
      <c r="D314" s="232"/>
      <c r="E314" s="232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32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32"/>
      <c r="AT314" s="232"/>
      <c r="AU314" s="232"/>
      <c r="AV314" s="232"/>
      <c r="AW314" s="232"/>
    </row>
    <row r="315" spans="1:49">
      <c r="A315" s="232"/>
      <c r="B315" s="232"/>
      <c r="C315" s="232"/>
      <c r="D315" s="232"/>
      <c r="E315" s="232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32"/>
      <c r="AT315" s="232"/>
      <c r="AU315" s="232"/>
      <c r="AV315" s="232"/>
      <c r="AW315" s="232"/>
    </row>
    <row r="316" spans="1:49">
      <c r="A316" s="232"/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32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32"/>
      <c r="AT316" s="232"/>
      <c r="AU316" s="232"/>
      <c r="AV316" s="232"/>
      <c r="AW316" s="232"/>
    </row>
    <row r="317" spans="1:49">
      <c r="A317" s="232"/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32"/>
      <c r="AT317" s="232"/>
      <c r="AU317" s="232"/>
      <c r="AV317" s="232"/>
      <c r="AW317" s="232"/>
    </row>
    <row r="318" spans="1:49">
      <c r="A318" s="232"/>
      <c r="B318" s="232"/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32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32"/>
      <c r="AT318" s="232"/>
      <c r="AU318" s="232"/>
      <c r="AV318" s="232"/>
      <c r="AW318" s="232"/>
    </row>
    <row r="319" spans="1:49">
      <c r="A319" s="232"/>
      <c r="B319" s="232"/>
      <c r="C319" s="232"/>
      <c r="D319" s="232"/>
      <c r="E319" s="232"/>
      <c r="F319" s="232"/>
      <c r="G319" s="232"/>
      <c r="H319" s="232"/>
      <c r="I319" s="232"/>
      <c r="J319" s="232"/>
      <c r="K319" s="232"/>
      <c r="L319" s="232"/>
      <c r="M319" s="232"/>
      <c r="N319" s="232"/>
      <c r="O319" s="232"/>
      <c r="P319" s="232"/>
      <c r="Q319" s="232"/>
      <c r="R319" s="232"/>
      <c r="S319" s="232"/>
      <c r="T319" s="232"/>
      <c r="U319" s="232"/>
      <c r="V319" s="232"/>
      <c r="W319" s="232"/>
      <c r="X319" s="232"/>
      <c r="Y319" s="232"/>
      <c r="Z319" s="232"/>
      <c r="AA319" s="232"/>
      <c r="AB319" s="232"/>
      <c r="AC319" s="232"/>
      <c r="AD319" s="232"/>
      <c r="AE319" s="232"/>
      <c r="AF319" s="232"/>
      <c r="AG319" s="232"/>
      <c r="AH319" s="232"/>
      <c r="AI319" s="232"/>
      <c r="AJ319" s="232"/>
      <c r="AK319" s="232"/>
      <c r="AL319" s="232"/>
      <c r="AM319" s="232"/>
      <c r="AN319" s="232"/>
      <c r="AO319" s="232"/>
      <c r="AP319" s="232"/>
      <c r="AQ319" s="232"/>
      <c r="AR319" s="232"/>
      <c r="AS319" s="232"/>
      <c r="AT319" s="232"/>
      <c r="AU319" s="232"/>
      <c r="AV319" s="232"/>
      <c r="AW319" s="232"/>
    </row>
    <row r="320" spans="1:49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R320" s="232"/>
      <c r="S320" s="232"/>
      <c r="T320" s="232"/>
      <c r="U320" s="232"/>
      <c r="V320" s="232"/>
      <c r="W320" s="232"/>
      <c r="X320" s="232"/>
      <c r="Y320" s="232"/>
      <c r="Z320" s="232"/>
      <c r="AA320" s="232"/>
      <c r="AB320" s="232"/>
      <c r="AC320" s="232"/>
      <c r="AD320" s="232"/>
      <c r="AE320" s="232"/>
      <c r="AF320" s="232"/>
      <c r="AG320" s="232"/>
      <c r="AH320" s="232"/>
      <c r="AI320" s="232"/>
      <c r="AJ320" s="232"/>
      <c r="AK320" s="232"/>
      <c r="AL320" s="232"/>
      <c r="AM320" s="232"/>
      <c r="AN320" s="232"/>
      <c r="AO320" s="232"/>
      <c r="AP320" s="232"/>
      <c r="AQ320" s="232"/>
      <c r="AR320" s="232"/>
      <c r="AS320" s="232"/>
      <c r="AT320" s="232"/>
      <c r="AU320" s="232"/>
      <c r="AV320" s="232"/>
      <c r="AW320" s="232"/>
    </row>
    <row r="321" spans="1:49">
      <c r="A321" s="232"/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  <c r="AK321" s="232"/>
      <c r="AL321" s="232"/>
      <c r="AM321" s="232"/>
      <c r="AN321" s="232"/>
      <c r="AO321" s="232"/>
      <c r="AP321" s="232"/>
      <c r="AQ321" s="232"/>
      <c r="AR321" s="232"/>
      <c r="AS321" s="232"/>
      <c r="AT321" s="232"/>
      <c r="AU321" s="232"/>
      <c r="AV321" s="232"/>
      <c r="AW321" s="232"/>
    </row>
    <row r="322" spans="1:49">
      <c r="A322" s="232"/>
      <c r="B322" s="232"/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32"/>
      <c r="AI322" s="232"/>
      <c r="AJ322" s="232"/>
      <c r="AK322" s="232"/>
      <c r="AL322" s="232"/>
      <c r="AM322" s="232"/>
      <c r="AN322" s="232"/>
      <c r="AO322" s="232"/>
      <c r="AP322" s="232"/>
      <c r="AQ322" s="232"/>
      <c r="AR322" s="232"/>
      <c r="AS322" s="232"/>
      <c r="AT322" s="232"/>
      <c r="AU322" s="232"/>
      <c r="AV322" s="232"/>
      <c r="AW322" s="232"/>
    </row>
    <row r="323" spans="1:49">
      <c r="A323" s="232"/>
      <c r="B323" s="232"/>
      <c r="C323" s="232"/>
      <c r="D323" s="232"/>
      <c r="E323" s="232"/>
      <c r="F323" s="232"/>
      <c r="G323" s="232"/>
      <c r="H323" s="232"/>
      <c r="I323" s="232"/>
      <c r="J323" s="232"/>
      <c r="K323" s="232"/>
      <c r="L323" s="232"/>
      <c r="M323" s="232"/>
      <c r="N323" s="232"/>
      <c r="O323" s="232"/>
      <c r="P323" s="232"/>
      <c r="Q323" s="232"/>
      <c r="R323" s="232"/>
      <c r="S323" s="232"/>
      <c r="T323" s="232"/>
      <c r="U323" s="232"/>
      <c r="V323" s="232"/>
      <c r="W323" s="232"/>
      <c r="X323" s="232"/>
      <c r="Y323" s="232"/>
      <c r="Z323" s="232"/>
      <c r="AA323" s="232"/>
      <c r="AB323" s="232"/>
      <c r="AC323" s="232"/>
      <c r="AD323" s="232"/>
      <c r="AE323" s="232"/>
      <c r="AF323" s="232"/>
      <c r="AG323" s="232"/>
      <c r="AH323" s="232"/>
      <c r="AI323" s="232"/>
      <c r="AJ323" s="232"/>
      <c r="AK323" s="232"/>
      <c r="AL323" s="232"/>
      <c r="AM323" s="232"/>
      <c r="AN323" s="232"/>
      <c r="AO323" s="232"/>
      <c r="AP323" s="232"/>
      <c r="AQ323" s="232"/>
      <c r="AR323" s="232"/>
      <c r="AS323" s="232"/>
      <c r="AT323" s="232"/>
      <c r="AU323" s="232"/>
      <c r="AV323" s="232"/>
      <c r="AW323" s="232"/>
    </row>
    <row r="324" spans="1:49">
      <c r="A324" s="232"/>
      <c r="B324" s="232"/>
      <c r="C324" s="232"/>
      <c r="D324" s="232"/>
      <c r="E324" s="232"/>
      <c r="F324" s="232"/>
      <c r="G324" s="232"/>
      <c r="H324" s="232"/>
      <c r="I324" s="232"/>
      <c r="J324" s="232"/>
      <c r="K324" s="232"/>
      <c r="L324" s="232"/>
      <c r="M324" s="232"/>
      <c r="N324" s="232"/>
      <c r="O324" s="232"/>
      <c r="P324" s="232"/>
      <c r="Q324" s="232"/>
      <c r="R324" s="232"/>
      <c r="S324" s="232"/>
      <c r="T324" s="232"/>
      <c r="U324" s="232"/>
      <c r="V324" s="232"/>
      <c r="W324" s="232"/>
      <c r="X324" s="232"/>
      <c r="Y324" s="232"/>
      <c r="Z324" s="232"/>
      <c r="AA324" s="232"/>
      <c r="AB324" s="232"/>
      <c r="AC324" s="232"/>
      <c r="AD324" s="232"/>
      <c r="AE324" s="232"/>
      <c r="AF324" s="232"/>
      <c r="AG324" s="232"/>
      <c r="AH324" s="232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32"/>
      <c r="AT324" s="232"/>
      <c r="AU324" s="232"/>
      <c r="AV324" s="232"/>
      <c r="AW324" s="232"/>
    </row>
    <row r="325" spans="1:49">
      <c r="A325" s="232"/>
      <c r="B325" s="232"/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R325" s="232"/>
      <c r="S325" s="232"/>
      <c r="T325" s="232"/>
      <c r="U325" s="232"/>
      <c r="V325" s="232"/>
      <c r="W325" s="232"/>
      <c r="X325" s="232"/>
      <c r="Y325" s="232"/>
      <c r="Z325" s="232"/>
      <c r="AA325" s="232"/>
      <c r="AB325" s="232"/>
      <c r="AC325" s="232"/>
      <c r="AD325" s="232"/>
      <c r="AE325" s="232"/>
      <c r="AF325" s="232"/>
      <c r="AG325" s="232"/>
      <c r="AH325" s="232"/>
      <c r="AI325" s="232"/>
      <c r="AJ325" s="232"/>
      <c r="AK325" s="232"/>
      <c r="AL325" s="232"/>
      <c r="AM325" s="232"/>
      <c r="AN325" s="232"/>
      <c r="AO325" s="232"/>
      <c r="AP325" s="232"/>
      <c r="AQ325" s="232"/>
      <c r="AR325" s="232"/>
      <c r="AS325" s="232"/>
      <c r="AT325" s="232"/>
      <c r="AU325" s="232"/>
      <c r="AV325" s="232"/>
      <c r="AW325" s="232"/>
    </row>
    <row r="326" spans="1:49">
      <c r="A326" s="232"/>
      <c r="B326" s="232"/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32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32"/>
      <c r="AT326" s="232"/>
      <c r="AU326" s="232"/>
      <c r="AV326" s="232"/>
      <c r="AW326" s="232"/>
    </row>
    <row r="327" spans="1:49">
      <c r="A327" s="232"/>
      <c r="B327" s="232"/>
      <c r="C327" s="232"/>
      <c r="D327" s="232"/>
      <c r="E327" s="232"/>
      <c r="F327" s="232"/>
      <c r="G327" s="232"/>
      <c r="H327" s="232"/>
      <c r="I327" s="232"/>
      <c r="J327" s="232"/>
      <c r="K327" s="232"/>
      <c r="L327" s="232"/>
      <c r="M327" s="232"/>
      <c r="N327" s="232"/>
      <c r="O327" s="232"/>
      <c r="P327" s="232"/>
      <c r="Q327" s="232"/>
      <c r="R327" s="232"/>
      <c r="S327" s="232"/>
      <c r="T327" s="232"/>
      <c r="U327" s="232"/>
      <c r="V327" s="232"/>
      <c r="W327" s="232"/>
      <c r="X327" s="232"/>
      <c r="Y327" s="232"/>
      <c r="Z327" s="232"/>
      <c r="AA327" s="232"/>
      <c r="AB327" s="232"/>
      <c r="AC327" s="232"/>
      <c r="AD327" s="232"/>
      <c r="AE327" s="232"/>
      <c r="AF327" s="232"/>
      <c r="AG327" s="232"/>
      <c r="AH327" s="232"/>
      <c r="AI327" s="232"/>
      <c r="AJ327" s="232"/>
      <c r="AK327" s="232"/>
      <c r="AL327" s="232"/>
      <c r="AM327" s="232"/>
      <c r="AN327" s="232"/>
      <c r="AO327" s="232"/>
      <c r="AP327" s="232"/>
      <c r="AQ327" s="232"/>
      <c r="AR327" s="232"/>
      <c r="AS327" s="232"/>
      <c r="AT327" s="232"/>
      <c r="AU327" s="232"/>
      <c r="AV327" s="232"/>
      <c r="AW327" s="232"/>
    </row>
    <row r="328" spans="1:49">
      <c r="A328" s="232"/>
      <c r="B328" s="232"/>
      <c r="C328" s="232"/>
      <c r="D328" s="232"/>
      <c r="E328" s="232"/>
      <c r="F328" s="232"/>
      <c r="G328" s="232"/>
      <c r="H328" s="232"/>
      <c r="I328" s="232"/>
      <c r="J328" s="232"/>
      <c r="K328" s="232"/>
      <c r="L328" s="232"/>
      <c r="M328" s="232"/>
      <c r="N328" s="232"/>
      <c r="O328" s="232"/>
      <c r="P328" s="232"/>
      <c r="Q328" s="232"/>
      <c r="R328" s="232"/>
      <c r="S328" s="232"/>
      <c r="T328" s="232"/>
      <c r="U328" s="232"/>
      <c r="V328" s="232"/>
      <c r="W328" s="232"/>
      <c r="X328" s="232"/>
      <c r="Y328" s="232"/>
      <c r="Z328" s="232"/>
      <c r="AA328" s="232"/>
      <c r="AB328" s="232"/>
      <c r="AC328" s="232"/>
      <c r="AD328" s="232"/>
      <c r="AE328" s="232"/>
      <c r="AF328" s="232"/>
      <c r="AG328" s="232"/>
      <c r="AH328" s="232"/>
      <c r="AI328" s="232"/>
      <c r="AJ328" s="232"/>
      <c r="AK328" s="232"/>
      <c r="AL328" s="232"/>
      <c r="AM328" s="232"/>
      <c r="AN328" s="232"/>
      <c r="AO328" s="232"/>
      <c r="AP328" s="232"/>
      <c r="AQ328" s="232"/>
      <c r="AR328" s="232"/>
      <c r="AS328" s="232"/>
      <c r="AT328" s="232"/>
      <c r="AU328" s="232"/>
      <c r="AV328" s="232"/>
      <c r="AW328" s="232"/>
    </row>
    <row r="329" spans="1:49">
      <c r="A329" s="232"/>
      <c r="B329" s="232"/>
      <c r="C329" s="232"/>
      <c r="D329" s="232"/>
      <c r="E329" s="232"/>
      <c r="F329" s="232"/>
      <c r="G329" s="232"/>
      <c r="H329" s="232"/>
      <c r="I329" s="232"/>
      <c r="J329" s="232"/>
      <c r="K329" s="232"/>
      <c r="L329" s="232"/>
      <c r="M329" s="232"/>
      <c r="N329" s="232"/>
      <c r="O329" s="232"/>
      <c r="P329" s="232"/>
      <c r="Q329" s="232"/>
      <c r="R329" s="232"/>
      <c r="S329" s="232"/>
      <c r="T329" s="232"/>
      <c r="U329" s="232"/>
      <c r="V329" s="232"/>
      <c r="W329" s="232"/>
      <c r="X329" s="232"/>
      <c r="Y329" s="232"/>
      <c r="Z329" s="232"/>
      <c r="AA329" s="232"/>
      <c r="AB329" s="232"/>
      <c r="AC329" s="232"/>
      <c r="AD329" s="232"/>
      <c r="AE329" s="232"/>
      <c r="AF329" s="232"/>
      <c r="AG329" s="232"/>
      <c r="AH329" s="232"/>
      <c r="AI329" s="232"/>
      <c r="AJ329" s="232"/>
      <c r="AK329" s="232"/>
      <c r="AL329" s="232"/>
      <c r="AM329" s="232"/>
      <c r="AN329" s="232"/>
      <c r="AO329" s="232"/>
      <c r="AP329" s="232"/>
      <c r="AQ329" s="232"/>
      <c r="AR329" s="232"/>
      <c r="AS329" s="232"/>
      <c r="AT329" s="232"/>
      <c r="AU329" s="232"/>
      <c r="AV329" s="232"/>
      <c r="AW329" s="232"/>
    </row>
    <row r="330" spans="1:49">
      <c r="A330" s="232"/>
      <c r="B330" s="232"/>
      <c r="C330" s="232"/>
      <c r="D330" s="232"/>
      <c r="E330" s="232"/>
      <c r="F330" s="232"/>
      <c r="G330" s="232"/>
      <c r="H330" s="232"/>
      <c r="I330" s="232"/>
      <c r="J330" s="232"/>
      <c r="K330" s="232"/>
      <c r="L330" s="232"/>
      <c r="M330" s="232"/>
      <c r="N330" s="232"/>
      <c r="O330" s="232"/>
      <c r="P330" s="232"/>
      <c r="Q330" s="232"/>
      <c r="R330" s="232"/>
      <c r="S330" s="232"/>
      <c r="T330" s="232"/>
      <c r="U330" s="232"/>
      <c r="V330" s="232"/>
      <c r="W330" s="232"/>
      <c r="X330" s="232"/>
      <c r="Y330" s="232"/>
      <c r="Z330" s="232"/>
      <c r="AA330" s="232"/>
      <c r="AB330" s="232"/>
      <c r="AC330" s="232"/>
      <c r="AD330" s="232"/>
      <c r="AE330" s="232"/>
      <c r="AF330" s="232"/>
      <c r="AG330" s="232"/>
      <c r="AH330" s="232"/>
      <c r="AI330" s="232"/>
      <c r="AJ330" s="232"/>
      <c r="AK330" s="232"/>
      <c r="AL330" s="232"/>
      <c r="AM330" s="232"/>
      <c r="AN330" s="232"/>
      <c r="AO330" s="232"/>
      <c r="AP330" s="232"/>
      <c r="AQ330" s="232"/>
      <c r="AR330" s="232"/>
      <c r="AS330" s="232"/>
      <c r="AT330" s="232"/>
      <c r="AU330" s="232"/>
      <c r="AV330" s="232"/>
      <c r="AW330" s="232"/>
    </row>
    <row r="331" spans="1:49">
      <c r="A331" s="232"/>
      <c r="B331" s="232"/>
      <c r="C331" s="232"/>
      <c r="D331" s="232"/>
      <c r="E331" s="232"/>
      <c r="F331" s="232"/>
      <c r="G331" s="232"/>
      <c r="H331" s="232"/>
      <c r="I331" s="232"/>
      <c r="J331" s="232"/>
      <c r="K331" s="232"/>
      <c r="L331" s="232"/>
      <c r="M331" s="232"/>
      <c r="N331" s="232"/>
      <c r="O331" s="232"/>
      <c r="P331" s="232"/>
      <c r="Q331" s="232"/>
      <c r="R331" s="232"/>
      <c r="S331" s="232"/>
      <c r="T331" s="232"/>
      <c r="U331" s="232"/>
      <c r="V331" s="232"/>
      <c r="W331" s="232"/>
      <c r="X331" s="232"/>
      <c r="Y331" s="232"/>
      <c r="Z331" s="232"/>
      <c r="AA331" s="232"/>
      <c r="AB331" s="232"/>
      <c r="AC331" s="232"/>
      <c r="AD331" s="232"/>
      <c r="AE331" s="232"/>
      <c r="AF331" s="232"/>
      <c r="AG331" s="232"/>
      <c r="AH331" s="232"/>
      <c r="AI331" s="232"/>
      <c r="AJ331" s="232"/>
      <c r="AK331" s="232"/>
      <c r="AL331" s="232"/>
      <c r="AM331" s="232"/>
      <c r="AN331" s="232"/>
      <c r="AO331" s="232"/>
      <c r="AP331" s="232"/>
      <c r="AQ331" s="232"/>
      <c r="AR331" s="232"/>
      <c r="AS331" s="232"/>
      <c r="AT331" s="232"/>
      <c r="AU331" s="232"/>
      <c r="AV331" s="232"/>
      <c r="AW331" s="232"/>
    </row>
    <row r="332" spans="1:49">
      <c r="A332" s="232"/>
      <c r="B332" s="232"/>
      <c r="C332" s="232"/>
      <c r="D332" s="232"/>
      <c r="E332" s="232"/>
      <c r="F332" s="232"/>
      <c r="G332" s="232"/>
      <c r="H332" s="232"/>
      <c r="I332" s="232"/>
      <c r="J332" s="232"/>
      <c r="K332" s="232"/>
      <c r="L332" s="232"/>
      <c r="M332" s="232"/>
      <c r="N332" s="232"/>
      <c r="O332" s="232"/>
      <c r="P332" s="232"/>
      <c r="Q332" s="232"/>
      <c r="R332" s="232"/>
      <c r="S332" s="232"/>
      <c r="T332" s="232"/>
      <c r="U332" s="232"/>
      <c r="V332" s="232"/>
      <c r="W332" s="232"/>
      <c r="X332" s="232"/>
      <c r="Y332" s="232"/>
      <c r="Z332" s="232"/>
      <c r="AA332" s="232"/>
      <c r="AB332" s="232"/>
      <c r="AC332" s="232"/>
      <c r="AD332" s="232"/>
      <c r="AE332" s="232"/>
      <c r="AF332" s="232"/>
      <c r="AG332" s="232"/>
      <c r="AH332" s="232"/>
      <c r="AI332" s="232"/>
      <c r="AJ332" s="232"/>
      <c r="AK332" s="232"/>
      <c r="AL332" s="232"/>
      <c r="AM332" s="232"/>
      <c r="AN332" s="232"/>
      <c r="AO332" s="232"/>
      <c r="AP332" s="232"/>
      <c r="AQ332" s="232"/>
      <c r="AR332" s="232"/>
      <c r="AS332" s="232"/>
      <c r="AT332" s="232"/>
      <c r="AU332" s="232"/>
      <c r="AV332" s="232"/>
      <c r="AW332" s="232"/>
    </row>
    <row r="333" spans="1:49">
      <c r="A333" s="232"/>
      <c r="B333" s="232"/>
      <c r="C333" s="232"/>
      <c r="D333" s="232"/>
      <c r="E333" s="232"/>
      <c r="F333" s="232"/>
      <c r="G333" s="232"/>
      <c r="H333" s="232"/>
      <c r="I333" s="232"/>
      <c r="J333" s="232"/>
      <c r="K333" s="232"/>
      <c r="L333" s="232"/>
      <c r="M333" s="232"/>
      <c r="N333" s="232"/>
      <c r="O333" s="232"/>
      <c r="P333" s="232"/>
      <c r="Q333" s="232"/>
      <c r="R333" s="232"/>
      <c r="S333" s="232"/>
      <c r="T333" s="232"/>
      <c r="U333" s="232"/>
      <c r="V333" s="232"/>
      <c r="W333" s="232"/>
      <c r="X333" s="232"/>
      <c r="Y333" s="232"/>
      <c r="Z333" s="232"/>
      <c r="AA333" s="232"/>
      <c r="AB333" s="232"/>
      <c r="AC333" s="232"/>
      <c r="AD333" s="232"/>
      <c r="AE333" s="232"/>
      <c r="AF333" s="232"/>
      <c r="AG333" s="232"/>
      <c r="AH333" s="232"/>
      <c r="AI333" s="232"/>
      <c r="AJ333" s="232"/>
      <c r="AK333" s="232"/>
      <c r="AL333" s="232"/>
      <c r="AM333" s="232"/>
      <c r="AN333" s="232"/>
      <c r="AO333" s="232"/>
      <c r="AP333" s="232"/>
      <c r="AQ333" s="232"/>
      <c r="AR333" s="232"/>
      <c r="AS333" s="232"/>
      <c r="AT333" s="232"/>
      <c r="AU333" s="232"/>
      <c r="AV333" s="232"/>
      <c r="AW333" s="232"/>
    </row>
    <row r="334" spans="1:49">
      <c r="A334" s="232"/>
      <c r="B334" s="232"/>
      <c r="C334" s="232"/>
      <c r="D334" s="232"/>
      <c r="E334" s="232"/>
      <c r="F334" s="232"/>
      <c r="G334" s="232"/>
      <c r="H334" s="232"/>
      <c r="I334" s="232"/>
      <c r="J334" s="232"/>
      <c r="K334" s="232"/>
      <c r="L334" s="232"/>
      <c r="M334" s="232"/>
      <c r="N334" s="232"/>
      <c r="O334" s="232"/>
      <c r="P334" s="232"/>
      <c r="Q334" s="232"/>
      <c r="R334" s="232"/>
      <c r="S334" s="232"/>
      <c r="T334" s="232"/>
      <c r="U334" s="232"/>
      <c r="V334" s="232"/>
      <c r="W334" s="232"/>
      <c r="X334" s="232"/>
      <c r="Y334" s="232"/>
      <c r="Z334" s="232"/>
      <c r="AA334" s="232"/>
      <c r="AB334" s="232"/>
      <c r="AC334" s="232"/>
      <c r="AD334" s="232"/>
      <c r="AE334" s="232"/>
      <c r="AF334" s="232"/>
      <c r="AG334" s="232"/>
      <c r="AH334" s="232"/>
      <c r="AI334" s="232"/>
      <c r="AJ334" s="232"/>
      <c r="AK334" s="232"/>
      <c r="AL334" s="232"/>
      <c r="AM334" s="232"/>
      <c r="AN334" s="232"/>
      <c r="AO334" s="232"/>
      <c r="AP334" s="232"/>
      <c r="AQ334" s="232"/>
      <c r="AR334" s="232"/>
      <c r="AS334" s="232"/>
      <c r="AT334" s="232"/>
      <c r="AU334" s="232"/>
      <c r="AV334" s="232"/>
      <c r="AW334" s="232"/>
    </row>
    <row r="335" spans="1:49">
      <c r="A335" s="232"/>
      <c r="B335" s="232"/>
      <c r="C335" s="232"/>
      <c r="D335" s="232"/>
      <c r="E335" s="232"/>
      <c r="F335" s="232"/>
      <c r="G335" s="232"/>
      <c r="H335" s="232"/>
      <c r="I335" s="232"/>
      <c r="J335" s="232"/>
      <c r="K335" s="232"/>
      <c r="L335" s="232"/>
      <c r="M335" s="232"/>
      <c r="N335" s="232"/>
      <c r="O335" s="232"/>
      <c r="P335" s="232"/>
      <c r="Q335" s="232"/>
      <c r="R335" s="232"/>
      <c r="S335" s="232"/>
      <c r="T335" s="232"/>
      <c r="U335" s="232"/>
      <c r="V335" s="232"/>
      <c r="W335" s="232"/>
      <c r="X335" s="232"/>
      <c r="Y335" s="232"/>
      <c r="Z335" s="232"/>
      <c r="AA335" s="232"/>
      <c r="AB335" s="232"/>
      <c r="AC335" s="232"/>
      <c r="AD335" s="232"/>
      <c r="AE335" s="232"/>
      <c r="AF335" s="232"/>
      <c r="AG335" s="232"/>
      <c r="AH335" s="232"/>
      <c r="AI335" s="232"/>
      <c r="AJ335" s="232"/>
      <c r="AK335" s="232"/>
      <c r="AL335" s="232"/>
      <c r="AM335" s="232"/>
      <c r="AN335" s="232"/>
      <c r="AO335" s="232"/>
      <c r="AP335" s="232"/>
      <c r="AQ335" s="232"/>
      <c r="AR335" s="232"/>
      <c r="AS335" s="232"/>
      <c r="AT335" s="232"/>
      <c r="AU335" s="232"/>
      <c r="AV335" s="232"/>
      <c r="AW335" s="232"/>
    </row>
    <row r="336" spans="1:49">
      <c r="A336" s="232"/>
      <c r="B336" s="232"/>
      <c r="C336" s="232"/>
      <c r="D336" s="232"/>
      <c r="E336" s="232"/>
      <c r="F336" s="232"/>
      <c r="G336" s="232"/>
      <c r="H336" s="232"/>
      <c r="I336" s="232"/>
      <c r="J336" s="232"/>
      <c r="K336" s="232"/>
      <c r="L336" s="232"/>
      <c r="M336" s="232"/>
      <c r="N336" s="232"/>
      <c r="O336" s="232"/>
      <c r="P336" s="232"/>
      <c r="Q336" s="232"/>
      <c r="R336" s="232"/>
      <c r="S336" s="232"/>
      <c r="T336" s="232"/>
      <c r="U336" s="232"/>
      <c r="V336" s="232"/>
      <c r="W336" s="232"/>
      <c r="X336" s="232"/>
      <c r="Y336" s="232"/>
      <c r="Z336" s="232"/>
      <c r="AA336" s="232"/>
      <c r="AB336" s="232"/>
      <c r="AC336" s="232"/>
      <c r="AD336" s="232"/>
      <c r="AE336" s="232"/>
      <c r="AF336" s="232"/>
      <c r="AG336" s="232"/>
      <c r="AH336" s="232"/>
      <c r="AI336" s="232"/>
      <c r="AJ336" s="232"/>
      <c r="AK336" s="232"/>
      <c r="AL336" s="232"/>
      <c r="AM336" s="232"/>
      <c r="AN336" s="232"/>
      <c r="AO336" s="232"/>
      <c r="AP336" s="232"/>
      <c r="AQ336" s="232"/>
      <c r="AR336" s="232"/>
      <c r="AS336" s="232"/>
      <c r="AT336" s="232"/>
      <c r="AU336" s="232"/>
      <c r="AV336" s="232"/>
      <c r="AW336" s="232"/>
    </row>
    <row r="337" spans="1:49">
      <c r="A337" s="232"/>
      <c r="B337" s="232"/>
      <c r="C337" s="232"/>
      <c r="D337" s="232"/>
      <c r="E337" s="232"/>
      <c r="F337" s="232"/>
      <c r="G337" s="232"/>
      <c r="H337" s="232"/>
      <c r="I337" s="232"/>
      <c r="J337" s="232"/>
      <c r="K337" s="232"/>
      <c r="L337" s="232"/>
      <c r="M337" s="232"/>
      <c r="N337" s="232"/>
      <c r="O337" s="232"/>
      <c r="P337" s="232"/>
      <c r="Q337" s="232"/>
      <c r="R337" s="232"/>
      <c r="S337" s="232"/>
      <c r="T337" s="232"/>
      <c r="U337" s="232"/>
      <c r="V337" s="232"/>
      <c r="W337" s="232"/>
      <c r="X337" s="232"/>
      <c r="Y337" s="232"/>
      <c r="Z337" s="232"/>
      <c r="AA337" s="232"/>
      <c r="AB337" s="232"/>
      <c r="AC337" s="232"/>
      <c r="AD337" s="232"/>
      <c r="AE337" s="232"/>
      <c r="AF337" s="232"/>
      <c r="AG337" s="232"/>
      <c r="AH337" s="232"/>
      <c r="AI337" s="232"/>
      <c r="AJ337" s="232"/>
      <c r="AK337" s="232"/>
      <c r="AL337" s="232"/>
      <c r="AM337" s="232"/>
      <c r="AN337" s="232"/>
      <c r="AO337" s="232"/>
      <c r="AP337" s="232"/>
      <c r="AQ337" s="232"/>
      <c r="AR337" s="232"/>
      <c r="AS337" s="232"/>
      <c r="AT337" s="232"/>
      <c r="AU337" s="232"/>
      <c r="AV337" s="232"/>
      <c r="AW337" s="232"/>
    </row>
    <row r="338" spans="1:49">
      <c r="A338" s="232"/>
      <c r="B338" s="232"/>
      <c r="C338" s="232"/>
      <c r="D338" s="232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  <c r="AF338" s="232"/>
      <c r="AG338" s="232"/>
      <c r="AH338" s="232"/>
      <c r="AI338" s="232"/>
      <c r="AJ338" s="232"/>
      <c r="AK338" s="232"/>
      <c r="AL338" s="232"/>
      <c r="AM338" s="232"/>
      <c r="AN338" s="232"/>
      <c r="AO338" s="232"/>
      <c r="AP338" s="232"/>
      <c r="AQ338" s="232"/>
      <c r="AR338" s="232"/>
      <c r="AS338" s="232"/>
      <c r="AT338" s="232"/>
      <c r="AU338" s="232"/>
      <c r="AV338" s="232"/>
      <c r="AW338" s="232"/>
    </row>
    <row r="339" spans="1:49">
      <c r="A339" s="232"/>
      <c r="B339" s="232"/>
      <c r="C339" s="232"/>
      <c r="D339" s="232"/>
      <c r="E339" s="232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  <c r="AA339" s="232"/>
      <c r="AB339" s="232"/>
      <c r="AC339" s="232"/>
      <c r="AD339" s="232"/>
      <c r="AE339" s="232"/>
      <c r="AF339" s="232"/>
      <c r="AG339" s="232"/>
      <c r="AH339" s="232"/>
      <c r="AI339" s="232"/>
      <c r="AJ339" s="232"/>
      <c r="AK339" s="232"/>
      <c r="AL339" s="232"/>
      <c r="AM339" s="232"/>
      <c r="AN339" s="232"/>
      <c r="AO339" s="232"/>
      <c r="AP339" s="232"/>
      <c r="AQ339" s="232"/>
      <c r="AR339" s="232"/>
      <c r="AS339" s="232"/>
      <c r="AT339" s="232"/>
      <c r="AU339" s="232"/>
      <c r="AV339" s="232"/>
      <c r="AW339" s="232"/>
    </row>
    <row r="340" spans="1:49">
      <c r="A340" s="232"/>
      <c r="B340" s="232"/>
      <c r="C340" s="232"/>
      <c r="D340" s="232"/>
      <c r="E340" s="232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  <c r="AA340" s="232"/>
      <c r="AB340" s="232"/>
      <c r="AC340" s="232"/>
      <c r="AD340" s="232"/>
      <c r="AE340" s="232"/>
      <c r="AF340" s="232"/>
      <c r="AG340" s="232"/>
      <c r="AH340" s="232"/>
      <c r="AI340" s="232"/>
      <c r="AJ340" s="232"/>
      <c r="AK340" s="232"/>
      <c r="AL340" s="232"/>
      <c r="AM340" s="232"/>
      <c r="AN340" s="232"/>
      <c r="AO340" s="232"/>
      <c r="AP340" s="232"/>
      <c r="AQ340" s="232"/>
      <c r="AR340" s="232"/>
      <c r="AS340" s="232"/>
      <c r="AT340" s="232"/>
      <c r="AU340" s="232"/>
      <c r="AV340" s="232"/>
      <c r="AW340" s="232"/>
    </row>
    <row r="341" spans="1:49">
      <c r="A341" s="232"/>
      <c r="B341" s="232"/>
      <c r="C341" s="232"/>
      <c r="D341" s="232"/>
      <c r="E341" s="232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232"/>
      <c r="AF341" s="232"/>
      <c r="AG341" s="232"/>
      <c r="AH341" s="232"/>
      <c r="AI341" s="232"/>
      <c r="AJ341" s="232"/>
      <c r="AK341" s="232"/>
      <c r="AL341" s="232"/>
      <c r="AM341" s="232"/>
      <c r="AN341" s="232"/>
      <c r="AO341" s="232"/>
      <c r="AP341" s="232"/>
      <c r="AQ341" s="232"/>
      <c r="AR341" s="232"/>
      <c r="AS341" s="232"/>
      <c r="AT341" s="232"/>
      <c r="AU341" s="232"/>
      <c r="AV341" s="232"/>
      <c r="AW341" s="232"/>
    </row>
    <row r="342" spans="1:49">
      <c r="A342" s="232"/>
      <c r="B342" s="232"/>
      <c r="C342" s="232"/>
      <c r="D342" s="232"/>
      <c r="E342" s="232"/>
      <c r="F342" s="232"/>
      <c r="G342" s="232"/>
      <c r="H342" s="232"/>
      <c r="I342" s="232"/>
      <c r="J342" s="232"/>
      <c r="K342" s="232"/>
      <c r="L342" s="232"/>
      <c r="M342" s="232"/>
      <c r="N342" s="232"/>
      <c r="O342" s="232"/>
      <c r="P342" s="232"/>
      <c r="Q342" s="232"/>
      <c r="R342" s="232"/>
      <c r="S342" s="232"/>
      <c r="T342" s="232"/>
      <c r="U342" s="232"/>
      <c r="V342" s="232"/>
      <c r="W342" s="232"/>
      <c r="X342" s="232"/>
      <c r="Y342" s="232"/>
      <c r="Z342" s="232"/>
      <c r="AA342" s="232"/>
      <c r="AB342" s="232"/>
      <c r="AC342" s="232"/>
      <c r="AD342" s="232"/>
      <c r="AE342" s="232"/>
      <c r="AF342" s="232"/>
      <c r="AG342" s="232"/>
      <c r="AH342" s="232"/>
      <c r="AI342" s="232"/>
      <c r="AJ342" s="232"/>
      <c r="AK342" s="232"/>
      <c r="AL342" s="232"/>
      <c r="AM342" s="232"/>
      <c r="AN342" s="232"/>
      <c r="AO342" s="232"/>
      <c r="AP342" s="232"/>
      <c r="AQ342" s="232"/>
      <c r="AR342" s="232"/>
      <c r="AS342" s="232"/>
      <c r="AT342" s="232"/>
      <c r="AU342" s="232"/>
      <c r="AV342" s="232"/>
      <c r="AW342" s="232"/>
    </row>
    <row r="343" spans="1:49">
      <c r="A343" s="232"/>
      <c r="B343" s="232"/>
      <c r="C343" s="232"/>
      <c r="D343" s="232"/>
      <c r="E343" s="232"/>
      <c r="F343" s="232"/>
      <c r="G343" s="232"/>
      <c r="H343" s="232"/>
      <c r="I343" s="232"/>
      <c r="J343" s="232"/>
      <c r="K343" s="232"/>
      <c r="L343" s="232"/>
      <c r="M343" s="232"/>
      <c r="N343" s="232"/>
      <c r="O343" s="232"/>
      <c r="P343" s="232"/>
      <c r="Q343" s="232"/>
      <c r="R343" s="232"/>
      <c r="S343" s="232"/>
      <c r="T343" s="232"/>
      <c r="U343" s="232"/>
      <c r="V343" s="232"/>
      <c r="W343" s="232"/>
      <c r="X343" s="232"/>
      <c r="Y343" s="232"/>
      <c r="Z343" s="232"/>
      <c r="AA343" s="232"/>
      <c r="AB343" s="232"/>
      <c r="AC343" s="232"/>
      <c r="AD343" s="232"/>
      <c r="AE343" s="232"/>
      <c r="AF343" s="232"/>
      <c r="AG343" s="232"/>
      <c r="AH343" s="232"/>
      <c r="AI343" s="232"/>
      <c r="AJ343" s="232"/>
      <c r="AK343" s="232"/>
      <c r="AL343" s="232"/>
      <c r="AM343" s="232"/>
      <c r="AN343" s="232"/>
      <c r="AO343" s="232"/>
      <c r="AP343" s="232"/>
      <c r="AQ343" s="232"/>
      <c r="AR343" s="232"/>
      <c r="AS343" s="232"/>
      <c r="AT343" s="232"/>
      <c r="AU343" s="232"/>
      <c r="AV343" s="232"/>
      <c r="AW343" s="232"/>
    </row>
    <row r="344" spans="1:49">
      <c r="A344" s="232"/>
      <c r="B344" s="232"/>
      <c r="C344" s="232"/>
      <c r="D344" s="232"/>
      <c r="E344" s="232"/>
      <c r="F344" s="232"/>
      <c r="G344" s="232"/>
      <c r="H344" s="232"/>
      <c r="I344" s="232"/>
      <c r="J344" s="232"/>
      <c r="K344" s="232"/>
      <c r="L344" s="232"/>
      <c r="M344" s="232"/>
      <c r="N344" s="232"/>
      <c r="O344" s="232"/>
      <c r="P344" s="232"/>
      <c r="Q344" s="232"/>
      <c r="R344" s="232"/>
      <c r="S344" s="232"/>
      <c r="T344" s="232"/>
      <c r="U344" s="232"/>
      <c r="V344" s="232"/>
      <c r="W344" s="232"/>
      <c r="X344" s="232"/>
      <c r="Y344" s="232"/>
      <c r="Z344" s="232"/>
      <c r="AA344" s="232"/>
      <c r="AB344" s="232"/>
      <c r="AC344" s="232"/>
      <c r="AD344" s="232"/>
      <c r="AE344" s="232"/>
      <c r="AF344" s="232"/>
      <c r="AG344" s="232"/>
      <c r="AH344" s="232"/>
      <c r="AI344" s="232"/>
      <c r="AJ344" s="232"/>
      <c r="AK344" s="232"/>
      <c r="AL344" s="232"/>
      <c r="AM344" s="232"/>
      <c r="AN344" s="232"/>
      <c r="AO344" s="232"/>
      <c r="AP344" s="232"/>
      <c r="AQ344" s="232"/>
      <c r="AR344" s="232"/>
      <c r="AS344" s="232"/>
      <c r="AT344" s="232"/>
      <c r="AU344" s="232"/>
      <c r="AV344" s="232"/>
      <c r="AW344" s="232"/>
    </row>
    <row r="345" spans="1:49">
      <c r="A345" s="232"/>
      <c r="B345" s="232"/>
      <c r="C345" s="232"/>
      <c r="D345" s="232"/>
      <c r="E345" s="232"/>
      <c r="F345" s="232"/>
      <c r="G345" s="232"/>
      <c r="H345" s="232"/>
      <c r="I345" s="232"/>
      <c r="J345" s="232"/>
      <c r="K345" s="232"/>
      <c r="L345" s="232"/>
      <c r="M345" s="232"/>
      <c r="N345" s="232"/>
      <c r="O345" s="232"/>
      <c r="P345" s="232"/>
      <c r="Q345" s="232"/>
      <c r="R345" s="232"/>
      <c r="S345" s="232"/>
      <c r="T345" s="232"/>
      <c r="U345" s="232"/>
      <c r="V345" s="232"/>
      <c r="W345" s="232"/>
      <c r="X345" s="232"/>
      <c r="Y345" s="232"/>
      <c r="Z345" s="232"/>
      <c r="AA345" s="232"/>
      <c r="AB345" s="232"/>
      <c r="AC345" s="232"/>
      <c r="AD345" s="232"/>
      <c r="AE345" s="232"/>
      <c r="AF345" s="232"/>
      <c r="AG345" s="232"/>
      <c r="AH345" s="232"/>
      <c r="AI345" s="232"/>
      <c r="AJ345" s="232"/>
      <c r="AK345" s="232"/>
      <c r="AL345" s="232"/>
      <c r="AM345" s="232"/>
      <c r="AN345" s="232"/>
      <c r="AO345" s="232"/>
      <c r="AP345" s="232"/>
      <c r="AQ345" s="232"/>
      <c r="AR345" s="232"/>
      <c r="AS345" s="232"/>
      <c r="AT345" s="232"/>
      <c r="AU345" s="232"/>
      <c r="AV345" s="232"/>
      <c r="AW345" s="232"/>
    </row>
    <row r="346" spans="1:49">
      <c r="A346" s="232"/>
      <c r="B346" s="232"/>
      <c r="C346" s="232"/>
      <c r="D346" s="232"/>
      <c r="E346" s="232"/>
      <c r="F346" s="232"/>
      <c r="G346" s="232"/>
      <c r="H346" s="232"/>
      <c r="I346" s="232"/>
      <c r="J346" s="232"/>
      <c r="K346" s="232"/>
      <c r="L346" s="232"/>
      <c r="M346" s="232"/>
      <c r="N346" s="232"/>
      <c r="O346" s="232"/>
      <c r="P346" s="232"/>
      <c r="Q346" s="232"/>
      <c r="R346" s="232"/>
      <c r="S346" s="232"/>
      <c r="T346" s="232"/>
      <c r="U346" s="232"/>
      <c r="V346" s="232"/>
      <c r="W346" s="232"/>
      <c r="X346" s="232"/>
      <c r="Y346" s="232"/>
      <c r="Z346" s="232"/>
      <c r="AA346" s="232"/>
      <c r="AB346" s="232"/>
      <c r="AC346" s="232"/>
      <c r="AD346" s="232"/>
      <c r="AE346" s="232"/>
      <c r="AF346" s="232"/>
      <c r="AG346" s="232"/>
      <c r="AH346" s="232"/>
      <c r="AI346" s="232"/>
      <c r="AJ346" s="232"/>
      <c r="AK346" s="232"/>
      <c r="AL346" s="232"/>
      <c r="AM346" s="232"/>
      <c r="AN346" s="232"/>
      <c r="AO346" s="232"/>
      <c r="AP346" s="232"/>
      <c r="AQ346" s="232"/>
      <c r="AR346" s="232"/>
      <c r="AS346" s="232"/>
      <c r="AT346" s="232"/>
      <c r="AU346" s="232"/>
      <c r="AV346" s="232"/>
      <c r="AW346" s="232"/>
    </row>
    <row r="347" spans="1:49">
      <c r="A347" s="232"/>
      <c r="B347" s="232"/>
      <c r="C347" s="232"/>
      <c r="D347" s="232"/>
      <c r="E347" s="232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32"/>
      <c r="AI347" s="232"/>
      <c r="AJ347" s="232"/>
      <c r="AK347" s="232"/>
      <c r="AL347" s="232"/>
      <c r="AM347" s="232"/>
      <c r="AN347" s="232"/>
      <c r="AO347" s="232"/>
      <c r="AP347" s="232"/>
      <c r="AQ347" s="232"/>
      <c r="AR347" s="232"/>
      <c r="AS347" s="232"/>
      <c r="AT347" s="232"/>
      <c r="AU347" s="232"/>
      <c r="AV347" s="232"/>
      <c r="AW347" s="232"/>
    </row>
    <row r="348" spans="1:49">
      <c r="A348" s="232"/>
      <c r="B348" s="232"/>
      <c r="C348" s="232"/>
      <c r="D348" s="232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32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32"/>
      <c r="AT348" s="232"/>
      <c r="AU348" s="232"/>
      <c r="AV348" s="232"/>
      <c r="AW348" s="232"/>
    </row>
    <row r="349" spans="1:49">
      <c r="A349" s="232"/>
      <c r="B349" s="232"/>
      <c r="C349" s="232"/>
      <c r="D349" s="232"/>
      <c r="E349" s="232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232"/>
      <c r="AF349" s="232"/>
      <c r="AG349" s="232"/>
      <c r="AH349" s="232"/>
      <c r="AI349" s="232"/>
      <c r="AJ349" s="232"/>
      <c r="AK349" s="232"/>
      <c r="AL349" s="232"/>
      <c r="AM349" s="232"/>
      <c r="AN349" s="232"/>
      <c r="AO349" s="232"/>
      <c r="AP349" s="232"/>
      <c r="AQ349" s="232"/>
      <c r="AR349" s="232"/>
      <c r="AS349" s="232"/>
      <c r="AT349" s="232"/>
      <c r="AU349" s="232"/>
      <c r="AV349" s="232"/>
      <c r="AW349" s="232"/>
    </row>
    <row r="350" spans="1:49">
      <c r="A350" s="232"/>
      <c r="B350" s="232"/>
      <c r="C350" s="232"/>
      <c r="D350" s="232"/>
      <c r="E350" s="232"/>
      <c r="F350" s="232"/>
      <c r="G350" s="232"/>
      <c r="H350" s="232"/>
      <c r="I350" s="232"/>
      <c r="J350" s="232"/>
      <c r="K350" s="232"/>
      <c r="L350" s="232"/>
      <c r="M350" s="232"/>
      <c r="N350" s="232"/>
      <c r="O350" s="232"/>
      <c r="P350" s="232"/>
      <c r="Q350" s="232"/>
      <c r="R350" s="232"/>
      <c r="S350" s="232"/>
      <c r="T350" s="232"/>
      <c r="U350" s="232"/>
      <c r="V350" s="232"/>
      <c r="W350" s="232"/>
      <c r="X350" s="232"/>
      <c r="Y350" s="232"/>
      <c r="Z350" s="232"/>
      <c r="AA350" s="232"/>
      <c r="AB350" s="232"/>
      <c r="AC350" s="232"/>
      <c r="AD350" s="232"/>
      <c r="AE350" s="232"/>
      <c r="AF350" s="232"/>
      <c r="AG350" s="232"/>
      <c r="AH350" s="232"/>
      <c r="AI350" s="232"/>
      <c r="AJ350" s="232"/>
      <c r="AK350" s="232"/>
      <c r="AL350" s="232"/>
      <c r="AM350" s="232"/>
      <c r="AN350" s="232"/>
      <c r="AO350" s="232"/>
      <c r="AP350" s="232"/>
      <c r="AQ350" s="232"/>
      <c r="AR350" s="232"/>
      <c r="AS350" s="232"/>
      <c r="AT350" s="232"/>
      <c r="AU350" s="232"/>
      <c r="AV350" s="232"/>
      <c r="AW350" s="232"/>
    </row>
    <row r="351" spans="1:49">
      <c r="A351" s="232"/>
      <c r="B351" s="232"/>
      <c r="C351" s="232"/>
      <c r="D351" s="232"/>
      <c r="E351" s="232"/>
      <c r="F351" s="232"/>
      <c r="G351" s="232"/>
      <c r="H351" s="232"/>
      <c r="I351" s="232"/>
      <c r="J351" s="232"/>
      <c r="K351" s="232"/>
      <c r="L351" s="232"/>
      <c r="M351" s="232"/>
      <c r="N351" s="2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  <c r="AA351" s="232"/>
      <c r="AB351" s="232"/>
      <c r="AC351" s="232"/>
      <c r="AD351" s="232"/>
      <c r="AE351" s="232"/>
      <c r="AF351" s="232"/>
      <c r="AG351" s="232"/>
      <c r="AH351" s="232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232"/>
      <c r="AT351" s="232"/>
      <c r="AU351" s="232"/>
      <c r="AV351" s="232"/>
      <c r="AW351" s="232"/>
    </row>
    <row r="352" spans="1:49">
      <c r="A352" s="232"/>
      <c r="B352" s="232"/>
      <c r="C352" s="232"/>
      <c r="D352" s="232"/>
      <c r="E352" s="232"/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32"/>
      <c r="AT352" s="232"/>
      <c r="AU352" s="232"/>
      <c r="AV352" s="232"/>
      <c r="AW352" s="232"/>
    </row>
    <row r="353" spans="1:49">
      <c r="A353" s="232"/>
      <c r="B353" s="232"/>
      <c r="C353" s="232"/>
      <c r="D353" s="232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32"/>
      <c r="AT353" s="232"/>
      <c r="AU353" s="232"/>
      <c r="AV353" s="232"/>
      <c r="AW353" s="232"/>
    </row>
    <row r="354" spans="1:49">
      <c r="A354" s="232"/>
      <c r="B354" s="232"/>
      <c r="C354" s="232"/>
      <c r="D354" s="232"/>
      <c r="E354" s="232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32"/>
      <c r="AT354" s="232"/>
      <c r="AU354" s="232"/>
      <c r="AV354" s="232"/>
      <c r="AW354" s="232"/>
    </row>
    <row r="355" spans="1:49">
      <c r="A355" s="232"/>
      <c r="B355" s="232"/>
      <c r="C355" s="232"/>
      <c r="D355" s="232"/>
      <c r="E355" s="232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32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232"/>
      <c r="AT355" s="232"/>
      <c r="AU355" s="232"/>
      <c r="AV355" s="232"/>
      <c r="AW355" s="232"/>
    </row>
    <row r="356" spans="1:49">
      <c r="A356" s="232"/>
      <c r="B356" s="232"/>
      <c r="C356" s="232"/>
      <c r="D356" s="232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232"/>
      <c r="AF356" s="232"/>
      <c r="AG356" s="232"/>
      <c r="AH356" s="232"/>
      <c r="AI356" s="232"/>
      <c r="AJ356" s="232"/>
      <c r="AK356" s="232"/>
      <c r="AL356" s="232"/>
      <c r="AM356" s="232"/>
      <c r="AN356" s="232"/>
      <c r="AO356" s="232"/>
      <c r="AP356" s="232"/>
      <c r="AQ356" s="232"/>
      <c r="AR356" s="232"/>
      <c r="AS356" s="232"/>
      <c r="AT356" s="232"/>
      <c r="AU356" s="232"/>
      <c r="AV356" s="232"/>
      <c r="AW356" s="232"/>
    </row>
    <row r="357" spans="1:49">
      <c r="A357" s="232"/>
      <c r="B357" s="232"/>
      <c r="C357" s="232"/>
      <c r="D357" s="232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232"/>
      <c r="AF357" s="232"/>
      <c r="AG357" s="232"/>
      <c r="AH357" s="232"/>
      <c r="AI357" s="232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232"/>
      <c r="AV357" s="232"/>
      <c r="AW357" s="232"/>
    </row>
    <row r="358" spans="1:49">
      <c r="A358" s="232"/>
      <c r="B358" s="232"/>
      <c r="C358" s="232"/>
      <c r="D358" s="232"/>
      <c r="E358" s="232"/>
      <c r="F358" s="232"/>
      <c r="G358" s="232"/>
      <c r="H358" s="232"/>
      <c r="I358" s="232"/>
      <c r="J358" s="232"/>
      <c r="K358" s="232"/>
      <c r="L358" s="232"/>
      <c r="M358" s="232"/>
      <c r="N358" s="2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  <c r="AA358" s="232"/>
      <c r="AB358" s="232"/>
      <c r="AC358" s="232"/>
      <c r="AD358" s="232"/>
      <c r="AE358" s="232"/>
      <c r="AF358" s="232"/>
      <c r="AG358" s="232"/>
      <c r="AH358" s="232"/>
      <c r="AI358" s="232"/>
      <c r="AJ358" s="232"/>
      <c r="AK358" s="232"/>
      <c r="AL358" s="232"/>
      <c r="AM358" s="232"/>
      <c r="AN358" s="232"/>
      <c r="AO358" s="232"/>
      <c r="AP358" s="232"/>
      <c r="AQ358" s="232"/>
      <c r="AR358" s="232"/>
      <c r="AS358" s="232"/>
      <c r="AT358" s="232"/>
      <c r="AU358" s="232"/>
      <c r="AV358" s="232"/>
      <c r="AW358" s="232"/>
    </row>
    <row r="359" spans="1:49">
      <c r="A359" s="232"/>
      <c r="B359" s="232"/>
      <c r="C359" s="232"/>
      <c r="D359" s="232"/>
      <c r="E359" s="232"/>
      <c r="F359" s="232"/>
      <c r="G359" s="232"/>
      <c r="H359" s="232"/>
      <c r="I359" s="232"/>
      <c r="J359" s="232"/>
      <c r="K359" s="232"/>
      <c r="L359" s="232"/>
      <c r="M359" s="232"/>
      <c r="N359" s="2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  <c r="AA359" s="232"/>
      <c r="AB359" s="232"/>
      <c r="AC359" s="232"/>
      <c r="AD359" s="232"/>
      <c r="AE359" s="232"/>
      <c r="AF359" s="232"/>
      <c r="AG359" s="232"/>
      <c r="AH359" s="232"/>
      <c r="AI359" s="232"/>
      <c r="AJ359" s="232"/>
      <c r="AK359" s="232"/>
      <c r="AL359" s="232"/>
      <c r="AM359" s="232"/>
      <c r="AN359" s="232"/>
      <c r="AO359" s="232"/>
      <c r="AP359" s="232"/>
      <c r="AQ359" s="232"/>
      <c r="AR359" s="232"/>
      <c r="AS359" s="232"/>
      <c r="AT359" s="232"/>
      <c r="AU359" s="232"/>
      <c r="AV359" s="232"/>
      <c r="AW359" s="232"/>
    </row>
    <row r="360" spans="1:49">
      <c r="A360" s="232"/>
      <c r="B360" s="232"/>
      <c r="C360" s="232"/>
      <c r="D360" s="232"/>
      <c r="E360" s="232"/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  <c r="AA360" s="232"/>
      <c r="AB360" s="232"/>
      <c r="AC360" s="232"/>
      <c r="AD360" s="232"/>
      <c r="AE360" s="232"/>
      <c r="AF360" s="232"/>
      <c r="AG360" s="232"/>
      <c r="AH360" s="232"/>
      <c r="AI360" s="232"/>
      <c r="AJ360" s="232"/>
      <c r="AK360" s="232"/>
      <c r="AL360" s="232"/>
      <c r="AM360" s="232"/>
      <c r="AN360" s="232"/>
      <c r="AO360" s="232"/>
      <c r="AP360" s="232"/>
      <c r="AQ360" s="232"/>
      <c r="AR360" s="232"/>
      <c r="AS360" s="232"/>
      <c r="AT360" s="232"/>
      <c r="AU360" s="232"/>
      <c r="AV360" s="232"/>
      <c r="AW360" s="232"/>
    </row>
    <row r="361" spans="1:49">
      <c r="A361" s="232"/>
      <c r="B361" s="232"/>
      <c r="C361" s="232"/>
      <c r="D361" s="232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32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32"/>
      <c r="AT361" s="232"/>
      <c r="AU361" s="232"/>
      <c r="AV361" s="232"/>
      <c r="AW361" s="232"/>
    </row>
    <row r="362" spans="1:49">
      <c r="A362" s="232"/>
      <c r="B362" s="232"/>
      <c r="C362" s="232"/>
      <c r="D362" s="232"/>
      <c r="E362" s="232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32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32"/>
      <c r="AT362" s="232"/>
      <c r="AU362" s="232"/>
      <c r="AV362" s="232"/>
      <c r="AW362" s="232"/>
    </row>
    <row r="363" spans="1:49">
      <c r="A363" s="232"/>
      <c r="B363" s="232"/>
      <c r="C363" s="232"/>
      <c r="D363" s="232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32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32"/>
      <c r="AT363" s="232"/>
      <c r="AU363" s="232"/>
      <c r="AV363" s="232"/>
      <c r="AW363" s="232"/>
    </row>
    <row r="364" spans="1:49">
      <c r="A364" s="232"/>
      <c r="B364" s="232"/>
      <c r="C364" s="232"/>
      <c r="D364" s="232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32"/>
      <c r="AI364" s="232"/>
      <c r="AJ364" s="232"/>
      <c r="AK364" s="232"/>
      <c r="AL364" s="232"/>
      <c r="AM364" s="232"/>
      <c r="AN364" s="232"/>
      <c r="AO364" s="232"/>
      <c r="AP364" s="232"/>
      <c r="AQ364" s="232"/>
      <c r="AR364" s="232"/>
      <c r="AS364" s="232"/>
      <c r="AT364" s="232"/>
      <c r="AU364" s="232"/>
      <c r="AV364" s="232"/>
      <c r="AW364" s="232"/>
    </row>
    <row r="365" spans="1:49">
      <c r="A365" s="232"/>
      <c r="B365" s="232"/>
      <c r="C365" s="232"/>
      <c r="D365" s="232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  <c r="AA365" s="232"/>
      <c r="AB365" s="232"/>
      <c r="AC365" s="232"/>
      <c r="AD365" s="232"/>
      <c r="AE365" s="232"/>
      <c r="AF365" s="232"/>
      <c r="AG365" s="232"/>
      <c r="AH365" s="232"/>
      <c r="AI365" s="232"/>
      <c r="AJ365" s="232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232"/>
      <c r="AV365" s="232"/>
      <c r="AW365" s="232"/>
    </row>
    <row r="366" spans="1:49">
      <c r="A366" s="232"/>
      <c r="B366" s="232"/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32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32"/>
      <c r="AT366" s="232"/>
      <c r="AU366" s="232"/>
      <c r="AV366" s="232"/>
      <c r="AW366" s="232"/>
    </row>
    <row r="367" spans="1:49">
      <c r="A367" s="232"/>
      <c r="B367" s="232"/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32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</row>
    <row r="368" spans="1:49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32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32"/>
      <c r="AT368" s="232"/>
      <c r="AU368" s="232"/>
      <c r="AV368" s="232"/>
      <c r="AW368" s="232"/>
    </row>
    <row r="369" spans="1:49">
      <c r="A369" s="232"/>
      <c r="B369" s="232"/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  <c r="AA369" s="232"/>
      <c r="AB369" s="232"/>
      <c r="AC369" s="232"/>
      <c r="AD369" s="232"/>
      <c r="AE369" s="232"/>
      <c r="AF369" s="232"/>
      <c r="AG369" s="232"/>
      <c r="AH369" s="232"/>
      <c r="AI369" s="232"/>
      <c r="AJ369" s="232"/>
      <c r="AK369" s="232"/>
      <c r="AL369" s="232"/>
      <c r="AM369" s="232"/>
      <c r="AN369" s="232"/>
      <c r="AO369" s="232"/>
      <c r="AP369" s="232"/>
      <c r="AQ369" s="232"/>
      <c r="AR369" s="232"/>
      <c r="AS369" s="232"/>
      <c r="AT369" s="232"/>
      <c r="AU369" s="232"/>
      <c r="AV369" s="232"/>
      <c r="AW369" s="232"/>
    </row>
    <row r="370" spans="1:49">
      <c r="A370" s="232"/>
      <c r="B370" s="232"/>
      <c r="C370" s="232"/>
      <c r="D370" s="232"/>
      <c r="E370" s="232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  <c r="AA370" s="232"/>
      <c r="AB370" s="232"/>
      <c r="AC370" s="232"/>
      <c r="AD370" s="232"/>
      <c r="AE370" s="232"/>
      <c r="AF370" s="232"/>
      <c r="AG370" s="232"/>
      <c r="AH370" s="232"/>
      <c r="AI370" s="232"/>
      <c r="AJ370" s="232"/>
      <c r="AK370" s="232"/>
      <c r="AL370" s="232"/>
      <c r="AM370" s="232"/>
      <c r="AN370" s="232"/>
      <c r="AO370" s="232"/>
      <c r="AP370" s="232"/>
      <c r="AQ370" s="232"/>
      <c r="AR370" s="232"/>
      <c r="AS370" s="232"/>
      <c r="AT370" s="232"/>
      <c r="AU370" s="232"/>
      <c r="AV370" s="232"/>
      <c r="AW370" s="232"/>
    </row>
    <row r="371" spans="1:49">
      <c r="A371" s="232"/>
      <c r="B371" s="232"/>
      <c r="C371" s="232"/>
      <c r="D371" s="232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32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232"/>
      <c r="AT371" s="232"/>
      <c r="AU371" s="232"/>
      <c r="AV371" s="232"/>
      <c r="AW371" s="232"/>
    </row>
    <row r="372" spans="1:49">
      <c r="A372" s="232"/>
      <c r="B372" s="232"/>
      <c r="C372" s="232"/>
      <c r="D372" s="232"/>
      <c r="E372" s="232"/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32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232"/>
      <c r="AT372" s="232"/>
      <c r="AU372" s="232"/>
      <c r="AV372" s="232"/>
      <c r="AW372" s="232"/>
    </row>
    <row r="373" spans="1:49">
      <c r="A373" s="232"/>
      <c r="B373" s="232"/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32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232"/>
      <c r="AT373" s="232"/>
      <c r="AU373" s="232"/>
      <c r="AV373" s="232"/>
      <c r="AW373" s="232"/>
    </row>
    <row r="374" spans="1:49">
      <c r="A374" s="232"/>
      <c r="B374" s="232"/>
      <c r="C374" s="232"/>
      <c r="D374" s="232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32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232"/>
      <c r="AT374" s="232"/>
      <c r="AU374" s="232"/>
      <c r="AV374" s="232"/>
      <c r="AW374" s="232"/>
    </row>
    <row r="375" spans="1:49">
      <c r="A375" s="232"/>
      <c r="B375" s="232"/>
      <c r="C375" s="232"/>
      <c r="D375" s="232"/>
      <c r="E375" s="232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232"/>
      <c r="AT375" s="232"/>
      <c r="AU375" s="232"/>
      <c r="AV375" s="232"/>
      <c r="AW375" s="232"/>
    </row>
    <row r="376" spans="1:49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32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232"/>
      <c r="AT376" s="232"/>
      <c r="AU376" s="232"/>
      <c r="AV376" s="232"/>
      <c r="AW376" s="232"/>
    </row>
    <row r="377" spans="1:49">
      <c r="A377" s="232"/>
      <c r="B377" s="232"/>
      <c r="C377" s="232"/>
      <c r="D377" s="232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</row>
    <row r="378" spans="1:49">
      <c r="A378" s="232"/>
      <c r="B378" s="232"/>
      <c r="C378" s="232"/>
      <c r="D378" s="232"/>
      <c r="E378" s="232"/>
      <c r="F378" s="232"/>
      <c r="G378" s="232"/>
      <c r="H378" s="232"/>
      <c r="I378" s="232"/>
      <c r="J378" s="232"/>
      <c r="K378" s="232"/>
      <c r="L378" s="232"/>
      <c r="M378" s="232"/>
      <c r="N378" s="232"/>
      <c r="O378" s="232"/>
      <c r="P378" s="232"/>
      <c r="Q378" s="232"/>
      <c r="R378" s="232"/>
      <c r="S378" s="232"/>
      <c r="T378" s="232"/>
      <c r="U378" s="232"/>
      <c r="V378" s="232"/>
      <c r="W378" s="232"/>
      <c r="X378" s="232"/>
      <c r="Y378" s="232"/>
      <c r="Z378" s="232"/>
      <c r="AA378" s="232"/>
      <c r="AB378" s="232"/>
      <c r="AC378" s="232"/>
      <c r="AD378" s="232"/>
      <c r="AE378" s="232"/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</row>
    <row r="379" spans="1:49">
      <c r="A379" s="232"/>
      <c r="B379" s="232"/>
      <c r="C379" s="232"/>
      <c r="D379" s="232"/>
      <c r="E379" s="232"/>
      <c r="F379" s="232"/>
      <c r="G379" s="232"/>
      <c r="H379" s="232"/>
      <c r="I379" s="232"/>
      <c r="J379" s="232"/>
      <c r="K379" s="232"/>
      <c r="L379" s="232"/>
      <c r="M379" s="232"/>
      <c r="N379" s="232"/>
      <c r="O379" s="232"/>
      <c r="P379" s="232"/>
      <c r="Q379" s="232"/>
      <c r="R379" s="232"/>
      <c r="S379" s="232"/>
      <c r="T379" s="232"/>
      <c r="U379" s="232"/>
      <c r="V379" s="232"/>
      <c r="W379" s="232"/>
      <c r="X379" s="232"/>
      <c r="Y379" s="232"/>
      <c r="Z379" s="232"/>
      <c r="AA379" s="232"/>
      <c r="AB379" s="232"/>
      <c r="AC379" s="232"/>
      <c r="AD379" s="232"/>
      <c r="AE379" s="232"/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</row>
    <row r="380" spans="1:49">
      <c r="A380" s="232"/>
      <c r="B380" s="232"/>
      <c r="C380" s="232"/>
      <c r="D380" s="232"/>
      <c r="E380" s="232"/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</row>
    <row r="381" spans="1:49">
      <c r="A381" s="232"/>
      <c r="B381" s="232"/>
      <c r="C381" s="232"/>
      <c r="D381" s="232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</row>
    <row r="382" spans="1:49">
      <c r="A382" s="232"/>
      <c r="B382" s="232"/>
      <c r="C382" s="232"/>
      <c r="D382" s="232"/>
      <c r="E382" s="232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</row>
    <row r="383" spans="1:49">
      <c r="A383" s="232"/>
      <c r="B383" s="232"/>
      <c r="C383" s="232"/>
      <c r="D383" s="232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</row>
    <row r="384" spans="1:49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</row>
    <row r="385" spans="1:49">
      <c r="A385" s="232"/>
      <c r="B385" s="232"/>
      <c r="C385" s="232"/>
      <c r="D385" s="232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</row>
    <row r="386" spans="1:49">
      <c r="A386" s="232"/>
      <c r="B386" s="232"/>
      <c r="C386" s="232"/>
      <c r="D386" s="232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</row>
    <row r="387" spans="1:49">
      <c r="A387" s="232"/>
      <c r="B387" s="232"/>
      <c r="C387" s="232"/>
      <c r="D387" s="232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</row>
    <row r="388" spans="1:49">
      <c r="A388" s="232"/>
      <c r="B388" s="232"/>
      <c r="C388" s="232"/>
      <c r="D388" s="232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</row>
    <row r="389" spans="1:49">
      <c r="A389" s="232"/>
      <c r="B389" s="232"/>
      <c r="C389" s="232"/>
      <c r="D389" s="232"/>
      <c r="E389" s="232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  <c r="P389" s="232"/>
      <c r="Q389" s="232"/>
      <c r="R389" s="232"/>
      <c r="S389" s="232"/>
      <c r="T389" s="232"/>
      <c r="U389" s="232"/>
      <c r="V389" s="232"/>
      <c r="W389" s="232"/>
      <c r="X389" s="232"/>
      <c r="Y389" s="232"/>
      <c r="Z389" s="232"/>
      <c r="AA389" s="232"/>
      <c r="AB389" s="232"/>
      <c r="AC389" s="232"/>
      <c r="AD389" s="232"/>
      <c r="AE389" s="232"/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</row>
    <row r="390" spans="1:49">
      <c r="A390" s="232"/>
      <c r="B390" s="232"/>
      <c r="C390" s="232"/>
      <c r="D390" s="232"/>
      <c r="E390" s="232"/>
      <c r="F390" s="232"/>
      <c r="G390" s="232"/>
      <c r="H390" s="232"/>
      <c r="I390" s="232"/>
      <c r="J390" s="232"/>
      <c r="K390" s="232"/>
      <c r="L390" s="232"/>
      <c r="M390" s="232"/>
      <c r="N390" s="232"/>
      <c r="O390" s="232"/>
      <c r="P390" s="232"/>
      <c r="Q390" s="232"/>
      <c r="R390" s="232"/>
      <c r="S390" s="232"/>
      <c r="T390" s="232"/>
      <c r="U390" s="232"/>
      <c r="V390" s="232"/>
      <c r="W390" s="232"/>
      <c r="X390" s="232"/>
      <c r="Y390" s="232"/>
      <c r="Z390" s="232"/>
      <c r="AA390" s="232"/>
      <c r="AB390" s="232"/>
      <c r="AC390" s="232"/>
      <c r="AD390" s="232"/>
      <c r="AE390" s="232"/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</row>
    <row r="391" spans="1:49">
      <c r="A391" s="232"/>
      <c r="B391" s="232"/>
      <c r="C391" s="232"/>
      <c r="D391" s="232"/>
      <c r="E391" s="232"/>
      <c r="F391" s="232"/>
      <c r="G391" s="232"/>
      <c r="H391" s="232"/>
      <c r="I391" s="232"/>
      <c r="J391" s="232"/>
      <c r="K391" s="232"/>
      <c r="L391" s="232"/>
      <c r="M391" s="232"/>
      <c r="N391" s="232"/>
      <c r="O391" s="232"/>
      <c r="P391" s="232"/>
      <c r="Q391" s="232"/>
      <c r="R391" s="232"/>
      <c r="S391" s="232"/>
      <c r="T391" s="232"/>
      <c r="U391" s="232"/>
      <c r="V391" s="232"/>
      <c r="W391" s="232"/>
      <c r="X391" s="232"/>
      <c r="Y391" s="232"/>
      <c r="Z391" s="232"/>
      <c r="AA391" s="232"/>
      <c r="AB391" s="232"/>
      <c r="AC391" s="232"/>
      <c r="AD391" s="232"/>
      <c r="AE391" s="232"/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</row>
    <row r="392" spans="1:49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  <c r="P392" s="232"/>
      <c r="Q392" s="232"/>
      <c r="R392" s="232"/>
      <c r="S392" s="232"/>
      <c r="T392" s="232"/>
      <c r="U392" s="232"/>
      <c r="V392" s="232"/>
      <c r="W392" s="232"/>
      <c r="X392" s="232"/>
      <c r="Y392" s="232"/>
      <c r="Z392" s="232"/>
      <c r="AA392" s="232"/>
      <c r="AB392" s="232"/>
      <c r="AC392" s="232"/>
      <c r="AD392" s="232"/>
      <c r="AE392" s="232"/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</row>
    <row r="393" spans="1:49">
      <c r="A393" s="232"/>
      <c r="B393" s="232"/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  <c r="AA393" s="232"/>
      <c r="AB393" s="232"/>
      <c r="AC393" s="232"/>
      <c r="AD393" s="232"/>
      <c r="AE393" s="232"/>
      <c r="AF393" s="232"/>
      <c r="AG393" s="232"/>
      <c r="AH393" s="232"/>
      <c r="AI393" s="232"/>
      <c r="AJ393" s="232"/>
      <c r="AK393" s="232"/>
      <c r="AL393" s="232"/>
      <c r="AM393" s="232"/>
      <c r="AN393" s="232"/>
      <c r="AO393" s="232"/>
      <c r="AP393" s="232"/>
      <c r="AQ393" s="232"/>
      <c r="AR393" s="232"/>
      <c r="AS393" s="232"/>
      <c r="AT393" s="232"/>
      <c r="AU393" s="232"/>
      <c r="AV393" s="232"/>
      <c r="AW393" s="232"/>
    </row>
    <row r="394" spans="1:49">
      <c r="A394" s="232"/>
      <c r="B394" s="232"/>
      <c r="C394" s="232"/>
      <c r="D394" s="232"/>
      <c r="E394" s="232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  <c r="AA394" s="232"/>
      <c r="AB394" s="232"/>
      <c r="AC394" s="232"/>
      <c r="AD394" s="232"/>
      <c r="AE394" s="232"/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</row>
    <row r="395" spans="1:49">
      <c r="A395" s="232"/>
      <c r="B395" s="232"/>
      <c r="C395" s="232"/>
      <c r="D395" s="232"/>
      <c r="E395" s="232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  <c r="AA395" s="232"/>
      <c r="AB395" s="232"/>
      <c r="AC395" s="232"/>
      <c r="AD395" s="232"/>
      <c r="AE395" s="232"/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</row>
    <row r="396" spans="1:49">
      <c r="A396" s="232"/>
      <c r="B396" s="232"/>
      <c r="C396" s="232"/>
      <c r="D396" s="232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  <c r="AA396" s="232"/>
      <c r="AB396" s="232"/>
      <c r="AC396" s="232"/>
      <c r="AD396" s="232"/>
      <c r="AE396" s="232"/>
      <c r="AF396" s="232"/>
      <c r="AG396" s="232"/>
      <c r="AH396" s="232"/>
      <c r="AI396" s="232"/>
      <c r="AJ396" s="232"/>
      <c r="AK396" s="232"/>
      <c r="AL396" s="232"/>
      <c r="AM396" s="232"/>
      <c r="AN396" s="232"/>
      <c r="AO396" s="232"/>
      <c r="AP396" s="232"/>
      <c r="AQ396" s="232"/>
      <c r="AR396" s="232"/>
      <c r="AS396" s="232"/>
      <c r="AT396" s="232"/>
      <c r="AU396" s="232"/>
      <c r="AV396" s="232"/>
      <c r="AW396" s="232"/>
    </row>
    <row r="397" spans="1:49">
      <c r="A397" s="232"/>
      <c r="B397" s="232"/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  <c r="AA397" s="232"/>
      <c r="AB397" s="232"/>
      <c r="AC397" s="232"/>
      <c r="AD397" s="232"/>
      <c r="AE397" s="232"/>
      <c r="AF397" s="232"/>
      <c r="AG397" s="232"/>
      <c r="AH397" s="232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232"/>
      <c r="AV397" s="232"/>
      <c r="AW397" s="232"/>
    </row>
    <row r="398" spans="1:49">
      <c r="A398" s="232"/>
      <c r="B398" s="232"/>
      <c r="C398" s="232"/>
      <c r="D398" s="232"/>
      <c r="E398" s="232"/>
      <c r="F398" s="232"/>
      <c r="G398" s="232"/>
      <c r="H398" s="232"/>
      <c r="I398" s="232"/>
      <c r="J398" s="232"/>
      <c r="K398" s="232"/>
      <c r="L398" s="232"/>
      <c r="M398" s="232"/>
      <c r="N398" s="232"/>
      <c r="O398" s="232"/>
      <c r="P398" s="232"/>
      <c r="Q398" s="232"/>
      <c r="R398" s="232"/>
      <c r="S398" s="232"/>
      <c r="T398" s="232"/>
      <c r="U398" s="232"/>
      <c r="V398" s="232"/>
      <c r="W398" s="232"/>
      <c r="X398" s="232"/>
      <c r="Y398" s="232"/>
      <c r="Z398" s="232"/>
      <c r="AA398" s="232"/>
      <c r="AB398" s="232"/>
      <c r="AC398" s="232"/>
      <c r="AD398" s="232"/>
      <c r="AE398" s="232"/>
      <c r="AF398" s="232"/>
      <c r="AG398" s="232"/>
      <c r="AH398" s="232"/>
      <c r="AI398" s="232"/>
      <c r="AJ398" s="232"/>
      <c r="AK398" s="232"/>
      <c r="AL398" s="232"/>
      <c r="AM398" s="232"/>
      <c r="AN398" s="232"/>
      <c r="AO398" s="232"/>
      <c r="AP398" s="232"/>
      <c r="AQ398" s="232"/>
      <c r="AR398" s="232"/>
      <c r="AS398" s="232"/>
      <c r="AT398" s="232"/>
      <c r="AU398" s="232"/>
      <c r="AV398" s="232"/>
      <c r="AW398" s="232"/>
    </row>
    <row r="399" spans="1:49">
      <c r="A399" s="232"/>
      <c r="B399" s="232"/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  <c r="R399" s="232"/>
      <c r="S399" s="232"/>
      <c r="T399" s="232"/>
      <c r="U399" s="232"/>
      <c r="V399" s="232"/>
      <c r="W399" s="232"/>
      <c r="X399" s="232"/>
      <c r="Y399" s="232"/>
      <c r="Z399" s="232"/>
      <c r="AA399" s="232"/>
      <c r="AB399" s="232"/>
      <c r="AC399" s="232"/>
      <c r="AD399" s="232"/>
      <c r="AE399" s="232"/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</row>
    <row r="400" spans="1:49">
      <c r="A400" s="232"/>
      <c r="B400" s="232"/>
      <c r="C400" s="232"/>
      <c r="D400" s="232"/>
      <c r="E400" s="232"/>
      <c r="F400" s="232"/>
      <c r="G400" s="232"/>
      <c r="H400" s="232"/>
      <c r="I400" s="232"/>
      <c r="J400" s="232"/>
      <c r="K400" s="232"/>
      <c r="L400" s="232"/>
      <c r="M400" s="232"/>
      <c r="N400" s="232"/>
      <c r="O400" s="232"/>
      <c r="P400" s="232"/>
      <c r="Q400" s="232"/>
      <c r="R400" s="232"/>
      <c r="S400" s="232"/>
      <c r="T400" s="232"/>
      <c r="U400" s="232"/>
      <c r="V400" s="232"/>
      <c r="W400" s="232"/>
      <c r="X400" s="232"/>
      <c r="Y400" s="232"/>
      <c r="Z400" s="232"/>
      <c r="AA400" s="232"/>
      <c r="AB400" s="232"/>
      <c r="AC400" s="232"/>
      <c r="AD400" s="232"/>
      <c r="AE400" s="232"/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</row>
    <row r="401" spans="1:49">
      <c r="A401" s="232"/>
      <c r="B401" s="232"/>
      <c r="C401" s="232"/>
      <c r="D401" s="232"/>
      <c r="E401" s="232"/>
      <c r="F401" s="232"/>
      <c r="G401" s="232"/>
      <c r="H401" s="232"/>
      <c r="I401" s="232"/>
      <c r="J401" s="232"/>
      <c r="K401" s="232"/>
      <c r="L401" s="232"/>
      <c r="M401" s="232"/>
      <c r="N401" s="232"/>
      <c r="O401" s="232"/>
      <c r="P401" s="232"/>
      <c r="Q401" s="232"/>
      <c r="R401" s="232"/>
      <c r="S401" s="232"/>
      <c r="T401" s="232"/>
      <c r="U401" s="232"/>
      <c r="V401" s="232"/>
      <c r="W401" s="232"/>
      <c r="X401" s="232"/>
      <c r="Y401" s="232"/>
      <c r="Z401" s="232"/>
      <c r="AA401" s="232"/>
      <c r="AB401" s="232"/>
      <c r="AC401" s="232"/>
      <c r="AD401" s="232"/>
      <c r="AE401" s="232"/>
      <c r="AF401" s="232"/>
      <c r="AG401" s="232"/>
      <c r="AH401" s="232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232"/>
      <c r="AV401" s="232"/>
      <c r="AW401" s="232"/>
    </row>
    <row r="402" spans="1:49">
      <c r="A402" s="232"/>
      <c r="B402" s="232"/>
      <c r="C402" s="232"/>
      <c r="D402" s="232"/>
      <c r="E402" s="232"/>
      <c r="F402" s="232"/>
      <c r="G402" s="232"/>
      <c r="H402" s="232"/>
      <c r="I402" s="232"/>
      <c r="J402" s="232"/>
      <c r="K402" s="232"/>
      <c r="L402" s="232"/>
      <c r="M402" s="232"/>
      <c r="N402" s="232"/>
      <c r="O402" s="232"/>
      <c r="P402" s="232"/>
      <c r="Q402" s="232"/>
      <c r="R402" s="232"/>
      <c r="S402" s="232"/>
      <c r="T402" s="232"/>
      <c r="U402" s="232"/>
      <c r="V402" s="232"/>
      <c r="W402" s="232"/>
      <c r="X402" s="232"/>
      <c r="Y402" s="232"/>
      <c r="Z402" s="232"/>
      <c r="AA402" s="232"/>
      <c r="AB402" s="232"/>
      <c r="AC402" s="232"/>
      <c r="AD402" s="232"/>
      <c r="AE402" s="232"/>
      <c r="AF402" s="232"/>
      <c r="AG402" s="232"/>
      <c r="AH402" s="232"/>
      <c r="AI402" s="232"/>
      <c r="AJ402" s="232"/>
      <c r="AK402" s="232"/>
      <c r="AL402" s="232"/>
      <c r="AM402" s="232"/>
      <c r="AN402" s="232"/>
      <c r="AO402" s="232"/>
      <c r="AP402" s="232"/>
      <c r="AQ402" s="232"/>
      <c r="AR402" s="232"/>
      <c r="AS402" s="232"/>
      <c r="AT402" s="232"/>
      <c r="AU402" s="232"/>
      <c r="AV402" s="232"/>
      <c r="AW402" s="232"/>
    </row>
    <row r="403" spans="1:49">
      <c r="A403" s="232"/>
      <c r="B403" s="232"/>
      <c r="C403" s="232"/>
      <c r="D403" s="232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232"/>
      <c r="AF403" s="232"/>
      <c r="AG403" s="232"/>
      <c r="AH403" s="232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32"/>
      <c r="AT403" s="232"/>
      <c r="AU403" s="232"/>
      <c r="AV403" s="232"/>
      <c r="AW403" s="232"/>
    </row>
    <row r="404" spans="1:49">
      <c r="A404" s="232"/>
      <c r="B404" s="232"/>
      <c r="C404" s="232"/>
      <c r="D404" s="232"/>
      <c r="E404" s="232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  <c r="AA404" s="232"/>
      <c r="AB404" s="232"/>
      <c r="AC404" s="232"/>
      <c r="AD404" s="232"/>
      <c r="AE404" s="232"/>
      <c r="AF404" s="232"/>
      <c r="AG404" s="232"/>
      <c r="AH404" s="232"/>
      <c r="AI404" s="232"/>
      <c r="AJ404" s="232"/>
      <c r="AK404" s="232"/>
      <c r="AL404" s="232"/>
      <c r="AM404" s="232"/>
      <c r="AN404" s="232"/>
      <c r="AO404" s="232"/>
      <c r="AP404" s="232"/>
      <c r="AQ404" s="232"/>
      <c r="AR404" s="232"/>
      <c r="AS404" s="232"/>
      <c r="AT404" s="232"/>
      <c r="AU404" s="232"/>
      <c r="AV404" s="232"/>
      <c r="AW404" s="232"/>
    </row>
    <row r="405" spans="1:49">
      <c r="A405" s="232"/>
      <c r="B405" s="232"/>
      <c r="C405" s="232"/>
      <c r="D405" s="232"/>
      <c r="E405" s="232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  <c r="AA405" s="232"/>
      <c r="AB405" s="232"/>
      <c r="AC405" s="232"/>
      <c r="AD405" s="232"/>
      <c r="AE405" s="232"/>
      <c r="AF405" s="232"/>
      <c r="AG405" s="232"/>
      <c r="AH405" s="232"/>
      <c r="AI405" s="232"/>
      <c r="AJ405" s="232"/>
      <c r="AK405" s="232"/>
      <c r="AL405" s="232"/>
      <c r="AM405" s="232"/>
      <c r="AN405" s="232"/>
      <c r="AO405" s="232"/>
      <c r="AP405" s="232"/>
      <c r="AQ405" s="232"/>
      <c r="AR405" s="232"/>
      <c r="AS405" s="232"/>
      <c r="AT405" s="232"/>
      <c r="AU405" s="232"/>
      <c r="AV405" s="232"/>
      <c r="AW405" s="232"/>
    </row>
    <row r="406" spans="1:49">
      <c r="A406" s="232"/>
      <c r="B406" s="232"/>
      <c r="C406" s="232"/>
      <c r="D406" s="232"/>
      <c r="E406" s="232"/>
      <c r="F406" s="232"/>
      <c r="G406" s="232"/>
      <c r="H406" s="232"/>
      <c r="I406" s="232"/>
      <c r="J406" s="232"/>
      <c r="K406" s="232"/>
      <c r="L406" s="232"/>
      <c r="M406" s="232"/>
      <c r="N406" s="232"/>
      <c r="O406" s="232"/>
      <c r="P406" s="232"/>
      <c r="Q406" s="232"/>
      <c r="R406" s="232"/>
      <c r="S406" s="232"/>
      <c r="T406" s="232"/>
      <c r="U406" s="232"/>
      <c r="V406" s="232"/>
      <c r="W406" s="232"/>
      <c r="X406" s="232"/>
      <c r="Y406" s="232"/>
      <c r="Z406" s="232"/>
      <c r="AA406" s="232"/>
      <c r="AB406" s="232"/>
      <c r="AC406" s="232"/>
      <c r="AD406" s="232"/>
      <c r="AE406" s="232"/>
      <c r="AF406" s="232"/>
      <c r="AG406" s="232"/>
      <c r="AH406" s="232"/>
      <c r="AI406" s="232"/>
      <c r="AJ406" s="232"/>
      <c r="AK406" s="232"/>
      <c r="AL406" s="232"/>
      <c r="AM406" s="232"/>
      <c r="AN406" s="232"/>
      <c r="AO406" s="232"/>
      <c r="AP406" s="232"/>
      <c r="AQ406" s="232"/>
      <c r="AR406" s="232"/>
      <c r="AS406" s="232"/>
      <c r="AT406" s="232"/>
      <c r="AU406" s="232"/>
      <c r="AV406" s="232"/>
      <c r="AW406" s="232"/>
    </row>
    <row r="407" spans="1:49">
      <c r="A407" s="232"/>
      <c r="B407" s="232"/>
      <c r="C407" s="232"/>
      <c r="D407" s="232"/>
      <c r="E407" s="232"/>
      <c r="F407" s="232"/>
      <c r="G407" s="232"/>
      <c r="H407" s="232"/>
      <c r="I407" s="232"/>
      <c r="J407" s="232"/>
      <c r="K407" s="232"/>
      <c r="L407" s="232"/>
      <c r="M407" s="232"/>
      <c r="N407" s="232"/>
      <c r="O407" s="232"/>
      <c r="P407" s="232"/>
      <c r="Q407" s="232"/>
      <c r="R407" s="232"/>
      <c r="S407" s="232"/>
      <c r="T407" s="232"/>
      <c r="U407" s="232"/>
      <c r="V407" s="232"/>
      <c r="W407" s="232"/>
      <c r="X407" s="232"/>
      <c r="Y407" s="232"/>
      <c r="Z407" s="232"/>
      <c r="AA407" s="232"/>
      <c r="AB407" s="232"/>
      <c r="AC407" s="232"/>
      <c r="AD407" s="232"/>
      <c r="AE407" s="232"/>
      <c r="AF407" s="232"/>
      <c r="AG407" s="232"/>
      <c r="AH407" s="232"/>
      <c r="AI407" s="232"/>
      <c r="AJ407" s="232"/>
      <c r="AK407" s="232"/>
      <c r="AL407" s="232"/>
      <c r="AM407" s="232"/>
      <c r="AN407" s="232"/>
      <c r="AO407" s="232"/>
      <c r="AP407" s="232"/>
      <c r="AQ407" s="232"/>
      <c r="AR407" s="232"/>
      <c r="AS407" s="232"/>
      <c r="AT407" s="232"/>
      <c r="AU407" s="232"/>
      <c r="AV407" s="232"/>
      <c r="AW407" s="232"/>
    </row>
    <row r="408" spans="1:49">
      <c r="A408" s="232"/>
      <c r="B408" s="232"/>
      <c r="C408" s="232"/>
      <c r="D408" s="232"/>
      <c r="E408" s="232"/>
      <c r="F408" s="232"/>
      <c r="G408" s="232"/>
      <c r="H408" s="232"/>
      <c r="I408" s="232"/>
      <c r="J408" s="232"/>
      <c r="K408" s="232"/>
      <c r="L408" s="232"/>
      <c r="M408" s="232"/>
      <c r="N408" s="232"/>
      <c r="O408" s="232"/>
      <c r="P408" s="232"/>
      <c r="Q408" s="232"/>
      <c r="R408" s="232"/>
      <c r="S408" s="232"/>
      <c r="T408" s="232"/>
      <c r="U408" s="232"/>
      <c r="V408" s="232"/>
      <c r="W408" s="232"/>
      <c r="X408" s="232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32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32"/>
      <c r="AT408" s="232"/>
      <c r="AU408" s="232"/>
      <c r="AV408" s="232"/>
      <c r="AW408" s="232"/>
    </row>
    <row r="409" spans="1:49">
      <c r="A409" s="232"/>
      <c r="B409" s="232"/>
      <c r="C409" s="232"/>
      <c r="D409" s="232"/>
      <c r="E409" s="232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  <c r="U409" s="232"/>
      <c r="V409" s="232"/>
      <c r="W409" s="232"/>
      <c r="X409" s="232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32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32"/>
      <c r="AT409" s="232"/>
      <c r="AU409" s="232"/>
      <c r="AV409" s="232"/>
      <c r="AW409" s="232"/>
    </row>
    <row r="410" spans="1:49">
      <c r="A410" s="232"/>
      <c r="B410" s="232"/>
      <c r="C410" s="232"/>
      <c r="D410" s="232"/>
      <c r="E410" s="232"/>
      <c r="F410" s="232"/>
      <c r="G410" s="232"/>
      <c r="H410" s="232"/>
      <c r="I410" s="232"/>
      <c r="J410" s="232"/>
      <c r="K410" s="232"/>
      <c r="L410" s="232"/>
      <c r="M410" s="232"/>
      <c r="N410" s="232"/>
      <c r="O410" s="232"/>
      <c r="P410" s="232"/>
      <c r="Q410" s="232"/>
      <c r="R410" s="232"/>
      <c r="S410" s="232"/>
      <c r="T410" s="232"/>
      <c r="U410" s="232"/>
      <c r="V410" s="232"/>
      <c r="W410" s="232"/>
      <c r="X410" s="232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32"/>
      <c r="AT410" s="232"/>
      <c r="AU410" s="232"/>
      <c r="AV410" s="232"/>
      <c r="AW410" s="232"/>
    </row>
    <row r="411" spans="1:49">
      <c r="A411" s="232"/>
      <c r="B411" s="232"/>
      <c r="C411" s="232"/>
      <c r="D411" s="232"/>
      <c r="E411" s="232"/>
      <c r="F411" s="232"/>
      <c r="G411" s="232"/>
      <c r="H411" s="232"/>
      <c r="I411" s="232"/>
      <c r="J411" s="232"/>
      <c r="K411" s="232"/>
      <c r="L411" s="232"/>
      <c r="M411" s="232"/>
      <c r="N411" s="232"/>
      <c r="O411" s="232"/>
      <c r="P411" s="232"/>
      <c r="Q411" s="232"/>
      <c r="R411" s="232"/>
      <c r="S411" s="232"/>
      <c r="T411" s="232"/>
      <c r="U411" s="232"/>
      <c r="V411" s="232"/>
      <c r="W411" s="232"/>
      <c r="X411" s="232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32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32"/>
      <c r="AT411" s="232"/>
      <c r="AU411" s="232"/>
      <c r="AV411" s="232"/>
      <c r="AW411" s="232"/>
    </row>
    <row r="412" spans="1:49">
      <c r="A412" s="232"/>
      <c r="B412" s="232"/>
      <c r="C412" s="232"/>
      <c r="D412" s="232"/>
      <c r="E412" s="232"/>
      <c r="F412" s="232"/>
      <c r="G412" s="232"/>
      <c r="H412" s="232"/>
      <c r="I412" s="232"/>
      <c r="J412" s="232"/>
      <c r="K412" s="232"/>
      <c r="L412" s="232"/>
      <c r="M412" s="232"/>
      <c r="N412" s="232"/>
      <c r="O412" s="232"/>
      <c r="P412" s="232"/>
      <c r="Q412" s="232"/>
      <c r="R412" s="232"/>
      <c r="S412" s="232"/>
      <c r="T412" s="232"/>
      <c r="U412" s="232"/>
      <c r="V412" s="232"/>
      <c r="W412" s="232"/>
      <c r="X412" s="232"/>
      <c r="Y412" s="232"/>
      <c r="Z412" s="232"/>
      <c r="AA412" s="232"/>
      <c r="AB412" s="232"/>
      <c r="AC412" s="232"/>
      <c r="AD412" s="232"/>
      <c r="AE412" s="232"/>
      <c r="AF412" s="232"/>
      <c r="AG412" s="232"/>
      <c r="AH412" s="232"/>
      <c r="AI412" s="232"/>
      <c r="AJ412" s="232"/>
      <c r="AK412" s="232"/>
      <c r="AL412" s="232"/>
      <c r="AM412" s="232"/>
      <c r="AN412" s="232"/>
      <c r="AO412" s="232"/>
      <c r="AP412" s="232"/>
      <c r="AQ412" s="232"/>
      <c r="AR412" s="232"/>
      <c r="AS412" s="232"/>
      <c r="AT412" s="232"/>
      <c r="AU412" s="232"/>
      <c r="AV412" s="232"/>
      <c r="AW412" s="232"/>
    </row>
    <row r="413" spans="1:49">
      <c r="A413" s="232"/>
      <c r="B413" s="232"/>
      <c r="C413" s="232"/>
      <c r="D413" s="232"/>
      <c r="E413" s="232"/>
      <c r="F413" s="232"/>
      <c r="G413" s="232"/>
      <c r="H413" s="232"/>
      <c r="I413" s="232"/>
      <c r="J413" s="232"/>
      <c r="K413" s="232"/>
      <c r="L413" s="232"/>
      <c r="M413" s="232"/>
      <c r="N413" s="232"/>
      <c r="O413" s="232"/>
      <c r="P413" s="232"/>
      <c r="Q413" s="232"/>
      <c r="R413" s="232"/>
      <c r="S413" s="232"/>
      <c r="T413" s="232"/>
      <c r="U413" s="232"/>
      <c r="V413" s="232"/>
      <c r="W413" s="232"/>
      <c r="X413" s="232"/>
      <c r="Y413" s="232"/>
      <c r="Z413" s="232"/>
      <c r="AA413" s="232"/>
      <c r="AB413" s="232"/>
      <c r="AC413" s="232"/>
      <c r="AD413" s="232"/>
      <c r="AE413" s="232"/>
      <c r="AF413" s="232"/>
      <c r="AG413" s="232"/>
      <c r="AH413" s="232"/>
      <c r="AI413" s="232"/>
      <c r="AJ413" s="232"/>
      <c r="AK413" s="232"/>
      <c r="AL413" s="232"/>
      <c r="AM413" s="232"/>
      <c r="AN413" s="232"/>
      <c r="AO413" s="232"/>
      <c r="AP413" s="232"/>
      <c r="AQ413" s="232"/>
      <c r="AR413" s="232"/>
      <c r="AS413" s="232"/>
      <c r="AT413" s="232"/>
      <c r="AU413" s="232"/>
      <c r="AV413" s="232"/>
      <c r="AW413" s="232"/>
    </row>
    <row r="414" spans="1:49">
      <c r="A414" s="232"/>
      <c r="B414" s="232"/>
      <c r="C414" s="232"/>
      <c r="D414" s="232"/>
      <c r="E414" s="232"/>
      <c r="F414" s="232"/>
      <c r="G414" s="232"/>
      <c r="H414" s="232"/>
      <c r="I414" s="232"/>
      <c r="J414" s="232"/>
      <c r="K414" s="232"/>
      <c r="L414" s="232"/>
      <c r="M414" s="232"/>
      <c r="N414" s="232"/>
      <c r="O414" s="232"/>
      <c r="P414" s="232"/>
      <c r="Q414" s="232"/>
      <c r="R414" s="232"/>
      <c r="S414" s="232"/>
      <c r="T414" s="232"/>
      <c r="U414" s="232"/>
      <c r="V414" s="232"/>
      <c r="W414" s="232"/>
      <c r="X414" s="232"/>
      <c r="Y414" s="232"/>
      <c r="Z414" s="232"/>
      <c r="AA414" s="232"/>
      <c r="AB414" s="232"/>
      <c r="AC414" s="232"/>
      <c r="AD414" s="232"/>
      <c r="AE414" s="232"/>
      <c r="AF414" s="232"/>
      <c r="AG414" s="232"/>
      <c r="AH414" s="232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232"/>
      <c r="AV414" s="232"/>
      <c r="AW414" s="232"/>
    </row>
    <row r="415" spans="1:49">
      <c r="A415" s="232"/>
      <c r="B415" s="232"/>
      <c r="C415" s="232"/>
      <c r="D415" s="232"/>
      <c r="E415" s="232"/>
      <c r="F415" s="232"/>
      <c r="G415" s="232"/>
      <c r="H415" s="232"/>
      <c r="I415" s="232"/>
      <c r="J415" s="232"/>
      <c r="K415" s="232"/>
      <c r="L415" s="232"/>
      <c r="M415" s="232"/>
      <c r="N415" s="232"/>
      <c r="O415" s="232"/>
      <c r="P415" s="232"/>
      <c r="Q415" s="232"/>
      <c r="R415" s="232"/>
      <c r="S415" s="232"/>
      <c r="T415" s="232"/>
      <c r="U415" s="232"/>
      <c r="V415" s="232"/>
      <c r="W415" s="232"/>
      <c r="X415" s="232"/>
      <c r="Y415" s="232"/>
      <c r="Z415" s="232"/>
      <c r="AA415" s="232"/>
      <c r="AB415" s="232"/>
      <c r="AC415" s="232"/>
      <c r="AD415" s="232"/>
      <c r="AE415" s="232"/>
      <c r="AF415" s="232"/>
      <c r="AG415" s="232"/>
      <c r="AH415" s="232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232"/>
      <c r="AV415" s="232"/>
      <c r="AW415" s="232"/>
    </row>
    <row r="416" spans="1:49">
      <c r="A416" s="232"/>
      <c r="B416" s="232"/>
      <c r="C416" s="232"/>
      <c r="D416" s="232"/>
      <c r="E416" s="232"/>
      <c r="F416" s="232"/>
      <c r="G416" s="232"/>
      <c r="H416" s="232"/>
      <c r="I416" s="232"/>
      <c r="J416" s="232"/>
      <c r="K416" s="232"/>
      <c r="L416" s="232"/>
      <c r="M416" s="232"/>
      <c r="N416" s="232"/>
      <c r="O416" s="232"/>
      <c r="P416" s="232"/>
      <c r="Q416" s="232"/>
      <c r="R416" s="232"/>
      <c r="S416" s="232"/>
      <c r="T416" s="232"/>
      <c r="U416" s="232"/>
      <c r="V416" s="232"/>
      <c r="W416" s="232"/>
      <c r="X416" s="232"/>
      <c r="Y416" s="232"/>
      <c r="Z416" s="232"/>
      <c r="AA416" s="232"/>
      <c r="AB416" s="232"/>
      <c r="AC416" s="232"/>
      <c r="AD416" s="232"/>
      <c r="AE416" s="232"/>
      <c r="AF416" s="232"/>
      <c r="AG416" s="232"/>
      <c r="AH416" s="232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232"/>
      <c r="AV416" s="232"/>
      <c r="AW416" s="232"/>
    </row>
    <row r="417" spans="1:49">
      <c r="A417" s="232"/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  <c r="AJ417" s="232"/>
      <c r="AK417" s="232"/>
      <c r="AL417" s="232"/>
      <c r="AM417" s="232"/>
      <c r="AN417" s="232"/>
      <c r="AO417" s="232"/>
      <c r="AP417" s="232"/>
      <c r="AQ417" s="232"/>
      <c r="AR417" s="232"/>
      <c r="AS417" s="232"/>
      <c r="AT417" s="232"/>
      <c r="AU417" s="232"/>
      <c r="AV417" s="232"/>
      <c r="AW417" s="232"/>
    </row>
    <row r="418" spans="1:49">
      <c r="A418" s="232"/>
      <c r="B418" s="232"/>
      <c r="C418" s="232"/>
      <c r="D418" s="232"/>
      <c r="E418" s="232"/>
      <c r="F418" s="232"/>
      <c r="G418" s="232"/>
      <c r="H418" s="232"/>
      <c r="I418" s="232"/>
      <c r="J418" s="232"/>
      <c r="K418" s="232"/>
      <c r="L418" s="232"/>
      <c r="M418" s="232"/>
      <c r="N418" s="232"/>
      <c r="O418" s="232"/>
      <c r="P418" s="232"/>
      <c r="Q418" s="232"/>
      <c r="R418" s="232"/>
      <c r="S418" s="232"/>
      <c r="T418" s="232"/>
      <c r="U418" s="232"/>
      <c r="V418" s="232"/>
      <c r="W418" s="232"/>
      <c r="X418" s="232"/>
      <c r="Y418" s="232"/>
      <c r="Z418" s="232"/>
      <c r="AA418" s="232"/>
      <c r="AB418" s="232"/>
      <c r="AC418" s="232"/>
      <c r="AD418" s="232"/>
      <c r="AE418" s="232"/>
      <c r="AF418" s="232"/>
      <c r="AG418" s="232"/>
      <c r="AH418" s="232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32"/>
      <c r="AT418" s="232"/>
      <c r="AU418" s="232"/>
      <c r="AV418" s="232"/>
      <c r="AW418" s="232"/>
    </row>
    <row r="419" spans="1:49">
      <c r="A419" s="232"/>
      <c r="B419" s="232"/>
      <c r="C419" s="232"/>
      <c r="D419" s="232"/>
      <c r="E419" s="232"/>
      <c r="F419" s="232"/>
      <c r="G419" s="232"/>
      <c r="H419" s="232"/>
      <c r="I419" s="232"/>
      <c r="J419" s="232"/>
      <c r="K419" s="232"/>
      <c r="L419" s="232"/>
      <c r="M419" s="232"/>
      <c r="N419" s="232"/>
      <c r="O419" s="232"/>
      <c r="P419" s="232"/>
      <c r="Q419" s="232"/>
      <c r="R419" s="232"/>
      <c r="S419" s="232"/>
      <c r="T419" s="232"/>
      <c r="U419" s="232"/>
      <c r="V419" s="232"/>
      <c r="W419" s="232"/>
      <c r="X419" s="232"/>
      <c r="Y419" s="232"/>
      <c r="Z419" s="232"/>
      <c r="AA419" s="232"/>
      <c r="AB419" s="232"/>
      <c r="AC419" s="232"/>
      <c r="AD419" s="232"/>
      <c r="AE419" s="232"/>
      <c r="AF419" s="232"/>
      <c r="AG419" s="232"/>
      <c r="AH419" s="232"/>
      <c r="AI419" s="232"/>
      <c r="AJ419" s="232"/>
      <c r="AK419" s="232"/>
      <c r="AL419" s="232"/>
      <c r="AM419" s="232"/>
      <c r="AN419" s="232"/>
      <c r="AO419" s="232"/>
      <c r="AP419" s="232"/>
      <c r="AQ419" s="232"/>
      <c r="AR419" s="232"/>
      <c r="AS419" s="232"/>
      <c r="AT419" s="232"/>
      <c r="AU419" s="232"/>
      <c r="AV419" s="232"/>
      <c r="AW419" s="232"/>
    </row>
    <row r="420" spans="1:49">
      <c r="A420" s="232"/>
      <c r="B420" s="232"/>
      <c r="C420" s="232"/>
      <c r="D420" s="232"/>
      <c r="E420" s="232"/>
      <c r="F420" s="232"/>
      <c r="G420" s="232"/>
      <c r="H420" s="232"/>
      <c r="I420" s="232"/>
      <c r="J420" s="232"/>
      <c r="K420" s="232"/>
      <c r="L420" s="232"/>
      <c r="M420" s="232"/>
      <c r="N420" s="232"/>
      <c r="O420" s="232"/>
      <c r="P420" s="232"/>
      <c r="Q420" s="232"/>
      <c r="R420" s="232"/>
      <c r="S420" s="232"/>
      <c r="T420" s="232"/>
      <c r="U420" s="232"/>
      <c r="V420" s="232"/>
      <c r="W420" s="232"/>
      <c r="X420" s="232"/>
      <c r="Y420" s="232"/>
      <c r="Z420" s="232"/>
      <c r="AA420" s="232"/>
      <c r="AB420" s="232"/>
      <c r="AC420" s="232"/>
      <c r="AD420" s="232"/>
      <c r="AE420" s="232"/>
      <c r="AF420" s="232"/>
      <c r="AG420" s="232"/>
      <c r="AH420" s="232"/>
      <c r="AI420" s="232"/>
      <c r="AJ420" s="232"/>
      <c r="AK420" s="232"/>
      <c r="AL420" s="232"/>
      <c r="AM420" s="232"/>
      <c r="AN420" s="232"/>
      <c r="AO420" s="232"/>
      <c r="AP420" s="232"/>
      <c r="AQ420" s="232"/>
      <c r="AR420" s="232"/>
      <c r="AS420" s="232"/>
      <c r="AT420" s="232"/>
      <c r="AU420" s="232"/>
      <c r="AV420" s="232"/>
      <c r="AW420" s="232"/>
    </row>
    <row r="421" spans="1:49">
      <c r="A421" s="232"/>
      <c r="B421" s="232"/>
      <c r="C421" s="232"/>
      <c r="D421" s="232"/>
      <c r="E421" s="232"/>
      <c r="F421" s="232"/>
      <c r="G421" s="232"/>
      <c r="H421" s="232"/>
      <c r="I421" s="232"/>
      <c r="J421" s="232"/>
      <c r="K421" s="232"/>
      <c r="L421" s="232"/>
      <c r="M421" s="232"/>
      <c r="N421" s="232"/>
      <c r="O421" s="232"/>
      <c r="P421" s="232"/>
      <c r="Q421" s="232"/>
      <c r="R421" s="232"/>
      <c r="S421" s="232"/>
      <c r="T421" s="232"/>
      <c r="U421" s="232"/>
      <c r="V421" s="232"/>
      <c r="W421" s="232"/>
      <c r="X421" s="232"/>
      <c r="Y421" s="232"/>
      <c r="Z421" s="232"/>
      <c r="AA421" s="232"/>
      <c r="AB421" s="232"/>
      <c r="AC421" s="232"/>
      <c r="AD421" s="232"/>
      <c r="AE421" s="232"/>
      <c r="AF421" s="232"/>
      <c r="AG421" s="232"/>
      <c r="AH421" s="232"/>
      <c r="AI421" s="232"/>
      <c r="AJ421" s="232"/>
      <c r="AK421" s="232"/>
      <c r="AL421" s="232"/>
      <c r="AM421" s="232"/>
      <c r="AN421" s="232"/>
      <c r="AO421" s="232"/>
      <c r="AP421" s="232"/>
      <c r="AQ421" s="232"/>
      <c r="AR421" s="232"/>
      <c r="AS421" s="232"/>
      <c r="AT421" s="232"/>
      <c r="AU421" s="232"/>
      <c r="AV421" s="232"/>
      <c r="AW421" s="232"/>
    </row>
    <row r="422" spans="1:49">
      <c r="A422" s="232"/>
      <c r="B422" s="232"/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32"/>
      <c r="AI422" s="232"/>
      <c r="AJ422" s="232"/>
      <c r="AK422" s="232"/>
      <c r="AL422" s="232"/>
      <c r="AM422" s="232"/>
      <c r="AN422" s="232"/>
      <c r="AO422" s="232"/>
      <c r="AP422" s="232"/>
      <c r="AQ422" s="232"/>
      <c r="AR422" s="232"/>
      <c r="AS422" s="232"/>
      <c r="AT422" s="232"/>
      <c r="AU422" s="232"/>
      <c r="AV422" s="232"/>
      <c r="AW422" s="232"/>
    </row>
    <row r="423" spans="1:49">
      <c r="A423" s="232"/>
      <c r="B423" s="232"/>
      <c r="C423" s="232"/>
      <c r="D423" s="232"/>
      <c r="E423" s="232"/>
      <c r="F423" s="232"/>
      <c r="G423" s="232"/>
      <c r="H423" s="232"/>
      <c r="I423" s="232"/>
      <c r="J423" s="232"/>
      <c r="K423" s="232"/>
      <c r="L423" s="232"/>
      <c r="M423" s="232"/>
      <c r="N423" s="232"/>
      <c r="O423" s="232"/>
      <c r="P423" s="232"/>
      <c r="Q423" s="232"/>
      <c r="R423" s="232"/>
      <c r="S423" s="232"/>
      <c r="T423" s="232"/>
      <c r="U423" s="232"/>
      <c r="V423" s="232"/>
      <c r="W423" s="232"/>
      <c r="X423" s="232"/>
      <c r="Y423" s="232"/>
      <c r="Z423" s="232"/>
      <c r="AA423" s="232"/>
      <c r="AB423" s="232"/>
      <c r="AC423" s="232"/>
      <c r="AD423" s="232"/>
      <c r="AE423" s="232"/>
      <c r="AF423" s="232"/>
      <c r="AG423" s="232"/>
      <c r="AH423" s="232"/>
      <c r="AI423" s="232"/>
      <c r="AJ423" s="232"/>
      <c r="AK423" s="232"/>
      <c r="AL423" s="232"/>
      <c r="AM423" s="232"/>
      <c r="AN423" s="232"/>
      <c r="AO423" s="232"/>
      <c r="AP423" s="232"/>
      <c r="AQ423" s="232"/>
      <c r="AR423" s="232"/>
      <c r="AS423" s="232"/>
      <c r="AT423" s="232"/>
      <c r="AU423" s="232"/>
      <c r="AV423" s="232"/>
      <c r="AW423" s="232"/>
    </row>
    <row r="424" spans="1:49">
      <c r="A424" s="232"/>
      <c r="B424" s="232"/>
      <c r="C424" s="232"/>
      <c r="D424" s="232"/>
      <c r="E424" s="232"/>
      <c r="F424" s="232"/>
      <c r="G424" s="232"/>
      <c r="H424" s="232"/>
      <c r="I424" s="232"/>
      <c r="J424" s="232"/>
      <c r="K424" s="232"/>
      <c r="L424" s="232"/>
      <c r="M424" s="232"/>
      <c r="N424" s="232"/>
      <c r="O424" s="232"/>
      <c r="P424" s="232"/>
      <c r="Q424" s="232"/>
      <c r="R424" s="232"/>
      <c r="S424" s="232"/>
      <c r="T424" s="232"/>
      <c r="U424" s="232"/>
      <c r="V424" s="232"/>
      <c r="W424" s="232"/>
      <c r="X424" s="232"/>
      <c r="Y424" s="232"/>
      <c r="Z424" s="232"/>
      <c r="AA424" s="232"/>
      <c r="AB424" s="232"/>
      <c r="AC424" s="232"/>
      <c r="AD424" s="232"/>
      <c r="AE424" s="232"/>
      <c r="AF424" s="232"/>
      <c r="AG424" s="232"/>
      <c r="AH424" s="232"/>
      <c r="AI424" s="232"/>
      <c r="AJ424" s="232"/>
      <c r="AK424" s="232"/>
      <c r="AL424" s="232"/>
      <c r="AM424" s="232"/>
      <c r="AN424" s="232"/>
      <c r="AO424" s="232"/>
      <c r="AP424" s="232"/>
      <c r="AQ424" s="232"/>
      <c r="AR424" s="232"/>
      <c r="AS424" s="232"/>
      <c r="AT424" s="232"/>
      <c r="AU424" s="232"/>
      <c r="AV424" s="232"/>
      <c r="AW424" s="232"/>
    </row>
    <row r="425" spans="1:49">
      <c r="A425" s="232"/>
      <c r="B425" s="232"/>
      <c r="C425" s="232"/>
      <c r="D425" s="232"/>
      <c r="E425" s="232"/>
      <c r="F425" s="232"/>
      <c r="G425" s="232"/>
      <c r="H425" s="232"/>
      <c r="I425" s="232"/>
      <c r="J425" s="232"/>
      <c r="K425" s="232"/>
      <c r="L425" s="232"/>
      <c r="M425" s="232"/>
      <c r="N425" s="232"/>
      <c r="O425" s="232"/>
      <c r="P425" s="232"/>
      <c r="Q425" s="232"/>
      <c r="R425" s="232"/>
      <c r="S425" s="232"/>
      <c r="T425" s="232"/>
      <c r="U425" s="232"/>
      <c r="V425" s="232"/>
      <c r="W425" s="232"/>
      <c r="X425" s="232"/>
      <c r="Y425" s="232"/>
      <c r="Z425" s="232"/>
      <c r="AA425" s="232"/>
      <c r="AB425" s="232"/>
      <c r="AC425" s="232"/>
      <c r="AD425" s="232"/>
      <c r="AE425" s="232"/>
      <c r="AF425" s="232"/>
      <c r="AG425" s="232"/>
      <c r="AH425" s="232"/>
      <c r="AI425" s="232"/>
      <c r="AJ425" s="232"/>
      <c r="AK425" s="232"/>
      <c r="AL425" s="232"/>
      <c r="AM425" s="232"/>
      <c r="AN425" s="232"/>
      <c r="AO425" s="232"/>
      <c r="AP425" s="232"/>
      <c r="AQ425" s="232"/>
      <c r="AR425" s="232"/>
      <c r="AS425" s="232"/>
      <c r="AT425" s="232"/>
      <c r="AU425" s="232"/>
      <c r="AV425" s="232"/>
      <c r="AW425" s="232"/>
    </row>
    <row r="426" spans="1:49">
      <c r="A426" s="232"/>
      <c r="B426" s="232"/>
      <c r="C426" s="232"/>
      <c r="D426" s="232"/>
      <c r="E426" s="232"/>
      <c r="F426" s="232"/>
      <c r="G426" s="232"/>
      <c r="H426" s="232"/>
      <c r="I426" s="232"/>
      <c r="J426" s="232"/>
      <c r="K426" s="232"/>
      <c r="L426" s="232"/>
      <c r="M426" s="232"/>
      <c r="N426" s="232"/>
      <c r="O426" s="232"/>
      <c r="P426" s="232"/>
      <c r="Q426" s="232"/>
      <c r="R426" s="232"/>
      <c r="S426" s="232"/>
      <c r="T426" s="232"/>
      <c r="U426" s="232"/>
      <c r="V426" s="232"/>
      <c r="W426" s="232"/>
      <c r="X426" s="232"/>
      <c r="Y426" s="232"/>
      <c r="Z426" s="232"/>
      <c r="AA426" s="232"/>
      <c r="AB426" s="232"/>
      <c r="AC426" s="232"/>
      <c r="AD426" s="232"/>
      <c r="AE426" s="232"/>
      <c r="AF426" s="232"/>
      <c r="AG426" s="232"/>
      <c r="AH426" s="232"/>
      <c r="AI426" s="232"/>
      <c r="AJ426" s="232"/>
      <c r="AK426" s="232"/>
      <c r="AL426" s="232"/>
      <c r="AM426" s="232"/>
      <c r="AN426" s="232"/>
      <c r="AO426" s="232"/>
      <c r="AP426" s="232"/>
      <c r="AQ426" s="232"/>
      <c r="AR426" s="232"/>
      <c r="AS426" s="232"/>
      <c r="AT426" s="232"/>
      <c r="AU426" s="232"/>
      <c r="AV426" s="232"/>
      <c r="AW426" s="232"/>
    </row>
    <row r="427" spans="1:49">
      <c r="A427" s="232"/>
      <c r="B427" s="232"/>
      <c r="C427" s="232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  <c r="AA427" s="232"/>
      <c r="AB427" s="232"/>
      <c r="AC427" s="232"/>
      <c r="AD427" s="232"/>
      <c r="AE427" s="232"/>
      <c r="AF427" s="232"/>
      <c r="AG427" s="232"/>
      <c r="AH427" s="232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232"/>
      <c r="AT427" s="232"/>
      <c r="AU427" s="232"/>
      <c r="AV427" s="232"/>
      <c r="AW427" s="232"/>
    </row>
    <row r="428" spans="1:49">
      <c r="A428" s="232"/>
      <c r="B428" s="232"/>
      <c r="C428" s="232"/>
      <c r="D428" s="232"/>
      <c r="E428" s="232"/>
      <c r="F428" s="232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</row>
    <row r="429" spans="1:49">
      <c r="A429" s="232"/>
      <c r="B429" s="232"/>
      <c r="C429" s="232"/>
      <c r="D429" s="232"/>
      <c r="E429" s="232"/>
      <c r="F429" s="232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</row>
    <row r="430" spans="1:49">
      <c r="A430" s="232"/>
      <c r="B430" s="232"/>
      <c r="C430" s="232"/>
      <c r="D430" s="232"/>
      <c r="E430" s="232"/>
      <c r="F430" s="232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</row>
    <row r="431" spans="1:49">
      <c r="A431" s="232"/>
      <c r="B431" s="232"/>
      <c r="C431" s="232"/>
      <c r="D431" s="232"/>
      <c r="E431" s="232"/>
      <c r="F431" s="232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  <c r="AA431" s="232"/>
      <c r="AB431" s="232"/>
      <c r="AC431" s="232"/>
      <c r="AD431" s="232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232"/>
      <c r="AV431" s="232"/>
      <c r="AW431" s="232"/>
    </row>
    <row r="432" spans="1:49">
      <c r="A432" s="232"/>
      <c r="B432" s="232"/>
      <c r="C432" s="232"/>
      <c r="D432" s="232"/>
      <c r="E432" s="232"/>
      <c r="F432" s="232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  <c r="AA432" s="232"/>
      <c r="AB432" s="232"/>
      <c r="AC432" s="232"/>
      <c r="AD432" s="232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232"/>
      <c r="AV432" s="232"/>
      <c r="AW432" s="232"/>
    </row>
    <row r="433" spans="1:49">
      <c r="A433" s="232"/>
      <c r="B433" s="232"/>
      <c r="C433" s="232"/>
      <c r="D433" s="232"/>
      <c r="E433" s="232"/>
      <c r="F433" s="232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  <c r="AA433" s="232"/>
      <c r="AB433" s="232"/>
      <c r="AC433" s="232"/>
      <c r="AD433" s="232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232"/>
      <c r="AV433" s="232"/>
      <c r="AW433" s="232"/>
    </row>
    <row r="434" spans="1:49">
      <c r="A434" s="232"/>
      <c r="B434" s="232"/>
      <c r="C434" s="232"/>
      <c r="D434" s="232"/>
      <c r="E434" s="232"/>
      <c r="F434" s="232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2"/>
      <c r="T434" s="232"/>
      <c r="U434" s="232"/>
      <c r="V434" s="232"/>
      <c r="W434" s="232"/>
      <c r="X434" s="232"/>
      <c r="Y434" s="232"/>
      <c r="Z434" s="232"/>
      <c r="AA434" s="232"/>
      <c r="AB434" s="232"/>
      <c r="AC434" s="232"/>
      <c r="AD434" s="232"/>
      <c r="AE434" s="232"/>
      <c r="AF434" s="232"/>
      <c r="AG434" s="232"/>
      <c r="AH434" s="232"/>
      <c r="AI434" s="232"/>
      <c r="AJ434" s="232"/>
      <c r="AK434" s="232"/>
      <c r="AL434" s="232"/>
      <c r="AM434" s="232"/>
      <c r="AN434" s="232"/>
      <c r="AO434" s="232"/>
      <c r="AP434" s="232"/>
      <c r="AQ434" s="232"/>
      <c r="AR434" s="232"/>
      <c r="AS434" s="232"/>
      <c r="AT434" s="232"/>
      <c r="AU434" s="232"/>
      <c r="AV434" s="232"/>
      <c r="AW434" s="232"/>
    </row>
    <row r="435" spans="1:49">
      <c r="A435" s="232"/>
      <c r="B435" s="232"/>
      <c r="C435" s="232"/>
      <c r="D435" s="232"/>
      <c r="E435" s="232"/>
      <c r="F435" s="232"/>
      <c r="G435" s="232"/>
      <c r="H435" s="232"/>
      <c r="I435" s="232"/>
      <c r="J435" s="232"/>
      <c r="K435" s="232"/>
      <c r="L435" s="232"/>
      <c r="M435" s="232"/>
      <c r="N435" s="232"/>
      <c r="O435" s="232"/>
      <c r="P435" s="232"/>
      <c r="Q435" s="232"/>
      <c r="R435" s="232"/>
      <c r="S435" s="232"/>
      <c r="T435" s="232"/>
      <c r="U435" s="232"/>
      <c r="V435" s="232"/>
      <c r="W435" s="232"/>
      <c r="X435" s="232"/>
      <c r="Y435" s="232"/>
      <c r="Z435" s="232"/>
      <c r="AA435" s="232"/>
      <c r="AB435" s="232"/>
      <c r="AC435" s="232"/>
      <c r="AD435" s="232"/>
      <c r="AE435" s="232"/>
      <c r="AF435" s="232"/>
      <c r="AG435" s="232"/>
      <c r="AH435" s="232"/>
      <c r="AI435" s="232"/>
      <c r="AJ435" s="232"/>
      <c r="AK435" s="232"/>
      <c r="AL435" s="232"/>
      <c r="AM435" s="232"/>
      <c r="AN435" s="232"/>
      <c r="AO435" s="232"/>
      <c r="AP435" s="232"/>
      <c r="AQ435" s="232"/>
      <c r="AR435" s="232"/>
      <c r="AS435" s="232"/>
      <c r="AT435" s="232"/>
      <c r="AU435" s="232"/>
      <c r="AV435" s="232"/>
      <c r="AW435" s="232"/>
    </row>
    <row r="436" spans="1:49">
      <c r="A436" s="232"/>
      <c r="B436" s="232"/>
      <c r="C436" s="232"/>
      <c r="D436" s="232"/>
      <c r="E436" s="232"/>
      <c r="F436" s="232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  <c r="AA436" s="232"/>
      <c r="AB436" s="232"/>
      <c r="AC436" s="232"/>
      <c r="AD436" s="232"/>
      <c r="AE436" s="232"/>
      <c r="AF436" s="232"/>
      <c r="AG436" s="232"/>
      <c r="AH436" s="232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32"/>
      <c r="AT436" s="232"/>
      <c r="AU436" s="232"/>
      <c r="AV436" s="232"/>
      <c r="AW436" s="232"/>
    </row>
    <row r="437" spans="1:49">
      <c r="A437" s="232"/>
      <c r="B437" s="232"/>
      <c r="C437" s="232"/>
      <c r="D437" s="232"/>
      <c r="E437" s="232"/>
      <c r="F437" s="232"/>
      <c r="G437" s="232"/>
      <c r="H437" s="232"/>
      <c r="I437" s="232"/>
      <c r="J437" s="232"/>
      <c r="K437" s="232"/>
      <c r="L437" s="232"/>
      <c r="M437" s="232"/>
      <c r="N437" s="232"/>
      <c r="O437" s="232"/>
      <c r="P437" s="232"/>
      <c r="Q437" s="232"/>
      <c r="R437" s="232"/>
      <c r="S437" s="232"/>
      <c r="T437" s="232"/>
      <c r="U437" s="232"/>
      <c r="V437" s="232"/>
      <c r="W437" s="232"/>
      <c r="X437" s="232"/>
      <c r="Y437" s="232"/>
      <c r="Z437" s="232"/>
      <c r="AA437" s="232"/>
      <c r="AB437" s="232"/>
      <c r="AC437" s="232"/>
      <c r="AD437" s="232"/>
      <c r="AE437" s="232"/>
      <c r="AF437" s="232"/>
      <c r="AG437" s="232"/>
      <c r="AH437" s="232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32"/>
      <c r="AT437" s="232"/>
      <c r="AU437" s="232"/>
      <c r="AV437" s="232"/>
      <c r="AW437" s="232"/>
    </row>
    <row r="438" spans="1:49">
      <c r="A438" s="232"/>
      <c r="B438" s="232"/>
      <c r="C438" s="232"/>
      <c r="D438" s="232"/>
      <c r="E438" s="232"/>
      <c r="F438" s="232"/>
      <c r="G438" s="232"/>
      <c r="H438" s="232"/>
      <c r="I438" s="232"/>
      <c r="J438" s="232"/>
      <c r="K438" s="232"/>
      <c r="L438" s="232"/>
      <c r="M438" s="232"/>
      <c r="N438" s="232"/>
      <c r="O438" s="232"/>
      <c r="P438" s="232"/>
      <c r="Q438" s="232"/>
      <c r="R438" s="232"/>
      <c r="S438" s="232"/>
      <c r="T438" s="232"/>
      <c r="U438" s="232"/>
      <c r="V438" s="232"/>
      <c r="W438" s="232"/>
      <c r="X438" s="232"/>
      <c r="Y438" s="232"/>
      <c r="Z438" s="232"/>
      <c r="AA438" s="232"/>
      <c r="AB438" s="232"/>
      <c r="AC438" s="232"/>
      <c r="AD438" s="232"/>
      <c r="AE438" s="232"/>
      <c r="AF438" s="232"/>
      <c r="AG438" s="232"/>
      <c r="AH438" s="232"/>
      <c r="AI438" s="232"/>
      <c r="AJ438" s="232"/>
      <c r="AK438" s="232"/>
      <c r="AL438" s="232"/>
      <c r="AM438" s="232"/>
      <c r="AN438" s="232"/>
      <c r="AO438" s="232"/>
      <c r="AP438" s="232"/>
      <c r="AQ438" s="232"/>
      <c r="AR438" s="232"/>
      <c r="AS438" s="232"/>
      <c r="AT438" s="232"/>
      <c r="AU438" s="232"/>
      <c r="AV438" s="232"/>
      <c r="AW438" s="232"/>
    </row>
    <row r="439" spans="1:49">
      <c r="A439" s="232"/>
      <c r="B439" s="232"/>
      <c r="C439" s="232"/>
      <c r="D439" s="232"/>
      <c r="E439" s="232"/>
      <c r="F439" s="232"/>
      <c r="G439" s="232"/>
      <c r="H439" s="232"/>
      <c r="I439" s="232"/>
      <c r="J439" s="232"/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32"/>
      <c r="Z439" s="232"/>
      <c r="AA439" s="232"/>
      <c r="AB439" s="232"/>
      <c r="AC439" s="232"/>
      <c r="AD439" s="232"/>
      <c r="AE439" s="232"/>
      <c r="AF439" s="232"/>
      <c r="AG439" s="232"/>
      <c r="AH439" s="232"/>
      <c r="AI439" s="232"/>
      <c r="AJ439" s="232"/>
      <c r="AK439" s="232"/>
      <c r="AL439" s="232"/>
      <c r="AM439" s="232"/>
      <c r="AN439" s="232"/>
      <c r="AO439" s="232"/>
      <c r="AP439" s="232"/>
      <c r="AQ439" s="232"/>
      <c r="AR439" s="232"/>
      <c r="AS439" s="232"/>
      <c r="AT439" s="232"/>
      <c r="AU439" s="232"/>
      <c r="AV439" s="232"/>
      <c r="AW439" s="232"/>
    </row>
    <row r="440" spans="1:49">
      <c r="A440" s="232"/>
      <c r="B440" s="232"/>
      <c r="C440" s="232"/>
      <c r="D440" s="232"/>
      <c r="E440" s="232"/>
      <c r="F440" s="232"/>
      <c r="G440" s="232"/>
      <c r="H440" s="232"/>
      <c r="I440" s="232"/>
      <c r="J440" s="232"/>
      <c r="K440" s="232"/>
      <c r="L440" s="232"/>
      <c r="M440" s="232"/>
      <c r="N440" s="232"/>
      <c r="O440" s="232"/>
      <c r="P440" s="232"/>
      <c r="Q440" s="232"/>
      <c r="R440" s="232"/>
      <c r="S440" s="232"/>
      <c r="T440" s="232"/>
      <c r="U440" s="232"/>
      <c r="V440" s="232"/>
      <c r="W440" s="232"/>
      <c r="X440" s="232"/>
      <c r="Y440" s="232"/>
      <c r="Z440" s="232"/>
      <c r="AA440" s="232"/>
      <c r="AB440" s="232"/>
      <c r="AC440" s="232"/>
      <c r="AD440" s="232"/>
      <c r="AE440" s="232"/>
      <c r="AF440" s="232"/>
      <c r="AG440" s="232"/>
      <c r="AH440" s="232"/>
      <c r="AI440" s="232"/>
      <c r="AJ440" s="232"/>
      <c r="AK440" s="232"/>
      <c r="AL440" s="232"/>
      <c r="AM440" s="232"/>
      <c r="AN440" s="232"/>
      <c r="AO440" s="232"/>
      <c r="AP440" s="232"/>
      <c r="AQ440" s="232"/>
      <c r="AR440" s="232"/>
      <c r="AS440" s="232"/>
      <c r="AT440" s="232"/>
      <c r="AU440" s="232"/>
      <c r="AV440" s="232"/>
      <c r="AW440" s="232"/>
    </row>
    <row r="441" spans="1:49">
      <c r="A441" s="232"/>
      <c r="B441" s="232"/>
      <c r="C441" s="232"/>
      <c r="D441" s="232"/>
      <c r="E441" s="232"/>
      <c r="F441" s="232"/>
      <c r="G441" s="232"/>
      <c r="H441" s="232"/>
      <c r="I441" s="232"/>
      <c r="J441" s="232"/>
      <c r="K441" s="232"/>
      <c r="L441" s="232"/>
      <c r="M441" s="232"/>
      <c r="N441" s="232"/>
      <c r="O441" s="232"/>
      <c r="P441" s="232"/>
      <c r="Q441" s="232"/>
      <c r="R441" s="232"/>
      <c r="S441" s="232"/>
      <c r="T441" s="232"/>
      <c r="U441" s="232"/>
      <c r="V441" s="232"/>
      <c r="W441" s="232"/>
      <c r="X441" s="232"/>
      <c r="Y441" s="232"/>
      <c r="Z441" s="232"/>
      <c r="AA441" s="232"/>
      <c r="AB441" s="232"/>
      <c r="AC441" s="232"/>
      <c r="AD441" s="232"/>
      <c r="AE441" s="232"/>
      <c r="AF441" s="232"/>
      <c r="AG441" s="232"/>
      <c r="AH441" s="232"/>
      <c r="AI441" s="232"/>
      <c r="AJ441" s="232"/>
      <c r="AK441" s="232"/>
      <c r="AL441" s="232"/>
      <c r="AM441" s="232"/>
      <c r="AN441" s="232"/>
      <c r="AO441" s="232"/>
      <c r="AP441" s="232"/>
      <c r="AQ441" s="232"/>
      <c r="AR441" s="232"/>
      <c r="AS441" s="232"/>
      <c r="AT441" s="232"/>
      <c r="AU441" s="232"/>
      <c r="AV441" s="232"/>
      <c r="AW441" s="232"/>
    </row>
    <row r="442" spans="1:49">
      <c r="A442" s="232"/>
      <c r="B442" s="232"/>
      <c r="C442" s="232"/>
      <c r="D442" s="232"/>
      <c r="E442" s="232"/>
      <c r="F442" s="232"/>
      <c r="G442" s="232"/>
      <c r="H442" s="232"/>
      <c r="I442" s="232"/>
      <c r="J442" s="232"/>
      <c r="K442" s="232"/>
      <c r="L442" s="232"/>
      <c r="M442" s="232"/>
      <c r="N442" s="232"/>
      <c r="O442" s="232"/>
      <c r="P442" s="232"/>
      <c r="Q442" s="232"/>
      <c r="R442" s="232"/>
      <c r="S442" s="232"/>
      <c r="T442" s="232"/>
      <c r="U442" s="232"/>
      <c r="V442" s="232"/>
      <c r="W442" s="232"/>
      <c r="X442" s="232"/>
      <c r="Y442" s="232"/>
      <c r="Z442" s="232"/>
      <c r="AA442" s="232"/>
      <c r="AB442" s="232"/>
      <c r="AC442" s="232"/>
      <c r="AD442" s="232"/>
      <c r="AE442" s="232"/>
      <c r="AF442" s="232"/>
      <c r="AG442" s="232"/>
      <c r="AH442" s="232"/>
      <c r="AI442" s="232"/>
      <c r="AJ442" s="232"/>
      <c r="AK442" s="232"/>
      <c r="AL442" s="232"/>
      <c r="AM442" s="232"/>
      <c r="AN442" s="232"/>
      <c r="AO442" s="232"/>
      <c r="AP442" s="232"/>
      <c r="AQ442" s="232"/>
      <c r="AR442" s="232"/>
      <c r="AS442" s="232"/>
      <c r="AT442" s="232"/>
      <c r="AU442" s="232"/>
      <c r="AV442" s="232"/>
      <c r="AW442" s="232"/>
    </row>
    <row r="443" spans="1:49">
      <c r="A443" s="232"/>
      <c r="B443" s="232"/>
      <c r="C443" s="232"/>
      <c r="D443" s="232"/>
      <c r="E443" s="232"/>
      <c r="F443" s="232"/>
      <c r="G443" s="232"/>
      <c r="H443" s="232"/>
      <c r="I443" s="232"/>
      <c r="J443" s="232"/>
      <c r="K443" s="232"/>
      <c r="L443" s="232"/>
      <c r="M443" s="232"/>
      <c r="N443" s="232"/>
      <c r="O443" s="232"/>
      <c r="P443" s="232"/>
      <c r="Q443" s="232"/>
      <c r="R443" s="232"/>
      <c r="S443" s="232"/>
      <c r="T443" s="232"/>
      <c r="U443" s="232"/>
      <c r="V443" s="232"/>
      <c r="W443" s="232"/>
      <c r="X443" s="232"/>
      <c r="Y443" s="232"/>
      <c r="Z443" s="232"/>
      <c r="AA443" s="232"/>
      <c r="AB443" s="232"/>
      <c r="AC443" s="232"/>
      <c r="AD443" s="232"/>
      <c r="AE443" s="232"/>
      <c r="AF443" s="232"/>
      <c r="AG443" s="232"/>
      <c r="AH443" s="232"/>
      <c r="AI443" s="232"/>
      <c r="AJ443" s="232"/>
      <c r="AK443" s="232"/>
      <c r="AL443" s="232"/>
      <c r="AM443" s="232"/>
      <c r="AN443" s="232"/>
      <c r="AO443" s="232"/>
      <c r="AP443" s="232"/>
      <c r="AQ443" s="232"/>
      <c r="AR443" s="232"/>
      <c r="AS443" s="232"/>
      <c r="AT443" s="232"/>
      <c r="AU443" s="232"/>
      <c r="AV443" s="232"/>
      <c r="AW443" s="232"/>
    </row>
    <row r="444" spans="1:49">
      <c r="A444" s="232"/>
      <c r="B444" s="232"/>
      <c r="C444" s="232"/>
      <c r="D444" s="232"/>
      <c r="E444" s="232"/>
      <c r="F444" s="232"/>
      <c r="G444" s="232"/>
      <c r="H444" s="232"/>
      <c r="I444" s="232"/>
      <c r="J444" s="232"/>
      <c r="K444" s="232"/>
      <c r="L444" s="232"/>
      <c r="M444" s="232"/>
      <c r="N444" s="232"/>
      <c r="O444" s="232"/>
      <c r="P444" s="232"/>
      <c r="Q444" s="232"/>
      <c r="R444" s="232"/>
      <c r="S444" s="232"/>
      <c r="T444" s="232"/>
      <c r="U444" s="232"/>
      <c r="V444" s="232"/>
      <c r="W444" s="232"/>
      <c r="X444" s="232"/>
      <c r="Y444" s="232"/>
      <c r="Z444" s="232"/>
      <c r="AA444" s="232"/>
      <c r="AB444" s="232"/>
      <c r="AC444" s="232"/>
      <c r="AD444" s="232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232"/>
      <c r="AV444" s="232"/>
      <c r="AW444" s="232"/>
    </row>
    <row r="445" spans="1:49">
      <c r="A445" s="232"/>
      <c r="B445" s="232"/>
      <c r="C445" s="232"/>
      <c r="D445" s="232"/>
      <c r="E445" s="232"/>
      <c r="F445" s="232"/>
      <c r="G445" s="232"/>
      <c r="H445" s="232"/>
      <c r="I445" s="232"/>
      <c r="J445" s="232"/>
      <c r="K445" s="232"/>
      <c r="L445" s="232"/>
      <c r="M445" s="232"/>
      <c r="N445" s="232"/>
      <c r="O445" s="232"/>
      <c r="P445" s="232"/>
      <c r="Q445" s="232"/>
      <c r="R445" s="232"/>
      <c r="S445" s="232"/>
      <c r="T445" s="232"/>
      <c r="U445" s="232"/>
      <c r="V445" s="232"/>
      <c r="W445" s="232"/>
      <c r="X445" s="232"/>
      <c r="Y445" s="232"/>
      <c r="Z445" s="232"/>
      <c r="AA445" s="232"/>
      <c r="AB445" s="232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232"/>
      <c r="AV445" s="232"/>
      <c r="AW445" s="232"/>
    </row>
    <row r="446" spans="1:49">
      <c r="A446" s="232"/>
      <c r="B446" s="232"/>
      <c r="C446" s="232"/>
      <c r="D446" s="232"/>
      <c r="E446" s="232"/>
      <c r="F446" s="232"/>
      <c r="G446" s="232"/>
      <c r="H446" s="232"/>
      <c r="I446" s="232"/>
      <c r="J446" s="232"/>
      <c r="K446" s="232"/>
      <c r="L446" s="232"/>
      <c r="M446" s="232"/>
      <c r="N446" s="232"/>
      <c r="O446" s="232"/>
      <c r="P446" s="232"/>
      <c r="Q446" s="232"/>
      <c r="R446" s="232"/>
      <c r="S446" s="232"/>
      <c r="T446" s="232"/>
      <c r="U446" s="232"/>
      <c r="V446" s="232"/>
      <c r="W446" s="232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232"/>
      <c r="AV446" s="232"/>
      <c r="AW446" s="232"/>
    </row>
    <row r="447" spans="1:49">
      <c r="A447" s="232"/>
      <c r="B447" s="232"/>
      <c r="C447" s="232"/>
      <c r="D447" s="232"/>
      <c r="E447" s="232"/>
      <c r="F447" s="232"/>
      <c r="G447" s="232"/>
      <c r="H447" s="232"/>
      <c r="I447" s="232"/>
      <c r="J447" s="232"/>
      <c r="K447" s="232"/>
      <c r="L447" s="232"/>
      <c r="M447" s="232"/>
      <c r="N447" s="232"/>
      <c r="O447" s="232"/>
      <c r="P447" s="232"/>
      <c r="Q447" s="232"/>
      <c r="R447" s="232"/>
      <c r="S447" s="232"/>
      <c r="T447" s="232"/>
      <c r="U447" s="232"/>
      <c r="V447" s="232"/>
      <c r="W447" s="232"/>
      <c r="X447" s="232"/>
      <c r="Y447" s="232"/>
      <c r="Z447" s="232"/>
      <c r="AA447" s="232"/>
      <c r="AB447" s="232"/>
      <c r="AC447" s="232"/>
      <c r="AD447" s="232"/>
      <c r="AE447" s="232"/>
      <c r="AF447" s="232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232"/>
      <c r="AV447" s="232"/>
      <c r="AW447" s="232"/>
    </row>
    <row r="448" spans="1:49">
      <c r="A448" s="232"/>
      <c r="B448" s="232"/>
      <c r="C448" s="232"/>
      <c r="D448" s="232"/>
      <c r="E448" s="232"/>
      <c r="F448" s="232"/>
      <c r="G448" s="232"/>
      <c r="H448" s="232"/>
      <c r="I448" s="232"/>
      <c r="J448" s="232"/>
      <c r="K448" s="232"/>
      <c r="L448" s="232"/>
      <c r="M448" s="232"/>
      <c r="N448" s="232"/>
      <c r="O448" s="232"/>
      <c r="P448" s="232"/>
      <c r="Q448" s="232"/>
      <c r="R448" s="232"/>
      <c r="S448" s="232"/>
      <c r="T448" s="232"/>
      <c r="U448" s="232"/>
      <c r="V448" s="232"/>
      <c r="W448" s="232"/>
      <c r="X448" s="232"/>
      <c r="Y448" s="232"/>
      <c r="Z448" s="232"/>
      <c r="AA448" s="232"/>
      <c r="AB448" s="232"/>
      <c r="AC448" s="232"/>
      <c r="AD448" s="232"/>
      <c r="AE448" s="232"/>
      <c r="AF448" s="232"/>
      <c r="AG448" s="232"/>
      <c r="AH448" s="232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232"/>
      <c r="AV448" s="232"/>
      <c r="AW448" s="232"/>
    </row>
    <row r="449" spans="1:49">
      <c r="A449" s="232"/>
      <c r="B449" s="232"/>
      <c r="C449" s="232"/>
      <c r="D449" s="232"/>
      <c r="E449" s="232"/>
      <c r="F449" s="232"/>
      <c r="G449" s="232"/>
      <c r="H449" s="232"/>
      <c r="I449" s="232"/>
      <c r="J449" s="232"/>
      <c r="K449" s="232"/>
      <c r="L449" s="232"/>
      <c r="M449" s="232"/>
      <c r="N449" s="232"/>
      <c r="O449" s="232"/>
      <c r="P449" s="232"/>
      <c r="Q449" s="232"/>
      <c r="R449" s="232"/>
      <c r="S449" s="232"/>
      <c r="T449" s="232"/>
      <c r="U449" s="232"/>
      <c r="V449" s="232"/>
      <c r="W449" s="232"/>
      <c r="X449" s="232"/>
      <c r="Y449" s="232"/>
      <c r="Z449" s="232"/>
      <c r="AA449" s="232"/>
      <c r="AB449" s="232"/>
      <c r="AC449" s="232"/>
      <c r="AD449" s="232"/>
      <c r="AE449" s="232"/>
      <c r="AF449" s="232"/>
      <c r="AG449" s="232"/>
      <c r="AH449" s="232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2"/>
      <c r="AT449" s="232"/>
      <c r="AU449" s="232"/>
      <c r="AV449" s="232"/>
      <c r="AW449" s="232"/>
    </row>
    <row r="450" spans="1:49">
      <c r="A450" s="232"/>
      <c r="B450" s="232"/>
      <c r="C450" s="232"/>
      <c r="D450" s="232"/>
      <c r="E450" s="232"/>
      <c r="F450" s="232"/>
      <c r="G450" s="232"/>
      <c r="H450" s="232"/>
      <c r="I450" s="232"/>
      <c r="J450" s="232"/>
      <c r="K450" s="232"/>
      <c r="L450" s="232"/>
      <c r="M450" s="232"/>
      <c r="N450" s="232"/>
      <c r="O450" s="232"/>
      <c r="P450" s="232"/>
      <c r="Q450" s="232"/>
      <c r="R450" s="232"/>
      <c r="S450" s="232"/>
      <c r="T450" s="232"/>
      <c r="U450" s="232"/>
      <c r="V450" s="232"/>
      <c r="W450" s="232"/>
      <c r="X450" s="232"/>
      <c r="Y450" s="232"/>
      <c r="Z450" s="232"/>
      <c r="AA450" s="232"/>
      <c r="AB450" s="232"/>
      <c r="AC450" s="232"/>
      <c r="AD450" s="232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32"/>
      <c r="AT450" s="232"/>
      <c r="AU450" s="232"/>
      <c r="AV450" s="232"/>
      <c r="AW450" s="232"/>
    </row>
    <row r="451" spans="1:49">
      <c r="A451" s="232"/>
      <c r="B451" s="232"/>
      <c r="C451" s="232"/>
      <c r="D451" s="232"/>
      <c r="E451" s="232"/>
      <c r="F451" s="232"/>
      <c r="G451" s="232"/>
      <c r="H451" s="232"/>
      <c r="I451" s="232"/>
      <c r="J451" s="232"/>
      <c r="K451" s="232"/>
      <c r="L451" s="232"/>
      <c r="M451" s="232"/>
      <c r="N451" s="2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32"/>
      <c r="AT451" s="232"/>
      <c r="AU451" s="232"/>
      <c r="AV451" s="232"/>
      <c r="AW451" s="232"/>
    </row>
    <row r="452" spans="1:49">
      <c r="A452" s="232"/>
      <c r="B452" s="232"/>
      <c r="C452" s="232"/>
      <c r="D452" s="232"/>
      <c r="E452" s="232"/>
      <c r="F452" s="232"/>
      <c r="G452" s="232"/>
      <c r="H452" s="232"/>
      <c r="I452" s="232"/>
      <c r="J452" s="232"/>
      <c r="K452" s="232"/>
      <c r="L452" s="232"/>
      <c r="M452" s="232"/>
      <c r="N452" s="2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32"/>
      <c r="AT452" s="232"/>
      <c r="AU452" s="232"/>
      <c r="AV452" s="232"/>
      <c r="AW452" s="232"/>
    </row>
    <row r="453" spans="1:49">
      <c r="A453" s="232"/>
      <c r="B453" s="232"/>
      <c r="C453" s="232"/>
      <c r="D453" s="232"/>
      <c r="E453" s="232"/>
      <c r="F453" s="232"/>
      <c r="G453" s="232"/>
      <c r="H453" s="232"/>
      <c r="I453" s="232"/>
      <c r="J453" s="232"/>
      <c r="K453" s="232"/>
      <c r="L453" s="232"/>
      <c r="M453" s="232"/>
      <c r="N453" s="2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  <c r="AA453" s="232"/>
      <c r="AB453" s="232"/>
      <c r="AC453" s="232"/>
      <c r="AD453" s="232"/>
      <c r="AE453" s="232"/>
      <c r="AF453" s="232"/>
      <c r="AG453" s="232"/>
      <c r="AH453" s="232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232"/>
      <c r="AT453" s="232"/>
      <c r="AU453" s="232"/>
      <c r="AV453" s="232"/>
      <c r="AW453" s="232"/>
    </row>
    <row r="454" spans="1:49">
      <c r="A454" s="232"/>
      <c r="B454" s="232"/>
      <c r="C454" s="232"/>
      <c r="D454" s="232"/>
      <c r="E454" s="232"/>
      <c r="F454" s="232"/>
      <c r="G454" s="232"/>
      <c r="H454" s="232"/>
      <c r="I454" s="232"/>
      <c r="J454" s="232"/>
      <c r="K454" s="232"/>
      <c r="L454" s="232"/>
      <c r="M454" s="232"/>
      <c r="N454" s="2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  <c r="AA454" s="232"/>
      <c r="AB454" s="232"/>
      <c r="AC454" s="232"/>
      <c r="AD454" s="232"/>
      <c r="AE454" s="232"/>
      <c r="AF454" s="232"/>
      <c r="AG454" s="232"/>
      <c r="AH454" s="232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232"/>
      <c r="AT454" s="232"/>
      <c r="AU454" s="232"/>
      <c r="AV454" s="232"/>
      <c r="AW454" s="232"/>
    </row>
    <row r="455" spans="1:49">
      <c r="A455" s="232"/>
      <c r="B455" s="232"/>
      <c r="C455" s="232"/>
      <c r="D455" s="232"/>
      <c r="E455" s="232"/>
      <c r="F455" s="232"/>
      <c r="G455" s="232"/>
      <c r="H455" s="232"/>
      <c r="I455" s="232"/>
      <c r="J455" s="232"/>
      <c r="K455" s="232"/>
      <c r="L455" s="232"/>
      <c r="M455" s="232"/>
      <c r="N455" s="2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  <c r="AA455" s="232"/>
      <c r="AB455" s="232"/>
      <c r="AC455" s="232"/>
      <c r="AD455" s="232"/>
      <c r="AE455" s="232"/>
      <c r="AF455" s="232"/>
      <c r="AG455" s="232"/>
      <c r="AH455" s="232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232"/>
      <c r="AT455" s="232"/>
      <c r="AU455" s="232"/>
      <c r="AV455" s="232"/>
      <c r="AW455" s="232"/>
    </row>
    <row r="456" spans="1:49">
      <c r="A456" s="232"/>
      <c r="B456" s="232"/>
      <c r="C456" s="232"/>
      <c r="D456" s="232"/>
      <c r="E456" s="232"/>
      <c r="F456" s="232"/>
      <c r="G456" s="232"/>
      <c r="H456" s="232"/>
      <c r="I456" s="232"/>
      <c r="J456" s="232"/>
      <c r="K456" s="232"/>
      <c r="L456" s="232"/>
      <c r="M456" s="232"/>
      <c r="N456" s="2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  <c r="AA456" s="232"/>
      <c r="AB456" s="232"/>
      <c r="AC456" s="232"/>
      <c r="AD456" s="232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32"/>
      <c r="AT456" s="232"/>
      <c r="AU456" s="232"/>
      <c r="AV456" s="232"/>
      <c r="AW456" s="232"/>
    </row>
    <row r="457" spans="1:49">
      <c r="A457" s="232"/>
      <c r="B457" s="232"/>
      <c r="C457" s="232"/>
      <c r="D457" s="232"/>
      <c r="E457" s="232"/>
      <c r="F457" s="232"/>
      <c r="G457" s="232"/>
      <c r="H457" s="232"/>
      <c r="I457" s="232"/>
      <c r="J457" s="232"/>
      <c r="K457" s="232"/>
      <c r="L457" s="232"/>
      <c r="M457" s="232"/>
      <c r="N457" s="2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  <c r="AA457" s="232"/>
      <c r="AB457" s="232"/>
      <c r="AC457" s="232"/>
      <c r="AD457" s="232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32"/>
      <c r="AT457" s="232"/>
      <c r="AU457" s="232"/>
      <c r="AV457" s="232"/>
      <c r="AW457" s="232"/>
    </row>
    <row r="458" spans="1:49">
      <c r="A458" s="232"/>
      <c r="B458" s="232"/>
      <c r="C458" s="232"/>
      <c r="D458" s="232"/>
      <c r="E458" s="232"/>
      <c r="F458" s="232"/>
      <c r="G458" s="232"/>
      <c r="H458" s="232"/>
      <c r="I458" s="232"/>
      <c r="J458" s="232"/>
      <c r="K458" s="232"/>
      <c r="L458" s="232"/>
      <c r="M458" s="232"/>
      <c r="N458" s="2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  <c r="AA458" s="232"/>
      <c r="AB458" s="232"/>
      <c r="AC458" s="232"/>
      <c r="AD458" s="232"/>
      <c r="AE458" s="232"/>
      <c r="AF458" s="232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32"/>
      <c r="AT458" s="232"/>
      <c r="AU458" s="232"/>
      <c r="AV458" s="232"/>
      <c r="AW458" s="232"/>
    </row>
    <row r="459" spans="1:49">
      <c r="A459" s="232"/>
      <c r="B459" s="232"/>
      <c r="C459" s="232"/>
      <c r="D459" s="232"/>
      <c r="E459" s="232"/>
      <c r="F459" s="232"/>
      <c r="G459" s="232"/>
      <c r="H459" s="232"/>
      <c r="I459" s="232"/>
      <c r="J459" s="232"/>
      <c r="K459" s="232"/>
      <c r="L459" s="232"/>
      <c r="M459" s="232"/>
      <c r="N459" s="2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  <c r="AA459" s="232"/>
      <c r="AB459" s="232"/>
      <c r="AC459" s="232"/>
      <c r="AD459" s="232"/>
      <c r="AE459" s="232"/>
      <c r="AF459" s="232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32"/>
      <c r="AT459" s="232"/>
      <c r="AU459" s="232"/>
      <c r="AV459" s="232"/>
      <c r="AW459" s="232"/>
    </row>
    <row r="460" spans="1:49">
      <c r="A460" s="232"/>
      <c r="B460" s="232"/>
      <c r="C460" s="232"/>
      <c r="D460" s="232"/>
      <c r="E460" s="232"/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  <c r="AA460" s="232"/>
      <c r="AB460" s="232"/>
      <c r="AC460" s="232"/>
      <c r="AD460" s="232"/>
      <c r="AE460" s="232"/>
      <c r="AF460" s="232"/>
      <c r="AG460" s="232"/>
      <c r="AH460" s="232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232"/>
      <c r="AV460" s="232"/>
      <c r="AW460" s="232"/>
    </row>
    <row r="461" spans="1:49">
      <c r="A461" s="232"/>
      <c r="B461" s="232"/>
      <c r="C461" s="232"/>
      <c r="D461" s="232"/>
      <c r="E461" s="232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  <c r="AA461" s="232"/>
      <c r="AB461" s="232"/>
      <c r="AC461" s="232"/>
      <c r="AD461" s="232"/>
      <c r="AE461" s="232"/>
      <c r="AF461" s="232"/>
      <c r="AG461" s="232"/>
      <c r="AH461" s="232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32"/>
      <c r="AT461" s="232"/>
      <c r="AU461" s="232"/>
      <c r="AV461" s="232"/>
      <c r="AW461" s="232"/>
    </row>
    <row r="462" spans="1:49">
      <c r="A462" s="232"/>
      <c r="B462" s="232"/>
      <c r="C462" s="232"/>
      <c r="D462" s="232"/>
      <c r="E462" s="232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  <c r="AA462" s="232"/>
      <c r="AB462" s="232"/>
      <c r="AC462" s="232"/>
      <c r="AD462" s="232"/>
      <c r="AE462" s="232"/>
      <c r="AF462" s="232"/>
      <c r="AG462" s="232"/>
      <c r="AH462" s="232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232"/>
      <c r="AV462" s="232"/>
      <c r="AW462" s="232"/>
    </row>
    <row r="463" spans="1:49">
      <c r="A463" s="232"/>
      <c r="B463" s="232"/>
      <c r="C463" s="232"/>
      <c r="D463" s="232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2"/>
      <c r="AD463" s="232"/>
      <c r="AE463" s="232"/>
      <c r="AF463" s="232"/>
      <c r="AG463" s="232"/>
      <c r="AH463" s="232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232"/>
      <c r="AV463" s="232"/>
      <c r="AW463" s="232"/>
    </row>
    <row r="464" spans="1:49">
      <c r="A464" s="232"/>
      <c r="B464" s="232"/>
      <c r="C464" s="232"/>
      <c r="D464" s="232"/>
      <c r="E464" s="232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232"/>
      <c r="AV464" s="232"/>
      <c r="AW464" s="232"/>
    </row>
    <row r="465" spans="1:49">
      <c r="A465" s="232"/>
      <c r="B465" s="232"/>
      <c r="C465" s="232"/>
      <c r="D465" s="232"/>
      <c r="E465" s="232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</row>
    <row r="466" spans="1:49">
      <c r="A466" s="232"/>
      <c r="B466" s="232"/>
      <c r="C466" s="232"/>
      <c r="D466" s="232"/>
      <c r="E466" s="232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232"/>
      <c r="AV466" s="232"/>
      <c r="AW466" s="232"/>
    </row>
    <row r="467" spans="1:49">
      <c r="A467" s="232"/>
      <c r="B467" s="232"/>
      <c r="C467" s="232"/>
      <c r="D467" s="232"/>
      <c r="E467" s="232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232"/>
      <c r="AV467" s="232"/>
      <c r="AW467" s="232"/>
    </row>
    <row r="468" spans="1:49">
      <c r="A468" s="232"/>
      <c r="B468" s="232"/>
      <c r="C468" s="232"/>
      <c r="D468" s="232"/>
      <c r="E468" s="232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232"/>
      <c r="AV468" s="232"/>
      <c r="AW468" s="232"/>
    </row>
    <row r="469" spans="1:49">
      <c r="A469" s="232"/>
      <c r="B469" s="232"/>
      <c r="C469" s="232"/>
      <c r="D469" s="232"/>
      <c r="E469" s="232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</row>
    <row r="470" spans="1:49">
      <c r="A470" s="232"/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</row>
    <row r="471" spans="1:49">
      <c r="A471" s="232"/>
      <c r="B471" s="232"/>
      <c r="C471" s="232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  <c r="AE471" s="232"/>
      <c r="AF471" s="232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232"/>
      <c r="AV471" s="232"/>
      <c r="AW471" s="232"/>
    </row>
    <row r="472" spans="1:49">
      <c r="A472" s="232"/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232"/>
      <c r="AV472" s="232"/>
      <c r="AW472" s="232"/>
    </row>
    <row r="473" spans="1:49">
      <c r="A473" s="232"/>
      <c r="B473" s="232"/>
      <c r="C473" s="232"/>
      <c r="D473" s="232"/>
      <c r="E473" s="232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  <c r="AA473" s="232"/>
      <c r="AB473" s="232"/>
      <c r="AC473" s="232"/>
      <c r="AD473" s="232"/>
      <c r="AE473" s="232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232"/>
      <c r="AV473" s="232"/>
      <c r="AW473" s="232"/>
    </row>
    <row r="474" spans="1:49">
      <c r="A474" s="232"/>
      <c r="B474" s="232"/>
      <c r="C474" s="232"/>
      <c r="D474" s="232"/>
      <c r="E474" s="232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  <c r="P474" s="232"/>
      <c r="Q474" s="232"/>
      <c r="R474" s="232"/>
      <c r="S474" s="232"/>
      <c r="T474" s="232"/>
      <c r="U474" s="232"/>
      <c r="V474" s="232"/>
      <c r="W474" s="232"/>
      <c r="X474" s="232"/>
      <c r="Y474" s="232"/>
      <c r="Z474" s="232"/>
      <c r="AA474" s="232"/>
      <c r="AB474" s="232"/>
      <c r="AC474" s="232"/>
      <c r="AD474" s="232"/>
      <c r="AE474" s="232"/>
      <c r="AF474" s="232"/>
      <c r="AG474" s="232"/>
      <c r="AH474" s="232"/>
      <c r="AI474" s="232"/>
      <c r="AJ474" s="232"/>
      <c r="AK474" s="232"/>
      <c r="AL474" s="232"/>
      <c r="AM474" s="232"/>
      <c r="AN474" s="232"/>
      <c r="AO474" s="232"/>
      <c r="AP474" s="232"/>
      <c r="AQ474" s="232"/>
      <c r="AR474" s="232"/>
      <c r="AS474" s="232"/>
      <c r="AT474" s="232"/>
      <c r="AU474" s="232"/>
      <c r="AV474" s="232"/>
      <c r="AW474" s="232"/>
    </row>
    <row r="475" spans="1:49">
      <c r="A475" s="232"/>
      <c r="B475" s="232"/>
      <c r="C475" s="232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  <c r="Y475" s="232"/>
      <c r="Z475" s="232"/>
      <c r="AA475" s="232"/>
      <c r="AB475" s="232"/>
      <c r="AC475" s="232"/>
      <c r="AD475" s="232"/>
      <c r="AE475" s="232"/>
      <c r="AF475" s="232"/>
      <c r="AG475" s="232"/>
      <c r="AH475" s="232"/>
      <c r="AI475" s="232"/>
      <c r="AJ475" s="232"/>
      <c r="AK475" s="232"/>
      <c r="AL475" s="232"/>
      <c r="AM475" s="232"/>
      <c r="AN475" s="232"/>
      <c r="AO475" s="232"/>
      <c r="AP475" s="232"/>
      <c r="AQ475" s="232"/>
      <c r="AR475" s="232"/>
      <c r="AS475" s="232"/>
      <c r="AT475" s="232"/>
      <c r="AU475" s="232"/>
      <c r="AV475" s="232"/>
      <c r="AW475" s="232"/>
    </row>
    <row r="476" spans="1:49">
      <c r="A476" s="232"/>
      <c r="B476" s="232"/>
      <c r="C476" s="232"/>
      <c r="D476" s="232"/>
      <c r="E476" s="232"/>
      <c r="F476" s="232"/>
      <c r="G476" s="232"/>
      <c r="H476" s="232"/>
      <c r="I476" s="232"/>
      <c r="J476" s="232"/>
      <c r="K476" s="232"/>
      <c r="L476" s="232"/>
      <c r="M476" s="232"/>
      <c r="N476" s="232"/>
      <c r="O476" s="232"/>
      <c r="P476" s="232"/>
      <c r="Q476" s="232"/>
      <c r="R476" s="232"/>
      <c r="S476" s="232"/>
      <c r="T476" s="232"/>
      <c r="U476" s="232"/>
      <c r="V476" s="232"/>
      <c r="W476" s="232"/>
      <c r="X476" s="232"/>
      <c r="Y476" s="232"/>
      <c r="Z476" s="232"/>
      <c r="AA476" s="232"/>
      <c r="AB476" s="232"/>
      <c r="AC476" s="232"/>
      <c r="AD476" s="232"/>
      <c r="AE476" s="232"/>
      <c r="AF476" s="232"/>
      <c r="AG476" s="232"/>
      <c r="AH476" s="232"/>
      <c r="AI476" s="232"/>
      <c r="AJ476" s="232"/>
      <c r="AK476" s="232"/>
      <c r="AL476" s="232"/>
      <c r="AM476" s="232"/>
      <c r="AN476" s="232"/>
      <c r="AO476" s="232"/>
      <c r="AP476" s="232"/>
      <c r="AQ476" s="232"/>
      <c r="AR476" s="232"/>
      <c r="AS476" s="232"/>
      <c r="AT476" s="232"/>
      <c r="AU476" s="232"/>
      <c r="AV476" s="232"/>
      <c r="AW476" s="232"/>
    </row>
    <row r="477" spans="1:49">
      <c r="A477" s="232"/>
      <c r="B477" s="232"/>
      <c r="C477" s="232"/>
      <c r="D477" s="232"/>
      <c r="E477" s="232"/>
      <c r="F477" s="232"/>
      <c r="G477" s="232"/>
      <c r="H477" s="232"/>
      <c r="I477" s="232"/>
      <c r="J477" s="232"/>
      <c r="K477" s="232"/>
      <c r="L477" s="232"/>
      <c r="M477" s="232"/>
      <c r="N477" s="232"/>
      <c r="O477" s="232"/>
      <c r="P477" s="232"/>
      <c r="Q477" s="232"/>
      <c r="R477" s="232"/>
      <c r="S477" s="232"/>
      <c r="T477" s="232"/>
      <c r="U477" s="232"/>
      <c r="V477" s="232"/>
      <c r="W477" s="232"/>
      <c r="X477" s="232"/>
      <c r="Y477" s="232"/>
      <c r="Z477" s="232"/>
      <c r="AA477" s="232"/>
      <c r="AB477" s="232"/>
      <c r="AC477" s="232"/>
      <c r="AD477" s="232"/>
      <c r="AE477" s="232"/>
      <c r="AF477" s="232"/>
      <c r="AG477" s="232"/>
      <c r="AH477" s="232"/>
      <c r="AI477" s="232"/>
      <c r="AJ477" s="232"/>
      <c r="AK477" s="232"/>
      <c r="AL477" s="232"/>
      <c r="AM477" s="232"/>
      <c r="AN477" s="232"/>
      <c r="AO477" s="232"/>
      <c r="AP477" s="232"/>
      <c r="AQ477" s="232"/>
      <c r="AR477" s="232"/>
      <c r="AS477" s="232"/>
      <c r="AT477" s="232"/>
      <c r="AU477" s="232"/>
      <c r="AV477" s="232"/>
      <c r="AW477" s="232"/>
    </row>
    <row r="478" spans="1:49">
      <c r="A478" s="232"/>
      <c r="B478" s="232"/>
      <c r="C478" s="232"/>
      <c r="D478" s="232"/>
      <c r="E478" s="232"/>
      <c r="F478" s="232"/>
      <c r="G478" s="232"/>
      <c r="H478" s="232"/>
      <c r="I478" s="232"/>
      <c r="J478" s="232"/>
      <c r="K478" s="232"/>
      <c r="L478" s="232"/>
      <c r="M478" s="232"/>
      <c r="N478" s="232"/>
      <c r="O478" s="232"/>
      <c r="P478" s="232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  <c r="AA478" s="232"/>
      <c r="AB478" s="232"/>
      <c r="AC478" s="232"/>
      <c r="AD478" s="232"/>
      <c r="AE478" s="232"/>
      <c r="AF478" s="232"/>
      <c r="AG478" s="232"/>
      <c r="AH478" s="232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32"/>
      <c r="AT478" s="232"/>
      <c r="AU478" s="232"/>
      <c r="AV478" s="232"/>
      <c r="AW478" s="232"/>
    </row>
    <row r="479" spans="1:49">
      <c r="A479" s="232"/>
      <c r="B479" s="232"/>
      <c r="C479" s="232"/>
      <c r="D479" s="232"/>
      <c r="E479" s="232"/>
      <c r="F479" s="232"/>
      <c r="G479" s="232"/>
      <c r="H479" s="232"/>
      <c r="I479" s="232"/>
      <c r="J479" s="232"/>
      <c r="K479" s="232"/>
      <c r="L479" s="232"/>
      <c r="M479" s="232"/>
      <c r="N479" s="232"/>
      <c r="O479" s="232"/>
      <c r="P479" s="232"/>
      <c r="Q479" s="232"/>
      <c r="R479" s="232"/>
      <c r="S479" s="232"/>
      <c r="T479" s="232"/>
      <c r="U479" s="232"/>
      <c r="V479" s="232"/>
      <c r="W479" s="232"/>
      <c r="X479" s="232"/>
      <c r="Y479" s="232"/>
      <c r="Z479" s="232"/>
      <c r="AA479" s="232"/>
      <c r="AB479" s="232"/>
      <c r="AC479" s="232"/>
      <c r="AD479" s="232"/>
      <c r="AE479" s="232"/>
      <c r="AF479" s="232"/>
      <c r="AG479" s="232"/>
      <c r="AH479" s="232"/>
      <c r="AI479" s="232"/>
      <c r="AJ479" s="232"/>
      <c r="AK479" s="232"/>
      <c r="AL479" s="232"/>
      <c r="AM479" s="232"/>
      <c r="AN479" s="232"/>
      <c r="AO479" s="232"/>
      <c r="AP479" s="232"/>
      <c r="AQ479" s="232"/>
      <c r="AR479" s="232"/>
      <c r="AS479" s="232"/>
      <c r="AT479" s="232"/>
      <c r="AU479" s="232"/>
      <c r="AV479" s="232"/>
      <c r="AW479" s="232"/>
    </row>
    <row r="480" spans="1:49">
      <c r="A480" s="232"/>
      <c r="B480" s="232"/>
      <c r="C480" s="232"/>
      <c r="D480" s="232"/>
      <c r="E480" s="232"/>
      <c r="F480" s="232"/>
      <c r="G480" s="232"/>
      <c r="H480" s="232"/>
      <c r="I480" s="232"/>
      <c r="J480" s="232"/>
      <c r="K480" s="232"/>
      <c r="L480" s="232"/>
      <c r="M480" s="232"/>
      <c r="N480" s="232"/>
      <c r="O480" s="232"/>
      <c r="P480" s="232"/>
      <c r="Q480" s="232"/>
      <c r="R480" s="232"/>
      <c r="S480" s="232"/>
      <c r="T480" s="232"/>
      <c r="U480" s="232"/>
      <c r="V480" s="232"/>
      <c r="W480" s="232"/>
      <c r="X480" s="232"/>
      <c r="Y480" s="232"/>
      <c r="Z480" s="232"/>
      <c r="AA480" s="232"/>
      <c r="AB480" s="232"/>
      <c r="AC480" s="232"/>
      <c r="AD480" s="232"/>
      <c r="AE480" s="232"/>
      <c r="AF480" s="232"/>
      <c r="AG480" s="232"/>
      <c r="AH480" s="232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32"/>
      <c r="AT480" s="232"/>
      <c r="AU480" s="232"/>
      <c r="AV480" s="232"/>
      <c r="AW480" s="232"/>
    </row>
    <row r="481" spans="1:49">
      <c r="A481" s="232"/>
      <c r="B481" s="232"/>
      <c r="C481" s="232"/>
      <c r="D481" s="232"/>
      <c r="E481" s="232"/>
      <c r="F481" s="232"/>
      <c r="G481" s="232"/>
      <c r="H481" s="232"/>
      <c r="I481" s="232"/>
      <c r="J481" s="232"/>
      <c r="K481" s="232"/>
      <c r="L481" s="232"/>
      <c r="M481" s="232"/>
      <c r="N481" s="232"/>
      <c r="O481" s="232"/>
      <c r="P481" s="232"/>
      <c r="Q481" s="232"/>
      <c r="R481" s="232"/>
      <c r="S481" s="232"/>
      <c r="T481" s="232"/>
      <c r="U481" s="232"/>
      <c r="V481" s="232"/>
      <c r="W481" s="232"/>
      <c r="X481" s="232"/>
      <c r="Y481" s="232"/>
      <c r="Z481" s="232"/>
      <c r="AA481" s="232"/>
      <c r="AB481" s="232"/>
      <c r="AC481" s="232"/>
      <c r="AD481" s="232"/>
      <c r="AE481" s="232"/>
      <c r="AF481" s="232"/>
      <c r="AG481" s="232"/>
      <c r="AH481" s="232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32"/>
      <c r="AT481" s="232"/>
      <c r="AU481" s="232"/>
      <c r="AV481" s="232"/>
      <c r="AW481" s="232"/>
    </row>
    <row r="482" spans="1:49">
      <c r="A482" s="232"/>
      <c r="B482" s="232"/>
      <c r="C482" s="232"/>
      <c r="D482" s="232"/>
      <c r="E482" s="232"/>
      <c r="F482" s="232"/>
      <c r="G482" s="232"/>
      <c r="H482" s="232"/>
      <c r="I482" s="232"/>
      <c r="J482" s="232"/>
      <c r="K482" s="232"/>
      <c r="L482" s="232"/>
      <c r="M482" s="232"/>
      <c r="N482" s="232"/>
      <c r="O482" s="232"/>
      <c r="P482" s="232"/>
      <c r="Q482" s="232"/>
      <c r="R482" s="232"/>
      <c r="S482" s="232"/>
      <c r="T482" s="232"/>
      <c r="U482" s="232"/>
      <c r="V482" s="232"/>
      <c r="W482" s="232"/>
      <c r="X482" s="232"/>
      <c r="Y482" s="232"/>
      <c r="Z482" s="232"/>
      <c r="AA482" s="232"/>
      <c r="AB482" s="232"/>
      <c r="AC482" s="232"/>
      <c r="AD482" s="232"/>
      <c r="AE482" s="232"/>
      <c r="AF482" s="232"/>
      <c r="AG482" s="232"/>
      <c r="AH482" s="232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32"/>
      <c r="AT482" s="232"/>
      <c r="AU482" s="232"/>
      <c r="AV482" s="232"/>
      <c r="AW482" s="232"/>
    </row>
    <row r="483" spans="1:49">
      <c r="A483" s="232"/>
      <c r="B483" s="232"/>
      <c r="C483" s="232"/>
      <c r="D483" s="232"/>
      <c r="E483" s="232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232"/>
      <c r="AV483" s="232"/>
      <c r="AW483" s="232"/>
    </row>
    <row r="484" spans="1:49">
      <c r="A484" s="232"/>
      <c r="B484" s="232"/>
      <c r="C484" s="232"/>
      <c r="D484" s="232"/>
      <c r="E484" s="232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232"/>
      <c r="AV484" s="232"/>
      <c r="AW484" s="232"/>
    </row>
    <row r="485" spans="1:49">
      <c r="A485" s="232"/>
      <c r="B485" s="232"/>
      <c r="C485" s="232"/>
      <c r="D485" s="232"/>
      <c r="E485" s="232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232"/>
      <c r="AV485" s="232"/>
      <c r="AW485" s="232"/>
    </row>
    <row r="486" spans="1:49">
      <c r="A486" s="232"/>
      <c r="B486" s="232"/>
      <c r="C486" s="232"/>
      <c r="D486" s="232"/>
      <c r="E486" s="232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232"/>
      <c r="AV486" s="232"/>
      <c r="AW486" s="232"/>
    </row>
    <row r="487" spans="1:49">
      <c r="A487" s="232"/>
      <c r="B487" s="232"/>
      <c r="C487" s="232"/>
      <c r="D487" s="232"/>
      <c r="E487" s="232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232"/>
      <c r="AV487" s="232"/>
      <c r="AW487" s="232"/>
    </row>
    <row r="488" spans="1:49">
      <c r="A488" s="232"/>
      <c r="B488" s="232"/>
      <c r="C488" s="232"/>
      <c r="D488" s="232"/>
      <c r="E488" s="232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232"/>
      <c r="AV488" s="232"/>
      <c r="AW488" s="232"/>
    </row>
    <row r="489" spans="1:49">
      <c r="A489" s="232"/>
      <c r="B489" s="232"/>
      <c r="C489" s="232"/>
      <c r="D489" s="232"/>
      <c r="E489" s="232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32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32"/>
      <c r="AT489" s="232"/>
      <c r="AU489" s="232"/>
      <c r="AV489" s="232"/>
      <c r="AW489" s="232"/>
    </row>
    <row r="490" spans="1:49">
      <c r="A490" s="232"/>
      <c r="B490" s="232"/>
      <c r="C490" s="232"/>
      <c r="D490" s="232"/>
      <c r="E490" s="232"/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  <c r="AA490" s="232"/>
      <c r="AB490" s="232"/>
      <c r="AC490" s="232"/>
      <c r="AD490" s="232"/>
      <c r="AE490" s="232"/>
      <c r="AF490" s="232"/>
      <c r="AG490" s="232"/>
      <c r="AH490" s="232"/>
      <c r="AI490" s="232"/>
      <c r="AJ490" s="232"/>
      <c r="AK490" s="232"/>
      <c r="AL490" s="232"/>
      <c r="AM490" s="232"/>
      <c r="AN490" s="232"/>
      <c r="AO490" s="232"/>
      <c r="AP490" s="232"/>
      <c r="AQ490" s="232"/>
      <c r="AR490" s="232"/>
      <c r="AS490" s="232"/>
      <c r="AT490" s="232"/>
      <c r="AU490" s="232"/>
      <c r="AV490" s="232"/>
      <c r="AW490" s="232"/>
    </row>
    <row r="491" spans="1:49">
      <c r="A491" s="232"/>
      <c r="B491" s="232"/>
      <c r="C491" s="232"/>
      <c r="D491" s="232"/>
      <c r="E491" s="232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  <c r="AA491" s="232"/>
      <c r="AB491" s="232"/>
      <c r="AC491" s="232"/>
      <c r="AD491" s="232"/>
      <c r="AE491" s="232"/>
      <c r="AF491" s="232"/>
      <c r="AG491" s="232"/>
      <c r="AH491" s="232"/>
      <c r="AI491" s="232"/>
      <c r="AJ491" s="232"/>
      <c r="AK491" s="232"/>
      <c r="AL491" s="232"/>
      <c r="AM491" s="232"/>
      <c r="AN491" s="232"/>
      <c r="AO491" s="232"/>
      <c r="AP491" s="232"/>
      <c r="AQ491" s="232"/>
      <c r="AR491" s="232"/>
      <c r="AS491" s="232"/>
      <c r="AT491" s="232"/>
      <c r="AU491" s="232"/>
      <c r="AV491" s="232"/>
      <c r="AW491" s="232"/>
    </row>
    <row r="492" spans="1:49">
      <c r="A492" s="232"/>
      <c r="B492" s="232"/>
      <c r="C492" s="232"/>
      <c r="D492" s="232"/>
      <c r="E492" s="232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  <c r="AA492" s="232"/>
      <c r="AB492" s="232"/>
      <c r="AC492" s="232"/>
      <c r="AD492" s="232"/>
      <c r="AE492" s="232"/>
      <c r="AF492" s="232"/>
      <c r="AG492" s="232"/>
      <c r="AH492" s="232"/>
      <c r="AI492" s="232"/>
      <c r="AJ492" s="232"/>
      <c r="AK492" s="232"/>
      <c r="AL492" s="232"/>
      <c r="AM492" s="232"/>
      <c r="AN492" s="232"/>
      <c r="AO492" s="232"/>
      <c r="AP492" s="232"/>
      <c r="AQ492" s="232"/>
      <c r="AR492" s="232"/>
      <c r="AS492" s="232"/>
      <c r="AT492" s="232"/>
      <c r="AU492" s="232"/>
      <c r="AV492" s="232"/>
      <c r="AW492" s="232"/>
    </row>
    <row r="493" spans="1:49">
      <c r="A493" s="232"/>
      <c r="B493" s="232"/>
      <c r="C493" s="232"/>
      <c r="D493" s="232"/>
      <c r="E493" s="232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  <c r="AA493" s="232"/>
      <c r="AB493" s="232"/>
      <c r="AC493" s="232"/>
      <c r="AD493" s="232"/>
      <c r="AE493" s="232"/>
      <c r="AF493" s="232"/>
      <c r="AG493" s="232"/>
      <c r="AH493" s="232"/>
      <c r="AI493" s="232"/>
      <c r="AJ493" s="232"/>
      <c r="AK493" s="232"/>
      <c r="AL493" s="232"/>
      <c r="AM493" s="232"/>
      <c r="AN493" s="232"/>
      <c r="AO493" s="232"/>
      <c r="AP493" s="232"/>
      <c r="AQ493" s="232"/>
      <c r="AR493" s="232"/>
      <c r="AS493" s="232"/>
      <c r="AT493" s="232"/>
      <c r="AU493" s="232"/>
      <c r="AV493" s="232"/>
      <c r="AW493" s="232"/>
    </row>
    <row r="494" spans="1:49">
      <c r="A494" s="232"/>
      <c r="B494" s="232"/>
      <c r="C494" s="232"/>
      <c r="D494" s="232"/>
      <c r="E494" s="232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  <c r="AA494" s="232"/>
      <c r="AB494" s="232"/>
      <c r="AC494" s="232"/>
      <c r="AD494" s="232"/>
      <c r="AE494" s="232"/>
      <c r="AF494" s="232"/>
      <c r="AG494" s="232"/>
      <c r="AH494" s="232"/>
      <c r="AI494" s="232"/>
      <c r="AJ494" s="232"/>
      <c r="AK494" s="232"/>
      <c r="AL494" s="232"/>
      <c r="AM494" s="232"/>
      <c r="AN494" s="232"/>
      <c r="AO494" s="232"/>
      <c r="AP494" s="232"/>
      <c r="AQ494" s="232"/>
      <c r="AR494" s="232"/>
      <c r="AS494" s="232"/>
      <c r="AT494" s="232"/>
      <c r="AU494" s="232"/>
      <c r="AV494" s="232"/>
      <c r="AW494" s="232"/>
    </row>
    <row r="495" spans="1:49">
      <c r="A495" s="232"/>
      <c r="B495" s="232"/>
      <c r="C495" s="232"/>
      <c r="D495" s="232"/>
      <c r="E495" s="232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  <c r="AA495" s="232"/>
      <c r="AB495" s="232"/>
      <c r="AC495" s="232"/>
      <c r="AD495" s="232"/>
      <c r="AE495" s="232"/>
      <c r="AF495" s="232"/>
      <c r="AG495" s="232"/>
      <c r="AH495" s="232"/>
      <c r="AI495" s="232"/>
      <c r="AJ495" s="232"/>
      <c r="AK495" s="232"/>
      <c r="AL495" s="232"/>
      <c r="AM495" s="232"/>
      <c r="AN495" s="232"/>
      <c r="AO495" s="232"/>
      <c r="AP495" s="232"/>
      <c r="AQ495" s="232"/>
      <c r="AR495" s="232"/>
      <c r="AS495" s="232"/>
      <c r="AT495" s="232"/>
      <c r="AU495" s="232"/>
      <c r="AV495" s="232"/>
      <c r="AW495" s="232"/>
    </row>
    <row r="496" spans="1:49">
      <c r="A496" s="232"/>
      <c r="B496" s="232"/>
      <c r="C496" s="232"/>
      <c r="D496" s="232"/>
      <c r="E496" s="232"/>
      <c r="F496" s="232"/>
      <c r="G496" s="232"/>
      <c r="H496" s="232"/>
      <c r="I496" s="232"/>
      <c r="J496" s="232"/>
      <c r="K496" s="232"/>
      <c r="L496" s="232"/>
      <c r="M496" s="232"/>
      <c r="N496" s="232"/>
      <c r="O496" s="232"/>
      <c r="P496" s="232"/>
      <c r="Q496" s="232"/>
      <c r="R496" s="232"/>
      <c r="S496" s="232"/>
      <c r="T496" s="232"/>
      <c r="U496" s="232"/>
      <c r="V496" s="232"/>
      <c r="W496" s="232"/>
      <c r="X496" s="232"/>
      <c r="Y496" s="232"/>
      <c r="Z496" s="232"/>
      <c r="AA496" s="232"/>
      <c r="AB496" s="232"/>
      <c r="AC496" s="232"/>
      <c r="AD496" s="232"/>
      <c r="AE496" s="232"/>
      <c r="AF496" s="232"/>
      <c r="AG496" s="232"/>
      <c r="AH496" s="232"/>
      <c r="AI496" s="232"/>
      <c r="AJ496" s="232"/>
      <c r="AK496" s="232"/>
      <c r="AL496" s="232"/>
      <c r="AM496" s="232"/>
      <c r="AN496" s="232"/>
      <c r="AO496" s="232"/>
      <c r="AP496" s="232"/>
      <c r="AQ496" s="232"/>
      <c r="AR496" s="232"/>
      <c r="AS496" s="232"/>
      <c r="AT496" s="232"/>
      <c r="AU496" s="232"/>
      <c r="AV496" s="232"/>
      <c r="AW496" s="232"/>
    </row>
    <row r="497" spans="1:49">
      <c r="A497" s="232"/>
      <c r="B497" s="232"/>
      <c r="C497" s="232"/>
      <c r="D497" s="232"/>
      <c r="E497" s="232"/>
      <c r="F497" s="232"/>
      <c r="G497" s="232"/>
      <c r="H497" s="232"/>
      <c r="I497" s="232"/>
      <c r="J497" s="232"/>
      <c r="K497" s="232"/>
      <c r="L497" s="232"/>
      <c r="M497" s="232"/>
      <c r="N497" s="232"/>
      <c r="O497" s="232"/>
      <c r="P497" s="232"/>
      <c r="Q497" s="232"/>
      <c r="R497" s="232"/>
      <c r="S497" s="232"/>
      <c r="T497" s="232"/>
      <c r="U497" s="232"/>
      <c r="V497" s="232"/>
      <c r="W497" s="232"/>
      <c r="X497" s="232"/>
      <c r="Y497" s="232"/>
      <c r="Z497" s="232"/>
      <c r="AA497" s="232"/>
      <c r="AB497" s="232"/>
      <c r="AC497" s="232"/>
      <c r="AD497" s="232"/>
      <c r="AE497" s="232"/>
      <c r="AF497" s="232"/>
      <c r="AG497" s="232"/>
      <c r="AH497" s="232"/>
      <c r="AI497" s="232"/>
      <c r="AJ497" s="232"/>
      <c r="AK497" s="232"/>
      <c r="AL497" s="232"/>
      <c r="AM497" s="232"/>
      <c r="AN497" s="232"/>
      <c r="AO497" s="232"/>
      <c r="AP497" s="232"/>
      <c r="AQ497" s="232"/>
      <c r="AR497" s="232"/>
      <c r="AS497" s="232"/>
      <c r="AT497" s="232"/>
      <c r="AU497" s="232"/>
      <c r="AV497" s="232"/>
      <c r="AW497" s="232"/>
    </row>
    <row r="498" spans="1:49">
      <c r="A498" s="232"/>
      <c r="B498" s="232"/>
      <c r="C498" s="232"/>
      <c r="D498" s="232"/>
      <c r="E498" s="232"/>
      <c r="F498" s="232"/>
      <c r="G498" s="232"/>
      <c r="H498" s="232"/>
      <c r="I498" s="232"/>
      <c r="J498" s="232"/>
      <c r="K498" s="232"/>
      <c r="L498" s="232"/>
      <c r="M498" s="232"/>
      <c r="N498" s="232"/>
      <c r="O498" s="232"/>
      <c r="P498" s="232"/>
      <c r="Q498" s="232"/>
      <c r="R498" s="232"/>
      <c r="S498" s="232"/>
      <c r="T498" s="232"/>
      <c r="U498" s="232"/>
      <c r="V498" s="232"/>
      <c r="W498" s="232"/>
      <c r="X498" s="232"/>
      <c r="Y498" s="232"/>
      <c r="Z498" s="232"/>
      <c r="AA498" s="232"/>
      <c r="AB498" s="232"/>
      <c r="AC498" s="232"/>
      <c r="AD498" s="232"/>
      <c r="AE498" s="232"/>
      <c r="AF498" s="232"/>
      <c r="AG498" s="232"/>
      <c r="AH498" s="232"/>
      <c r="AI498" s="232"/>
      <c r="AJ498" s="232"/>
      <c r="AK498" s="232"/>
      <c r="AL498" s="232"/>
      <c r="AM498" s="232"/>
      <c r="AN498" s="232"/>
      <c r="AO498" s="232"/>
      <c r="AP498" s="232"/>
      <c r="AQ498" s="232"/>
      <c r="AR498" s="232"/>
      <c r="AS498" s="232"/>
      <c r="AT498" s="232"/>
      <c r="AU498" s="232"/>
      <c r="AV498" s="232"/>
      <c r="AW498" s="232"/>
    </row>
    <row r="499" spans="1:49">
      <c r="A499" s="232"/>
      <c r="B499" s="232"/>
      <c r="C499" s="232"/>
      <c r="D499" s="232"/>
      <c r="E499" s="232"/>
      <c r="F499" s="232"/>
      <c r="G499" s="232"/>
      <c r="H499" s="232"/>
      <c r="I499" s="232"/>
      <c r="J499" s="232"/>
      <c r="K499" s="232"/>
      <c r="L499" s="232"/>
      <c r="M499" s="232"/>
      <c r="N499" s="232"/>
      <c r="O499" s="232"/>
      <c r="P499" s="232"/>
      <c r="Q499" s="232"/>
      <c r="R499" s="232"/>
      <c r="S499" s="232"/>
      <c r="T499" s="232"/>
      <c r="U499" s="232"/>
      <c r="V499" s="232"/>
      <c r="W499" s="232"/>
      <c r="X499" s="232"/>
      <c r="Y499" s="232"/>
      <c r="Z499" s="232"/>
      <c r="AA499" s="232"/>
      <c r="AB499" s="232"/>
      <c r="AC499" s="232"/>
      <c r="AD499" s="232"/>
      <c r="AE499" s="232"/>
      <c r="AF499" s="232"/>
      <c r="AG499" s="232"/>
      <c r="AH499" s="232"/>
      <c r="AI499" s="232"/>
      <c r="AJ499" s="232"/>
      <c r="AK499" s="232"/>
      <c r="AL499" s="232"/>
      <c r="AM499" s="232"/>
      <c r="AN499" s="232"/>
      <c r="AO499" s="232"/>
      <c r="AP499" s="232"/>
      <c r="AQ499" s="232"/>
      <c r="AR499" s="232"/>
      <c r="AS499" s="232"/>
      <c r="AT499" s="232"/>
      <c r="AU499" s="232"/>
      <c r="AV499" s="232"/>
      <c r="AW499" s="232"/>
    </row>
    <row r="500" spans="1:49">
      <c r="A500" s="232"/>
      <c r="B500" s="232"/>
      <c r="C500" s="232"/>
      <c r="D500" s="232"/>
      <c r="E500" s="232"/>
      <c r="F500" s="232"/>
      <c r="G500" s="232"/>
      <c r="H500" s="232"/>
      <c r="I500" s="232"/>
      <c r="J500" s="232"/>
      <c r="K500" s="232"/>
      <c r="L500" s="232"/>
      <c r="M500" s="232"/>
      <c r="N500" s="232"/>
      <c r="O500" s="232"/>
      <c r="P500" s="232"/>
      <c r="Q500" s="232"/>
      <c r="R500" s="232"/>
      <c r="S500" s="232"/>
      <c r="T500" s="232"/>
      <c r="U500" s="232"/>
      <c r="V500" s="232"/>
      <c r="W500" s="232"/>
      <c r="X500" s="232"/>
      <c r="Y500" s="232"/>
      <c r="Z500" s="232"/>
      <c r="AA500" s="232"/>
      <c r="AB500" s="232"/>
      <c r="AC500" s="232"/>
      <c r="AD500" s="232"/>
      <c r="AE500" s="232"/>
      <c r="AF500" s="232"/>
      <c r="AG500" s="232"/>
      <c r="AH500" s="232"/>
      <c r="AI500" s="232"/>
      <c r="AJ500" s="232"/>
      <c r="AK500" s="232"/>
      <c r="AL500" s="232"/>
      <c r="AM500" s="232"/>
      <c r="AN500" s="232"/>
      <c r="AO500" s="232"/>
      <c r="AP500" s="232"/>
      <c r="AQ500" s="232"/>
      <c r="AR500" s="232"/>
      <c r="AS500" s="232"/>
      <c r="AT500" s="232"/>
      <c r="AU500" s="232"/>
      <c r="AV500" s="232"/>
      <c r="AW500" s="232"/>
    </row>
    <row r="501" spans="1:49">
      <c r="A501" s="232"/>
      <c r="B501" s="232"/>
      <c r="C501" s="232"/>
      <c r="D501" s="232"/>
      <c r="E501" s="232"/>
      <c r="F501" s="232"/>
      <c r="G501" s="232"/>
      <c r="H501" s="232"/>
      <c r="I501" s="232"/>
      <c r="J501" s="232"/>
      <c r="K501" s="232"/>
      <c r="L501" s="232"/>
      <c r="M501" s="232"/>
      <c r="N501" s="232"/>
      <c r="O501" s="232"/>
      <c r="P501" s="232"/>
      <c r="Q501" s="232"/>
      <c r="R501" s="232"/>
      <c r="S501" s="232"/>
      <c r="T501" s="232"/>
      <c r="U501" s="232"/>
      <c r="V501" s="232"/>
      <c r="W501" s="232"/>
      <c r="X501" s="232"/>
      <c r="Y501" s="232"/>
      <c r="Z501" s="232"/>
      <c r="AA501" s="232"/>
      <c r="AB501" s="232"/>
      <c r="AC501" s="232"/>
      <c r="AD501" s="232"/>
      <c r="AE501" s="232"/>
      <c r="AF501" s="232"/>
      <c r="AG501" s="232"/>
      <c r="AH501" s="232"/>
      <c r="AI501" s="232"/>
      <c r="AJ501" s="232"/>
      <c r="AK501" s="232"/>
      <c r="AL501" s="232"/>
      <c r="AM501" s="232"/>
      <c r="AN501" s="232"/>
      <c r="AO501" s="232"/>
      <c r="AP501" s="232"/>
      <c r="AQ501" s="232"/>
      <c r="AR501" s="232"/>
      <c r="AS501" s="232"/>
      <c r="AT501" s="232"/>
      <c r="AU501" s="232"/>
      <c r="AV501" s="232"/>
      <c r="AW501" s="232"/>
    </row>
    <row r="502" spans="1:49">
      <c r="A502" s="232"/>
      <c r="B502" s="232"/>
      <c r="C502" s="232"/>
      <c r="D502" s="232"/>
      <c r="E502" s="232"/>
      <c r="F502" s="232"/>
      <c r="G502" s="232"/>
      <c r="H502" s="232"/>
      <c r="I502" s="232"/>
      <c r="J502" s="232"/>
      <c r="K502" s="232"/>
      <c r="L502" s="232"/>
      <c r="M502" s="232"/>
      <c r="N502" s="232"/>
      <c r="O502" s="232"/>
      <c r="P502" s="232"/>
      <c r="Q502" s="232"/>
      <c r="R502" s="232"/>
      <c r="S502" s="232"/>
      <c r="T502" s="232"/>
      <c r="U502" s="232"/>
      <c r="V502" s="232"/>
      <c r="W502" s="232"/>
      <c r="X502" s="232"/>
      <c r="Y502" s="232"/>
      <c r="Z502" s="232"/>
      <c r="AA502" s="232"/>
      <c r="AB502" s="232"/>
      <c r="AC502" s="232"/>
      <c r="AD502" s="232"/>
      <c r="AE502" s="232"/>
      <c r="AF502" s="232"/>
      <c r="AG502" s="232"/>
      <c r="AH502" s="232"/>
      <c r="AI502" s="232"/>
      <c r="AJ502" s="232"/>
      <c r="AK502" s="232"/>
      <c r="AL502" s="232"/>
      <c r="AM502" s="232"/>
      <c r="AN502" s="232"/>
      <c r="AO502" s="232"/>
      <c r="AP502" s="232"/>
      <c r="AQ502" s="232"/>
      <c r="AR502" s="232"/>
      <c r="AS502" s="232"/>
      <c r="AT502" s="232"/>
      <c r="AU502" s="232"/>
      <c r="AV502" s="232"/>
      <c r="AW502" s="232"/>
    </row>
    <row r="503" spans="1:49">
      <c r="A503" s="232"/>
      <c r="B503" s="232"/>
      <c r="C503" s="232"/>
      <c r="D503" s="232"/>
      <c r="E503" s="232"/>
      <c r="F503" s="232"/>
      <c r="G503" s="232"/>
      <c r="H503" s="232"/>
      <c r="I503" s="232"/>
      <c r="J503" s="232"/>
      <c r="K503" s="232"/>
      <c r="L503" s="232"/>
      <c r="M503" s="232"/>
      <c r="N503" s="232"/>
      <c r="O503" s="232"/>
      <c r="P503" s="232"/>
      <c r="Q503" s="232"/>
      <c r="R503" s="232"/>
      <c r="S503" s="232"/>
      <c r="T503" s="232"/>
      <c r="U503" s="232"/>
      <c r="V503" s="232"/>
      <c r="W503" s="232"/>
      <c r="X503" s="232"/>
      <c r="Y503" s="232"/>
      <c r="Z503" s="232"/>
      <c r="AA503" s="232"/>
      <c r="AB503" s="232"/>
      <c r="AC503" s="232"/>
      <c r="AD503" s="232"/>
      <c r="AE503" s="232"/>
      <c r="AF503" s="232"/>
      <c r="AG503" s="232"/>
      <c r="AH503" s="232"/>
      <c r="AI503" s="232"/>
      <c r="AJ503" s="232"/>
      <c r="AK503" s="232"/>
      <c r="AL503" s="232"/>
      <c r="AM503" s="232"/>
      <c r="AN503" s="232"/>
      <c r="AO503" s="232"/>
      <c r="AP503" s="232"/>
      <c r="AQ503" s="232"/>
      <c r="AR503" s="232"/>
      <c r="AS503" s="232"/>
      <c r="AT503" s="232"/>
      <c r="AU503" s="232"/>
      <c r="AV503" s="232"/>
      <c r="AW503" s="232"/>
    </row>
    <row r="504" spans="1:49">
      <c r="A504" s="232"/>
      <c r="B504" s="232"/>
      <c r="C504" s="232"/>
      <c r="D504" s="232"/>
      <c r="E504" s="232"/>
      <c r="F504" s="232"/>
      <c r="G504" s="232"/>
      <c r="H504" s="232"/>
      <c r="I504" s="232"/>
      <c r="J504" s="232"/>
      <c r="K504" s="232"/>
      <c r="L504" s="232"/>
      <c r="M504" s="232"/>
      <c r="N504" s="232"/>
      <c r="O504" s="232"/>
      <c r="P504" s="232"/>
      <c r="Q504" s="232"/>
      <c r="R504" s="232"/>
      <c r="S504" s="232"/>
      <c r="T504" s="232"/>
      <c r="U504" s="232"/>
      <c r="V504" s="232"/>
      <c r="W504" s="232"/>
      <c r="X504" s="232"/>
      <c r="Y504" s="232"/>
      <c r="Z504" s="232"/>
      <c r="AA504" s="232"/>
      <c r="AB504" s="232"/>
      <c r="AC504" s="232"/>
      <c r="AD504" s="232"/>
      <c r="AE504" s="232"/>
      <c r="AF504" s="232"/>
      <c r="AG504" s="232"/>
      <c r="AH504" s="232"/>
      <c r="AI504" s="232"/>
      <c r="AJ504" s="232"/>
      <c r="AK504" s="232"/>
      <c r="AL504" s="232"/>
      <c r="AM504" s="232"/>
      <c r="AN504" s="232"/>
      <c r="AO504" s="232"/>
      <c r="AP504" s="232"/>
      <c r="AQ504" s="232"/>
      <c r="AR504" s="232"/>
      <c r="AS504" s="232"/>
      <c r="AT504" s="232"/>
      <c r="AU504" s="232"/>
      <c r="AV504" s="232"/>
      <c r="AW504" s="232"/>
    </row>
    <row r="505" spans="1:49">
      <c r="A505" s="232"/>
      <c r="B505" s="232"/>
      <c r="C505" s="232"/>
      <c r="D505" s="232"/>
      <c r="E505" s="232"/>
      <c r="F505" s="232"/>
      <c r="G505" s="232"/>
      <c r="H505" s="232"/>
      <c r="I505" s="232"/>
      <c r="J505" s="232"/>
      <c r="K505" s="232"/>
      <c r="L505" s="232"/>
      <c r="M505" s="232"/>
      <c r="N505" s="2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32"/>
      <c r="AI505" s="232"/>
      <c r="AJ505" s="232"/>
      <c r="AK505" s="232"/>
      <c r="AL505" s="232"/>
      <c r="AM505" s="232"/>
      <c r="AN505" s="232"/>
      <c r="AO505" s="232"/>
      <c r="AP505" s="232"/>
      <c r="AQ505" s="232"/>
      <c r="AR505" s="232"/>
      <c r="AS505" s="232"/>
      <c r="AT505" s="232"/>
      <c r="AU505" s="232"/>
      <c r="AV505" s="232"/>
      <c r="AW505" s="232"/>
    </row>
    <row r="506" spans="1:49">
      <c r="A506" s="232"/>
      <c r="B506" s="232"/>
      <c r="C506" s="232"/>
      <c r="D506" s="232"/>
      <c r="E506" s="232"/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32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232"/>
      <c r="AT506" s="232"/>
      <c r="AU506" s="232"/>
      <c r="AV506" s="232"/>
      <c r="AW506" s="232"/>
    </row>
    <row r="507" spans="1:49">
      <c r="A507" s="232"/>
      <c r="B507" s="232"/>
      <c r="C507" s="232"/>
      <c r="D507" s="232"/>
      <c r="E507" s="232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32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232"/>
      <c r="AT507" s="232"/>
      <c r="AU507" s="232"/>
      <c r="AV507" s="232"/>
      <c r="AW507" s="232"/>
    </row>
    <row r="508" spans="1:49">
      <c r="A508" s="232"/>
      <c r="B508" s="232"/>
      <c r="C508" s="232"/>
      <c r="D508" s="232"/>
      <c r="E508" s="232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32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232"/>
      <c r="AT508" s="232"/>
      <c r="AU508" s="232"/>
      <c r="AV508" s="232"/>
      <c r="AW508" s="232"/>
    </row>
    <row r="509" spans="1:49">
      <c r="A509" s="232"/>
      <c r="B509" s="232"/>
      <c r="C509" s="232"/>
      <c r="D509" s="232"/>
      <c r="E509" s="232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32"/>
      <c r="AT509" s="232"/>
      <c r="AU509" s="232"/>
      <c r="AV509" s="232"/>
      <c r="AW509" s="232"/>
    </row>
    <row r="510" spans="1:49">
      <c r="A510" s="232"/>
      <c r="B510" s="232"/>
      <c r="C510" s="232"/>
      <c r="D510" s="232"/>
      <c r="E510" s="232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32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232"/>
      <c r="AT510" s="232"/>
      <c r="AU510" s="232"/>
      <c r="AV510" s="232"/>
      <c r="AW510" s="232"/>
    </row>
    <row r="511" spans="1:49">
      <c r="A511" s="232"/>
      <c r="B511" s="232"/>
      <c r="C511" s="232"/>
      <c r="D511" s="232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32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232"/>
      <c r="AT511" s="232"/>
      <c r="AU511" s="232"/>
      <c r="AV511" s="232"/>
      <c r="AW511" s="232"/>
    </row>
    <row r="512" spans="1:49">
      <c r="A512" s="232"/>
      <c r="B512" s="232"/>
      <c r="C512" s="232"/>
      <c r="D512" s="232"/>
      <c r="E512" s="232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32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232"/>
      <c r="AT512" s="232"/>
      <c r="AU512" s="232"/>
      <c r="AV512" s="232"/>
      <c r="AW512" s="232"/>
    </row>
    <row r="513" spans="1:49">
      <c r="A513" s="232"/>
      <c r="B513" s="232"/>
      <c r="C513" s="232"/>
      <c r="D513" s="232"/>
      <c r="E513" s="232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32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232"/>
      <c r="AT513" s="232"/>
      <c r="AU513" s="232"/>
      <c r="AV513" s="232"/>
      <c r="AW513" s="232"/>
    </row>
    <row r="514" spans="1:49">
      <c r="A514" s="232"/>
      <c r="B514" s="232"/>
      <c r="C514" s="232"/>
      <c r="D514" s="232"/>
      <c r="E514" s="232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  <c r="AA514" s="232"/>
      <c r="AB514" s="232"/>
      <c r="AC514" s="232"/>
      <c r="AD514" s="232"/>
      <c r="AE514" s="232"/>
      <c r="AF514" s="232"/>
      <c r="AG514" s="232"/>
      <c r="AH514" s="232"/>
      <c r="AI514" s="232"/>
      <c r="AJ514" s="232"/>
      <c r="AK514" s="232"/>
      <c r="AL514" s="232"/>
      <c r="AM514" s="232"/>
      <c r="AN514" s="232"/>
      <c r="AO514" s="232"/>
      <c r="AP514" s="232"/>
      <c r="AQ514" s="232"/>
      <c r="AR514" s="232"/>
      <c r="AS514" s="232"/>
      <c r="AT514" s="232"/>
      <c r="AU514" s="232"/>
      <c r="AV514" s="232"/>
      <c r="AW514" s="232"/>
    </row>
    <row r="515" spans="1:49">
      <c r="A515" s="232"/>
      <c r="B515" s="232"/>
      <c r="C515" s="232"/>
      <c r="D515" s="232"/>
      <c r="E515" s="232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  <c r="AA515" s="232"/>
      <c r="AB515" s="232"/>
      <c r="AC515" s="232"/>
      <c r="AD515" s="232"/>
      <c r="AE515" s="232"/>
      <c r="AF515" s="232"/>
      <c r="AG515" s="232"/>
      <c r="AH515" s="232"/>
      <c r="AI515" s="232"/>
      <c r="AJ515" s="232"/>
      <c r="AK515" s="232"/>
      <c r="AL515" s="232"/>
      <c r="AM515" s="232"/>
      <c r="AN515" s="232"/>
      <c r="AO515" s="232"/>
      <c r="AP515" s="232"/>
      <c r="AQ515" s="232"/>
      <c r="AR515" s="232"/>
      <c r="AS515" s="232"/>
      <c r="AT515" s="232"/>
      <c r="AU515" s="232"/>
      <c r="AV515" s="232"/>
      <c r="AW515" s="232"/>
    </row>
    <row r="516" spans="1:49">
      <c r="A516" s="232"/>
      <c r="B516" s="232"/>
      <c r="C516" s="232"/>
      <c r="D516" s="232"/>
      <c r="E516" s="232"/>
      <c r="F516" s="232"/>
      <c r="G516" s="232"/>
      <c r="H516" s="232"/>
      <c r="I516" s="232"/>
      <c r="J516" s="232"/>
      <c r="K516" s="232"/>
      <c r="L516" s="232"/>
      <c r="M516" s="232"/>
      <c r="N516" s="232"/>
      <c r="O516" s="232"/>
      <c r="P516" s="232"/>
      <c r="Q516" s="232"/>
      <c r="R516" s="232"/>
      <c r="S516" s="232"/>
      <c r="T516" s="232"/>
      <c r="U516" s="232"/>
      <c r="V516" s="232"/>
      <c r="W516" s="232"/>
      <c r="X516" s="232"/>
      <c r="Y516" s="232"/>
      <c r="Z516" s="232"/>
      <c r="AA516" s="232"/>
      <c r="AB516" s="232"/>
      <c r="AC516" s="232"/>
      <c r="AD516" s="232"/>
      <c r="AE516" s="232"/>
      <c r="AF516" s="232"/>
      <c r="AG516" s="232"/>
      <c r="AH516" s="232"/>
      <c r="AI516" s="232"/>
      <c r="AJ516" s="232"/>
      <c r="AK516" s="232"/>
      <c r="AL516" s="232"/>
      <c r="AM516" s="232"/>
      <c r="AN516" s="232"/>
      <c r="AO516" s="232"/>
      <c r="AP516" s="232"/>
      <c r="AQ516" s="232"/>
      <c r="AR516" s="232"/>
      <c r="AS516" s="232"/>
      <c r="AT516" s="232"/>
      <c r="AU516" s="232"/>
      <c r="AV516" s="232"/>
      <c r="AW516" s="232"/>
    </row>
    <row r="517" spans="1:49">
      <c r="A517" s="232"/>
      <c r="B517" s="232"/>
      <c r="C517" s="232"/>
      <c r="D517" s="232"/>
      <c r="E517" s="232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2"/>
      <c r="R517" s="232"/>
      <c r="S517" s="232"/>
      <c r="T517" s="232"/>
      <c r="U517" s="232"/>
      <c r="V517" s="232"/>
      <c r="W517" s="232"/>
      <c r="X517" s="232"/>
      <c r="Y517" s="232"/>
      <c r="Z517" s="232"/>
      <c r="AA517" s="232"/>
      <c r="AB517" s="232"/>
      <c r="AC517" s="232"/>
      <c r="AD517" s="232"/>
      <c r="AE517" s="232"/>
      <c r="AF517" s="232"/>
      <c r="AG517" s="232"/>
      <c r="AH517" s="232"/>
      <c r="AI517" s="232"/>
      <c r="AJ517" s="232"/>
      <c r="AK517" s="232"/>
      <c r="AL517" s="232"/>
      <c r="AM517" s="232"/>
      <c r="AN517" s="232"/>
      <c r="AO517" s="232"/>
      <c r="AP517" s="232"/>
      <c r="AQ517" s="232"/>
      <c r="AR517" s="232"/>
      <c r="AS517" s="232"/>
      <c r="AT517" s="232"/>
      <c r="AU517" s="232"/>
      <c r="AV517" s="232"/>
      <c r="AW517" s="232"/>
    </row>
    <row r="518" spans="1:49">
      <c r="A518" s="232"/>
      <c r="B518" s="232"/>
      <c r="C518" s="232"/>
      <c r="D518" s="232"/>
      <c r="E518" s="232"/>
      <c r="F518" s="232"/>
      <c r="G518" s="232"/>
      <c r="H518" s="232"/>
      <c r="I518" s="232"/>
      <c r="J518" s="232"/>
      <c r="K518" s="232"/>
      <c r="L518" s="232"/>
      <c r="M518" s="232"/>
      <c r="N518" s="232"/>
      <c r="O518" s="232"/>
      <c r="P518" s="232"/>
      <c r="Q518" s="232"/>
      <c r="R518" s="232"/>
      <c r="S518" s="232"/>
      <c r="T518" s="232"/>
      <c r="U518" s="232"/>
      <c r="V518" s="232"/>
      <c r="W518" s="232"/>
      <c r="X518" s="232"/>
      <c r="Y518" s="232"/>
      <c r="Z518" s="232"/>
      <c r="AA518" s="232"/>
      <c r="AB518" s="232"/>
      <c r="AC518" s="232"/>
      <c r="AD518" s="232"/>
      <c r="AE518" s="232"/>
      <c r="AF518" s="232"/>
      <c r="AG518" s="232"/>
      <c r="AH518" s="232"/>
      <c r="AI518" s="232"/>
      <c r="AJ518" s="232"/>
      <c r="AK518" s="232"/>
      <c r="AL518" s="232"/>
      <c r="AM518" s="232"/>
      <c r="AN518" s="232"/>
      <c r="AO518" s="232"/>
      <c r="AP518" s="232"/>
      <c r="AQ518" s="232"/>
      <c r="AR518" s="232"/>
      <c r="AS518" s="232"/>
      <c r="AT518" s="232"/>
      <c r="AU518" s="232"/>
      <c r="AV518" s="232"/>
      <c r="AW518" s="232"/>
    </row>
    <row r="519" spans="1:49">
      <c r="A519" s="232"/>
      <c r="B519" s="232"/>
      <c r="C519" s="232"/>
      <c r="D519" s="232"/>
      <c r="E519" s="232"/>
      <c r="F519" s="232"/>
      <c r="G519" s="232"/>
      <c r="H519" s="232"/>
      <c r="I519" s="232"/>
      <c r="J519" s="232"/>
      <c r="K519" s="232"/>
      <c r="L519" s="232"/>
      <c r="M519" s="232"/>
      <c r="N519" s="232"/>
      <c r="O519" s="232"/>
      <c r="P519" s="232"/>
      <c r="Q519" s="232"/>
      <c r="R519" s="232"/>
      <c r="S519" s="232"/>
      <c r="T519" s="232"/>
      <c r="U519" s="232"/>
      <c r="V519" s="232"/>
      <c r="W519" s="232"/>
      <c r="X519" s="232"/>
      <c r="Y519" s="232"/>
      <c r="Z519" s="232"/>
      <c r="AA519" s="232"/>
      <c r="AB519" s="232"/>
      <c r="AC519" s="232"/>
      <c r="AD519" s="232"/>
      <c r="AE519" s="232"/>
      <c r="AF519" s="232"/>
      <c r="AG519" s="232"/>
      <c r="AH519" s="232"/>
      <c r="AI519" s="232"/>
      <c r="AJ519" s="232"/>
      <c r="AK519" s="232"/>
      <c r="AL519" s="232"/>
      <c r="AM519" s="232"/>
      <c r="AN519" s="232"/>
      <c r="AO519" s="232"/>
      <c r="AP519" s="232"/>
      <c r="AQ519" s="232"/>
      <c r="AR519" s="232"/>
      <c r="AS519" s="232"/>
      <c r="AT519" s="232"/>
      <c r="AU519" s="232"/>
      <c r="AV519" s="232"/>
      <c r="AW519" s="232"/>
    </row>
    <row r="520" spans="1:49">
      <c r="A520" s="232"/>
      <c r="B520" s="232"/>
      <c r="C520" s="232"/>
      <c r="D520" s="232"/>
      <c r="E520" s="232"/>
      <c r="F520" s="232"/>
      <c r="G520" s="232"/>
      <c r="H520" s="232"/>
      <c r="I520" s="232"/>
      <c r="J520" s="232"/>
      <c r="K520" s="232"/>
      <c r="L520" s="232"/>
      <c r="M520" s="232"/>
      <c r="N520" s="232"/>
      <c r="O520" s="232"/>
      <c r="P520" s="232"/>
      <c r="Q520" s="232"/>
      <c r="R520" s="232"/>
      <c r="S520" s="232"/>
      <c r="T520" s="232"/>
      <c r="U520" s="232"/>
      <c r="V520" s="232"/>
      <c r="W520" s="232"/>
      <c r="X520" s="232"/>
      <c r="Y520" s="232"/>
      <c r="Z520" s="232"/>
      <c r="AA520" s="232"/>
      <c r="AB520" s="232"/>
      <c r="AC520" s="232"/>
      <c r="AD520" s="232"/>
      <c r="AE520" s="232"/>
      <c r="AF520" s="232"/>
      <c r="AG520" s="232"/>
      <c r="AH520" s="232"/>
      <c r="AI520" s="232"/>
      <c r="AJ520" s="232"/>
      <c r="AK520" s="232"/>
      <c r="AL520" s="232"/>
      <c r="AM520" s="232"/>
      <c r="AN520" s="232"/>
      <c r="AO520" s="232"/>
      <c r="AP520" s="232"/>
      <c r="AQ520" s="232"/>
      <c r="AR520" s="232"/>
      <c r="AS520" s="232"/>
      <c r="AT520" s="232"/>
      <c r="AU520" s="232"/>
      <c r="AV520" s="232"/>
      <c r="AW520" s="232"/>
    </row>
    <row r="521" spans="1:49">
      <c r="A521" s="232"/>
      <c r="B521" s="232"/>
      <c r="C521" s="232"/>
      <c r="D521" s="232"/>
      <c r="E521" s="232"/>
      <c r="F521" s="232"/>
      <c r="G521" s="232"/>
      <c r="H521" s="232"/>
      <c r="I521" s="232"/>
      <c r="J521" s="232"/>
      <c r="K521" s="232"/>
      <c r="L521" s="232"/>
      <c r="M521" s="232"/>
      <c r="N521" s="232"/>
      <c r="O521" s="232"/>
      <c r="P521" s="232"/>
      <c r="Q521" s="232"/>
      <c r="R521" s="232"/>
      <c r="S521" s="232"/>
      <c r="T521" s="232"/>
      <c r="U521" s="232"/>
      <c r="V521" s="232"/>
      <c r="W521" s="232"/>
      <c r="X521" s="232"/>
      <c r="Y521" s="232"/>
      <c r="Z521" s="232"/>
      <c r="AA521" s="232"/>
      <c r="AB521" s="232"/>
      <c r="AC521" s="232"/>
      <c r="AD521" s="232"/>
      <c r="AE521" s="232"/>
      <c r="AF521" s="232"/>
      <c r="AG521" s="232"/>
      <c r="AH521" s="232"/>
      <c r="AI521" s="232"/>
      <c r="AJ521" s="232"/>
      <c r="AK521" s="232"/>
      <c r="AL521" s="232"/>
      <c r="AM521" s="232"/>
      <c r="AN521" s="232"/>
      <c r="AO521" s="232"/>
      <c r="AP521" s="232"/>
      <c r="AQ521" s="232"/>
      <c r="AR521" s="232"/>
      <c r="AS521" s="232"/>
      <c r="AT521" s="232"/>
      <c r="AU521" s="232"/>
      <c r="AV521" s="232"/>
      <c r="AW521" s="232"/>
    </row>
    <row r="522" spans="1:49">
      <c r="A522" s="232"/>
      <c r="B522" s="232"/>
      <c r="C522" s="232"/>
      <c r="D522" s="232"/>
      <c r="E522" s="232"/>
      <c r="F522" s="232"/>
      <c r="G522" s="232"/>
      <c r="H522" s="232"/>
      <c r="I522" s="232"/>
      <c r="J522" s="232"/>
      <c r="K522" s="232"/>
      <c r="L522" s="232"/>
      <c r="M522" s="232"/>
      <c r="N522" s="232"/>
      <c r="O522" s="232"/>
      <c r="P522" s="232"/>
      <c r="Q522" s="232"/>
      <c r="R522" s="232"/>
      <c r="S522" s="232"/>
      <c r="T522" s="232"/>
      <c r="U522" s="232"/>
      <c r="V522" s="232"/>
      <c r="W522" s="232"/>
      <c r="X522" s="232"/>
      <c r="Y522" s="232"/>
      <c r="Z522" s="232"/>
      <c r="AA522" s="232"/>
      <c r="AB522" s="232"/>
      <c r="AC522" s="232"/>
      <c r="AD522" s="232"/>
      <c r="AE522" s="232"/>
      <c r="AF522" s="232"/>
      <c r="AG522" s="232"/>
      <c r="AH522" s="232"/>
      <c r="AI522" s="232"/>
      <c r="AJ522" s="232"/>
      <c r="AK522" s="232"/>
      <c r="AL522" s="232"/>
      <c r="AM522" s="232"/>
      <c r="AN522" s="232"/>
      <c r="AO522" s="232"/>
      <c r="AP522" s="232"/>
      <c r="AQ522" s="232"/>
      <c r="AR522" s="232"/>
      <c r="AS522" s="232"/>
      <c r="AT522" s="232"/>
      <c r="AU522" s="232"/>
      <c r="AV522" s="232"/>
      <c r="AW522" s="232"/>
    </row>
    <row r="523" spans="1:49">
      <c r="A523" s="232"/>
      <c r="B523" s="232"/>
      <c r="C523" s="232"/>
      <c r="D523" s="232"/>
      <c r="E523" s="232"/>
      <c r="F523" s="232"/>
      <c r="G523" s="232"/>
      <c r="H523" s="232"/>
      <c r="I523" s="232"/>
      <c r="J523" s="232"/>
      <c r="K523" s="232"/>
      <c r="L523" s="232"/>
      <c r="M523" s="232"/>
      <c r="N523" s="232"/>
      <c r="O523" s="232"/>
      <c r="P523" s="232"/>
      <c r="Q523" s="232"/>
      <c r="R523" s="232"/>
      <c r="S523" s="232"/>
      <c r="T523" s="232"/>
      <c r="U523" s="232"/>
      <c r="V523" s="232"/>
      <c r="W523" s="232"/>
      <c r="X523" s="232"/>
      <c r="Y523" s="232"/>
      <c r="Z523" s="232"/>
      <c r="AA523" s="232"/>
      <c r="AB523" s="232"/>
      <c r="AC523" s="232"/>
      <c r="AD523" s="232"/>
      <c r="AE523" s="232"/>
      <c r="AF523" s="232"/>
      <c r="AG523" s="232"/>
      <c r="AH523" s="232"/>
      <c r="AI523" s="232"/>
      <c r="AJ523" s="232"/>
      <c r="AK523" s="232"/>
      <c r="AL523" s="232"/>
      <c r="AM523" s="232"/>
      <c r="AN523" s="232"/>
      <c r="AO523" s="232"/>
      <c r="AP523" s="232"/>
      <c r="AQ523" s="232"/>
      <c r="AR523" s="232"/>
      <c r="AS523" s="232"/>
      <c r="AT523" s="232"/>
      <c r="AU523" s="232"/>
      <c r="AV523" s="232"/>
      <c r="AW523" s="232"/>
    </row>
    <row r="524" spans="1:49">
      <c r="A524" s="232"/>
      <c r="B524" s="232"/>
      <c r="C524" s="232"/>
      <c r="D524" s="232"/>
      <c r="E524" s="232"/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  <c r="AA524" s="232"/>
      <c r="AB524" s="232"/>
      <c r="AC524" s="232"/>
      <c r="AD524" s="232"/>
      <c r="AE524" s="232"/>
      <c r="AF524" s="232"/>
      <c r="AG524" s="232"/>
      <c r="AH524" s="232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32"/>
      <c r="AT524" s="232"/>
      <c r="AU524" s="232"/>
      <c r="AV524" s="232"/>
      <c r="AW524" s="232"/>
    </row>
    <row r="525" spans="1:49">
      <c r="A525" s="232"/>
      <c r="B525" s="232"/>
      <c r="C525" s="232"/>
      <c r="D525" s="232"/>
      <c r="E525" s="232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  <c r="AA525" s="232"/>
      <c r="AB525" s="232"/>
      <c r="AC525" s="232"/>
      <c r="AD525" s="232"/>
      <c r="AE525" s="232"/>
      <c r="AF525" s="232"/>
      <c r="AG525" s="232"/>
      <c r="AH525" s="232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32"/>
      <c r="AT525" s="232"/>
      <c r="AU525" s="232"/>
      <c r="AV525" s="232"/>
      <c r="AW525" s="232"/>
    </row>
    <row r="526" spans="1:49">
      <c r="A526" s="232"/>
      <c r="B526" s="232"/>
      <c r="C526" s="232"/>
      <c r="D526" s="232"/>
      <c r="E526" s="232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232"/>
      <c r="AF526" s="232"/>
      <c r="AG526" s="232"/>
      <c r="AH526" s="232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32"/>
      <c r="AT526" s="232"/>
      <c r="AU526" s="232"/>
      <c r="AV526" s="232"/>
      <c r="AW526" s="232"/>
    </row>
    <row r="527" spans="1:49">
      <c r="A527" s="232"/>
      <c r="B527" s="232"/>
      <c r="C527" s="232"/>
      <c r="D527" s="232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232"/>
      <c r="AF527" s="232"/>
      <c r="AG527" s="232"/>
      <c r="AH527" s="232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32"/>
      <c r="AT527" s="232"/>
      <c r="AU527" s="232"/>
      <c r="AV527" s="232"/>
      <c r="AW527" s="232"/>
    </row>
    <row r="528" spans="1:49">
      <c r="A528" s="232"/>
      <c r="B528" s="232"/>
      <c r="C528" s="232"/>
      <c r="D528" s="232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232"/>
      <c r="AF528" s="232"/>
      <c r="AG528" s="232"/>
      <c r="AH528" s="232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32"/>
      <c r="AT528" s="232"/>
      <c r="AU528" s="232"/>
      <c r="AV528" s="232"/>
      <c r="AW528" s="232"/>
    </row>
    <row r="529" spans="1:49">
      <c r="A529" s="232"/>
      <c r="B529" s="232"/>
      <c r="C529" s="232"/>
      <c r="D529" s="232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232"/>
      <c r="AF529" s="232"/>
      <c r="AG529" s="232"/>
      <c r="AH529" s="232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32"/>
      <c r="AT529" s="232"/>
      <c r="AU529" s="232"/>
      <c r="AV529" s="232"/>
      <c r="AW529" s="232"/>
    </row>
    <row r="530" spans="1:49">
      <c r="A530" s="232"/>
      <c r="B530" s="232"/>
      <c r="C530" s="232"/>
      <c r="D530" s="232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232"/>
      <c r="AF530" s="232"/>
      <c r="AG530" s="232"/>
      <c r="AH530" s="232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32"/>
      <c r="AT530" s="232"/>
      <c r="AU530" s="232"/>
      <c r="AV530" s="232"/>
      <c r="AW530" s="232"/>
    </row>
    <row r="531" spans="1:49">
      <c r="A531" s="232"/>
      <c r="B531" s="232"/>
      <c r="C531" s="232"/>
      <c r="D531" s="232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232"/>
      <c r="AF531" s="232"/>
      <c r="AG531" s="232"/>
      <c r="AH531" s="232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32"/>
      <c r="AT531" s="232"/>
      <c r="AU531" s="232"/>
      <c r="AV531" s="232"/>
      <c r="AW531" s="232"/>
    </row>
    <row r="532" spans="1:49">
      <c r="A532" s="232"/>
      <c r="B532" s="232"/>
      <c r="C532" s="232"/>
      <c r="D532" s="232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  <c r="AA532" s="232"/>
      <c r="AB532" s="232"/>
      <c r="AC532" s="232"/>
      <c r="AD532" s="232"/>
      <c r="AE532" s="232"/>
      <c r="AF532" s="232"/>
      <c r="AG532" s="232"/>
      <c r="AH532" s="232"/>
      <c r="AI532" s="232"/>
      <c r="AJ532" s="232"/>
      <c r="AK532" s="232"/>
      <c r="AL532" s="232"/>
      <c r="AM532" s="232"/>
      <c r="AN532" s="232"/>
      <c r="AO532" s="232"/>
      <c r="AP532" s="232"/>
      <c r="AQ532" s="232"/>
      <c r="AR532" s="232"/>
      <c r="AS532" s="232"/>
      <c r="AT532" s="232"/>
      <c r="AU532" s="232"/>
      <c r="AV532" s="232"/>
      <c r="AW532" s="232"/>
    </row>
    <row r="533" spans="1:49">
      <c r="A533" s="232"/>
      <c r="B533" s="232"/>
      <c r="C533" s="232"/>
      <c r="D533" s="232"/>
      <c r="E533" s="232"/>
      <c r="F533" s="232"/>
      <c r="G533" s="232"/>
      <c r="H533" s="232"/>
      <c r="I533" s="232"/>
      <c r="J533" s="232"/>
      <c r="K533" s="232"/>
      <c r="L533" s="232"/>
      <c r="M533" s="232"/>
      <c r="N533" s="232"/>
      <c r="O533" s="232"/>
      <c r="P533" s="232"/>
      <c r="Q533" s="232"/>
      <c r="R533" s="232"/>
      <c r="S533" s="232"/>
      <c r="T533" s="232"/>
      <c r="U533" s="232"/>
      <c r="V533" s="232"/>
      <c r="W533" s="232"/>
      <c r="X533" s="232"/>
      <c r="Y533" s="232"/>
      <c r="Z533" s="232"/>
      <c r="AA533" s="232"/>
      <c r="AB533" s="232"/>
      <c r="AC533" s="232"/>
      <c r="AD533" s="232"/>
      <c r="AE533" s="232"/>
      <c r="AF533" s="232"/>
      <c r="AG533" s="232"/>
      <c r="AH533" s="232"/>
      <c r="AI533" s="232"/>
      <c r="AJ533" s="232"/>
      <c r="AK533" s="232"/>
      <c r="AL533" s="232"/>
      <c r="AM533" s="232"/>
      <c r="AN533" s="232"/>
      <c r="AO533" s="232"/>
      <c r="AP533" s="232"/>
      <c r="AQ533" s="232"/>
      <c r="AR533" s="232"/>
      <c r="AS533" s="232"/>
      <c r="AT533" s="232"/>
      <c r="AU533" s="232"/>
      <c r="AV533" s="232"/>
      <c r="AW533" s="232"/>
    </row>
    <row r="534" spans="1:49">
      <c r="A534" s="232"/>
      <c r="B534" s="232"/>
      <c r="C534" s="232"/>
      <c r="D534" s="232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2"/>
      <c r="AD534" s="232"/>
      <c r="AE534" s="232"/>
      <c r="AF534" s="232"/>
      <c r="AG534" s="232"/>
      <c r="AH534" s="232"/>
      <c r="AI534" s="232"/>
      <c r="AJ534" s="232"/>
      <c r="AK534" s="232"/>
      <c r="AL534" s="232"/>
      <c r="AM534" s="232"/>
      <c r="AN534" s="232"/>
      <c r="AO534" s="232"/>
      <c r="AP534" s="232"/>
      <c r="AQ534" s="232"/>
      <c r="AR534" s="232"/>
      <c r="AS534" s="232"/>
      <c r="AT534" s="232"/>
      <c r="AU534" s="232"/>
      <c r="AV534" s="232"/>
      <c r="AW534" s="232"/>
    </row>
    <row r="535" spans="1:49">
      <c r="A535" s="232"/>
      <c r="B535" s="232"/>
      <c r="C535" s="232"/>
      <c r="D535" s="232"/>
      <c r="E535" s="232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232"/>
      <c r="AF535" s="232"/>
      <c r="AG535" s="232"/>
      <c r="AH535" s="232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232"/>
      <c r="AT535" s="232"/>
      <c r="AU535" s="232"/>
      <c r="AV535" s="232"/>
      <c r="AW535" s="232"/>
    </row>
    <row r="536" spans="1:49">
      <c r="A536" s="232"/>
      <c r="B536" s="232"/>
      <c r="C536" s="232"/>
      <c r="D536" s="232"/>
      <c r="E536" s="232"/>
      <c r="F536" s="232"/>
      <c r="G536" s="232"/>
      <c r="H536" s="232"/>
      <c r="I536" s="232"/>
      <c r="J536" s="232"/>
      <c r="K536" s="232"/>
      <c r="L536" s="232"/>
      <c r="M536" s="232"/>
      <c r="N536" s="2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  <c r="AA536" s="232"/>
      <c r="AB536" s="232"/>
      <c r="AC536" s="232"/>
      <c r="AD536" s="232"/>
      <c r="AE536" s="232"/>
      <c r="AF536" s="232"/>
      <c r="AG536" s="232"/>
      <c r="AH536" s="232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232"/>
      <c r="AT536" s="232"/>
      <c r="AU536" s="232"/>
      <c r="AV536" s="232"/>
      <c r="AW536" s="232"/>
    </row>
    <row r="537" spans="1:49">
      <c r="A537" s="232"/>
      <c r="B537" s="232"/>
      <c r="C537" s="232"/>
      <c r="D537" s="232"/>
      <c r="E537" s="232"/>
      <c r="F537" s="232"/>
      <c r="G537" s="232"/>
      <c r="H537" s="232"/>
      <c r="I537" s="232"/>
      <c r="J537" s="232"/>
      <c r="K537" s="232"/>
      <c r="L537" s="232"/>
      <c r="M537" s="232"/>
      <c r="N537" s="2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  <c r="AA537" s="232"/>
      <c r="AB537" s="232"/>
      <c r="AC537" s="232"/>
      <c r="AD537" s="232"/>
      <c r="AE537" s="232"/>
      <c r="AF537" s="232"/>
      <c r="AG537" s="232"/>
      <c r="AH537" s="232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232"/>
      <c r="AT537" s="232"/>
      <c r="AU537" s="232"/>
      <c r="AV537" s="232"/>
      <c r="AW537" s="232"/>
    </row>
    <row r="538" spans="1:49">
      <c r="A538" s="232"/>
      <c r="B538" s="232"/>
      <c r="C538" s="232"/>
      <c r="D538" s="232"/>
      <c r="E538" s="232"/>
      <c r="F538" s="232"/>
      <c r="G538" s="232"/>
      <c r="H538" s="232"/>
      <c r="I538" s="232"/>
      <c r="J538" s="232"/>
      <c r="K538" s="232"/>
      <c r="L538" s="232"/>
      <c r="M538" s="232"/>
      <c r="N538" s="2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  <c r="AA538" s="232"/>
      <c r="AB538" s="232"/>
      <c r="AC538" s="232"/>
      <c r="AD538" s="232"/>
      <c r="AE538" s="232"/>
      <c r="AF538" s="232"/>
      <c r="AG538" s="232"/>
      <c r="AH538" s="232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232"/>
      <c r="AT538" s="232"/>
      <c r="AU538" s="232"/>
      <c r="AV538" s="232"/>
      <c r="AW538" s="232"/>
    </row>
    <row r="539" spans="1:49">
      <c r="A539" s="232"/>
      <c r="B539" s="232"/>
      <c r="C539" s="232"/>
      <c r="D539" s="232"/>
      <c r="E539" s="232"/>
      <c r="F539" s="232"/>
      <c r="G539" s="232"/>
      <c r="H539" s="232"/>
      <c r="I539" s="232"/>
      <c r="J539" s="232"/>
      <c r="K539" s="232"/>
      <c r="L539" s="232"/>
      <c r="M539" s="232"/>
      <c r="N539" s="2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  <c r="AA539" s="232"/>
      <c r="AB539" s="232"/>
      <c r="AC539" s="232"/>
      <c r="AD539" s="232"/>
      <c r="AE539" s="232"/>
      <c r="AF539" s="232"/>
      <c r="AG539" s="232"/>
      <c r="AH539" s="232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232"/>
      <c r="AT539" s="232"/>
      <c r="AU539" s="232"/>
      <c r="AV539" s="232"/>
      <c r="AW539" s="232"/>
    </row>
    <row r="540" spans="1:49">
      <c r="A540" s="232"/>
      <c r="B540" s="232"/>
      <c r="C540" s="232"/>
      <c r="D540" s="232"/>
      <c r="E540" s="232"/>
      <c r="F540" s="232"/>
      <c r="G540" s="232"/>
      <c r="H540" s="232"/>
      <c r="I540" s="232"/>
      <c r="J540" s="232"/>
      <c r="K540" s="232"/>
      <c r="L540" s="232"/>
      <c r="M540" s="232"/>
      <c r="N540" s="2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  <c r="AA540" s="232"/>
      <c r="AB540" s="232"/>
      <c r="AC540" s="232"/>
      <c r="AD540" s="232"/>
      <c r="AE540" s="232"/>
      <c r="AF540" s="232"/>
      <c r="AG540" s="232"/>
      <c r="AH540" s="232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232"/>
      <c r="AT540" s="232"/>
      <c r="AU540" s="232"/>
      <c r="AV540" s="232"/>
      <c r="AW540" s="232"/>
    </row>
    <row r="541" spans="1:49">
      <c r="A541" s="232"/>
      <c r="B541" s="232"/>
      <c r="C541" s="232"/>
      <c r="D541" s="232"/>
      <c r="E541" s="232"/>
      <c r="F541" s="232"/>
      <c r="G541" s="232"/>
      <c r="H541" s="232"/>
      <c r="I541" s="232"/>
      <c r="J541" s="232"/>
      <c r="K541" s="232"/>
      <c r="L541" s="232"/>
      <c r="M541" s="232"/>
      <c r="N541" s="2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  <c r="AA541" s="232"/>
      <c r="AB541" s="232"/>
      <c r="AC541" s="232"/>
      <c r="AD541" s="232"/>
      <c r="AE541" s="232"/>
      <c r="AF541" s="232"/>
      <c r="AG541" s="232"/>
      <c r="AH541" s="232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232"/>
      <c r="AT541" s="232"/>
      <c r="AU541" s="232"/>
      <c r="AV541" s="232"/>
      <c r="AW541" s="232"/>
    </row>
    <row r="542" spans="1:49">
      <c r="A542" s="232"/>
      <c r="B542" s="232"/>
      <c r="C542" s="232"/>
      <c r="D542" s="232"/>
      <c r="E542" s="232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32"/>
      <c r="AT542" s="232"/>
      <c r="AU542" s="232"/>
      <c r="AV542" s="232"/>
      <c r="AW542" s="232"/>
    </row>
    <row r="543" spans="1:49">
      <c r="A543" s="232"/>
      <c r="B543" s="232"/>
      <c r="C543" s="232"/>
      <c r="D543" s="232"/>
      <c r="E543" s="232"/>
      <c r="F543" s="232"/>
      <c r="G543" s="232"/>
      <c r="H543" s="232"/>
      <c r="I543" s="232"/>
      <c r="J543" s="232"/>
      <c r="K543" s="232"/>
      <c r="L543" s="232"/>
      <c r="M543" s="232"/>
      <c r="N543" s="2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  <c r="AA543" s="232"/>
      <c r="AB543" s="232"/>
      <c r="AC543" s="232"/>
      <c r="AD543" s="232"/>
      <c r="AE543" s="232"/>
      <c r="AF543" s="232"/>
      <c r="AG543" s="232"/>
      <c r="AH543" s="232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232"/>
      <c r="AT543" s="232"/>
      <c r="AU543" s="232"/>
      <c r="AV543" s="232"/>
      <c r="AW543" s="232"/>
    </row>
    <row r="544" spans="1:49">
      <c r="A544" s="232"/>
      <c r="B544" s="232"/>
      <c r="C544" s="232"/>
      <c r="D544" s="232"/>
      <c r="E544" s="232"/>
      <c r="F544" s="232"/>
      <c r="G544" s="232"/>
      <c r="H544" s="232"/>
      <c r="I544" s="232"/>
      <c r="J544" s="232"/>
      <c r="K544" s="232"/>
      <c r="L544" s="232"/>
      <c r="M544" s="232"/>
      <c r="N544" s="232"/>
      <c r="O544" s="232"/>
      <c r="P544" s="232"/>
      <c r="Q544" s="232"/>
      <c r="R544" s="232"/>
      <c r="S544" s="232"/>
      <c r="T544" s="232"/>
      <c r="U544" s="232"/>
      <c r="V544" s="232"/>
      <c r="W544" s="232"/>
      <c r="X544" s="232"/>
      <c r="Y544" s="232"/>
      <c r="Z544" s="232"/>
      <c r="AA544" s="232"/>
      <c r="AB544" s="232"/>
      <c r="AC544" s="232"/>
      <c r="AD544" s="232"/>
      <c r="AE544" s="232"/>
      <c r="AF544" s="232"/>
      <c r="AG544" s="232"/>
      <c r="AH544" s="232"/>
      <c r="AI544" s="232"/>
      <c r="AJ544" s="232"/>
      <c r="AK544" s="232"/>
      <c r="AL544" s="232"/>
      <c r="AM544" s="232"/>
      <c r="AN544" s="232"/>
      <c r="AO544" s="232"/>
      <c r="AP544" s="232"/>
      <c r="AQ544" s="232"/>
      <c r="AR544" s="232"/>
      <c r="AS544" s="232"/>
      <c r="AT544" s="232"/>
      <c r="AU544" s="232"/>
      <c r="AV544" s="232"/>
      <c r="AW544" s="232"/>
    </row>
    <row r="545" spans="1:49">
      <c r="A545" s="232"/>
      <c r="B545" s="232"/>
      <c r="C545" s="232"/>
      <c r="D545" s="232"/>
      <c r="E545" s="232"/>
      <c r="F545" s="232"/>
      <c r="G545" s="232"/>
      <c r="H545" s="232"/>
      <c r="I545" s="232"/>
      <c r="J545" s="232"/>
      <c r="K545" s="232"/>
      <c r="L545" s="232"/>
      <c r="M545" s="232"/>
      <c r="N545" s="232"/>
      <c r="O545" s="232"/>
      <c r="P545" s="232"/>
      <c r="Q545" s="232"/>
      <c r="R545" s="232"/>
      <c r="S545" s="232"/>
      <c r="T545" s="232"/>
      <c r="U545" s="232"/>
      <c r="V545" s="232"/>
      <c r="W545" s="232"/>
      <c r="X545" s="232"/>
      <c r="Y545" s="232"/>
      <c r="Z545" s="232"/>
      <c r="AA545" s="232"/>
      <c r="AB545" s="232"/>
      <c r="AC545" s="232"/>
      <c r="AD545" s="232"/>
      <c r="AE545" s="232"/>
      <c r="AF545" s="232"/>
      <c r="AG545" s="232"/>
      <c r="AH545" s="232"/>
      <c r="AI545" s="232"/>
      <c r="AJ545" s="232"/>
      <c r="AK545" s="232"/>
      <c r="AL545" s="232"/>
      <c r="AM545" s="232"/>
      <c r="AN545" s="232"/>
      <c r="AO545" s="232"/>
      <c r="AP545" s="232"/>
      <c r="AQ545" s="232"/>
      <c r="AR545" s="232"/>
      <c r="AS545" s="232"/>
      <c r="AT545" s="232"/>
      <c r="AU545" s="232"/>
      <c r="AV545" s="232"/>
      <c r="AW545" s="232"/>
    </row>
    <row r="546" spans="1:49">
      <c r="A546" s="232"/>
      <c r="B546" s="232"/>
      <c r="C546" s="232"/>
      <c r="D546" s="232"/>
      <c r="E546" s="232"/>
      <c r="F546" s="232"/>
      <c r="G546" s="232"/>
      <c r="H546" s="232"/>
      <c r="I546" s="232"/>
      <c r="J546" s="232"/>
      <c r="K546" s="232"/>
      <c r="L546" s="232"/>
      <c r="M546" s="232"/>
      <c r="N546" s="232"/>
      <c r="O546" s="232"/>
      <c r="P546" s="232"/>
      <c r="Q546" s="232"/>
      <c r="R546" s="232"/>
      <c r="S546" s="232"/>
      <c r="T546" s="232"/>
      <c r="U546" s="232"/>
      <c r="V546" s="232"/>
      <c r="W546" s="232"/>
      <c r="X546" s="232"/>
      <c r="Y546" s="232"/>
      <c r="Z546" s="232"/>
      <c r="AA546" s="232"/>
      <c r="AB546" s="232"/>
      <c r="AC546" s="232"/>
      <c r="AD546" s="232"/>
      <c r="AE546" s="232"/>
      <c r="AF546" s="232"/>
      <c r="AG546" s="232"/>
      <c r="AH546" s="232"/>
      <c r="AI546" s="232"/>
      <c r="AJ546" s="232"/>
      <c r="AK546" s="232"/>
      <c r="AL546" s="232"/>
      <c r="AM546" s="232"/>
      <c r="AN546" s="232"/>
      <c r="AO546" s="232"/>
      <c r="AP546" s="232"/>
      <c r="AQ546" s="232"/>
      <c r="AR546" s="232"/>
      <c r="AS546" s="232"/>
      <c r="AT546" s="232"/>
      <c r="AU546" s="232"/>
      <c r="AV546" s="232"/>
      <c r="AW546" s="232"/>
    </row>
    <row r="547" spans="1:49">
      <c r="A547" s="232"/>
      <c r="B547" s="232"/>
      <c r="C547" s="232"/>
      <c r="D547" s="232"/>
      <c r="E547" s="232"/>
      <c r="F547" s="232"/>
      <c r="G547" s="232"/>
      <c r="H547" s="232"/>
      <c r="I547" s="232"/>
      <c r="J547" s="232"/>
      <c r="K547" s="232"/>
      <c r="L547" s="232"/>
      <c r="M547" s="232"/>
      <c r="N547" s="232"/>
      <c r="O547" s="232"/>
      <c r="P547" s="232"/>
      <c r="Q547" s="232"/>
      <c r="R547" s="232"/>
      <c r="S547" s="232"/>
      <c r="T547" s="232"/>
      <c r="U547" s="232"/>
      <c r="V547" s="232"/>
      <c r="W547" s="232"/>
      <c r="X547" s="232"/>
      <c r="Y547" s="232"/>
      <c r="Z547" s="232"/>
      <c r="AA547" s="232"/>
      <c r="AB547" s="232"/>
      <c r="AC547" s="232"/>
      <c r="AD547" s="232"/>
      <c r="AE547" s="232"/>
      <c r="AF547" s="232"/>
      <c r="AG547" s="232"/>
      <c r="AH547" s="232"/>
      <c r="AI547" s="232"/>
      <c r="AJ547" s="232"/>
      <c r="AK547" s="232"/>
      <c r="AL547" s="232"/>
      <c r="AM547" s="232"/>
      <c r="AN547" s="232"/>
      <c r="AO547" s="232"/>
      <c r="AP547" s="232"/>
      <c r="AQ547" s="232"/>
      <c r="AR547" s="232"/>
      <c r="AS547" s="232"/>
      <c r="AT547" s="232"/>
      <c r="AU547" s="232"/>
      <c r="AV547" s="232"/>
      <c r="AW547" s="232"/>
    </row>
    <row r="548" spans="1:49">
      <c r="A548" s="232"/>
      <c r="B548" s="232"/>
      <c r="C548" s="232"/>
      <c r="D548" s="232"/>
      <c r="E548" s="232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  <c r="AA548" s="232"/>
      <c r="AB548" s="232"/>
      <c r="AC548" s="232"/>
      <c r="AD548" s="232"/>
      <c r="AE548" s="232"/>
      <c r="AF548" s="232"/>
      <c r="AG548" s="232"/>
      <c r="AH548" s="232"/>
      <c r="AI548" s="232"/>
      <c r="AJ548" s="232"/>
      <c r="AK548" s="232"/>
      <c r="AL548" s="232"/>
      <c r="AM548" s="232"/>
      <c r="AN548" s="232"/>
      <c r="AO548" s="232"/>
      <c r="AP548" s="232"/>
      <c r="AQ548" s="232"/>
      <c r="AR548" s="232"/>
      <c r="AS548" s="232"/>
      <c r="AT548" s="232"/>
      <c r="AU548" s="232"/>
      <c r="AV548" s="232"/>
      <c r="AW548" s="232"/>
    </row>
    <row r="549" spans="1:49">
      <c r="A549" s="232"/>
      <c r="B549" s="232"/>
      <c r="C549" s="232"/>
      <c r="D549" s="232"/>
      <c r="E549" s="232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  <c r="AA549" s="232"/>
      <c r="AB549" s="232"/>
      <c r="AC549" s="232"/>
      <c r="AD549" s="232"/>
      <c r="AE549" s="232"/>
      <c r="AF549" s="232"/>
      <c r="AG549" s="232"/>
      <c r="AH549" s="232"/>
      <c r="AI549" s="232"/>
      <c r="AJ549" s="232"/>
      <c r="AK549" s="232"/>
      <c r="AL549" s="232"/>
      <c r="AM549" s="232"/>
      <c r="AN549" s="232"/>
      <c r="AO549" s="232"/>
      <c r="AP549" s="232"/>
      <c r="AQ549" s="232"/>
      <c r="AR549" s="232"/>
      <c r="AS549" s="232"/>
      <c r="AT549" s="232"/>
      <c r="AU549" s="232"/>
      <c r="AV549" s="232"/>
      <c r="AW549" s="232"/>
    </row>
    <row r="550" spans="1:49">
      <c r="A550" s="232"/>
      <c r="B550" s="232"/>
      <c r="C550" s="232"/>
      <c r="D550" s="232"/>
      <c r="E550" s="232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232"/>
      <c r="AF550" s="232"/>
      <c r="AG550" s="232"/>
      <c r="AH550" s="232"/>
      <c r="AI550" s="232"/>
      <c r="AJ550" s="232"/>
      <c r="AK550" s="232"/>
      <c r="AL550" s="232"/>
      <c r="AM550" s="232"/>
      <c r="AN550" s="232"/>
      <c r="AO550" s="232"/>
      <c r="AP550" s="232"/>
      <c r="AQ550" s="232"/>
      <c r="AR550" s="232"/>
      <c r="AS550" s="232"/>
      <c r="AT550" s="232"/>
      <c r="AU550" s="232"/>
      <c r="AV550" s="232"/>
      <c r="AW550" s="232"/>
    </row>
    <row r="551" spans="1:49">
      <c r="A551" s="232"/>
      <c r="B551" s="232"/>
      <c r="C551" s="232"/>
      <c r="D551" s="232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232"/>
      <c r="AF551" s="232"/>
      <c r="AG551" s="232"/>
      <c r="AH551" s="232"/>
      <c r="AI551" s="232"/>
      <c r="AJ551" s="232"/>
      <c r="AK551" s="232"/>
      <c r="AL551" s="232"/>
      <c r="AM551" s="232"/>
      <c r="AN551" s="232"/>
      <c r="AO551" s="232"/>
      <c r="AP551" s="232"/>
      <c r="AQ551" s="232"/>
      <c r="AR551" s="232"/>
      <c r="AS551" s="232"/>
      <c r="AT551" s="232"/>
      <c r="AU551" s="232"/>
      <c r="AV551" s="232"/>
      <c r="AW551" s="232"/>
    </row>
    <row r="552" spans="1:49">
      <c r="A552" s="232"/>
      <c r="B552" s="232"/>
      <c r="C552" s="232"/>
      <c r="D552" s="232"/>
      <c r="E552" s="232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  <c r="AA552" s="232"/>
      <c r="AB552" s="232"/>
      <c r="AC552" s="232"/>
      <c r="AD552" s="232"/>
      <c r="AE552" s="232"/>
      <c r="AF552" s="232"/>
      <c r="AG552" s="232"/>
      <c r="AH552" s="232"/>
      <c r="AI552" s="232"/>
      <c r="AJ552" s="232"/>
      <c r="AK552" s="232"/>
      <c r="AL552" s="232"/>
      <c r="AM552" s="232"/>
      <c r="AN552" s="232"/>
      <c r="AO552" s="232"/>
      <c r="AP552" s="232"/>
      <c r="AQ552" s="232"/>
      <c r="AR552" s="232"/>
      <c r="AS552" s="232"/>
      <c r="AT552" s="232"/>
      <c r="AU552" s="232"/>
      <c r="AV552" s="232"/>
      <c r="AW552" s="232"/>
    </row>
    <row r="553" spans="1:49">
      <c r="A553" s="232"/>
      <c r="B553" s="232"/>
      <c r="C553" s="232"/>
      <c r="D553" s="232"/>
      <c r="E553" s="232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  <c r="AA553" s="232"/>
      <c r="AB553" s="232"/>
      <c r="AC553" s="232"/>
      <c r="AD553" s="232"/>
      <c r="AE553" s="232"/>
      <c r="AF553" s="232"/>
      <c r="AG553" s="232"/>
      <c r="AH553" s="232"/>
      <c r="AI553" s="232"/>
      <c r="AJ553" s="232"/>
      <c r="AK553" s="232"/>
      <c r="AL553" s="232"/>
      <c r="AM553" s="232"/>
      <c r="AN553" s="232"/>
      <c r="AO553" s="232"/>
      <c r="AP553" s="232"/>
      <c r="AQ553" s="232"/>
      <c r="AR553" s="232"/>
      <c r="AS553" s="232"/>
      <c r="AT553" s="232"/>
      <c r="AU553" s="232"/>
      <c r="AV553" s="232"/>
      <c r="AW553" s="232"/>
    </row>
    <row r="554" spans="1:49">
      <c r="A554" s="232"/>
      <c r="B554" s="232"/>
      <c r="C554" s="232"/>
      <c r="D554" s="232"/>
      <c r="E554" s="232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232"/>
      <c r="AF554" s="232"/>
      <c r="AG554" s="232"/>
      <c r="AH554" s="232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32"/>
      <c r="AT554" s="232"/>
      <c r="AU554" s="232"/>
      <c r="AV554" s="232"/>
      <c r="AW554" s="232"/>
    </row>
    <row r="555" spans="1:49">
      <c r="A555" s="232"/>
      <c r="B555" s="232"/>
      <c r="C555" s="232"/>
      <c r="D555" s="232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32"/>
      <c r="AT555" s="232"/>
      <c r="AU555" s="232"/>
      <c r="AV555" s="232"/>
      <c r="AW555" s="232"/>
    </row>
    <row r="556" spans="1:49">
      <c r="A556" s="232"/>
      <c r="B556" s="232"/>
      <c r="C556" s="232"/>
      <c r="D556" s="232"/>
      <c r="E556" s="232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32"/>
      <c r="AT556" s="232"/>
      <c r="AU556" s="232"/>
      <c r="AV556" s="232"/>
      <c r="AW556" s="232"/>
    </row>
    <row r="557" spans="1:49">
      <c r="A557" s="232"/>
      <c r="B557" s="232"/>
      <c r="C557" s="232"/>
      <c r="D557" s="232"/>
      <c r="E557" s="232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32"/>
      <c r="AT557" s="232"/>
      <c r="AU557" s="232"/>
      <c r="AV557" s="232"/>
      <c r="AW557" s="232"/>
    </row>
    <row r="558" spans="1:49">
      <c r="A558" s="232"/>
      <c r="B558" s="232"/>
      <c r="C558" s="232"/>
      <c r="D558" s="232"/>
      <c r="E558" s="232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232"/>
      <c r="AV558" s="232"/>
      <c r="AW558" s="232"/>
    </row>
    <row r="559" spans="1:49">
      <c r="A559" s="232"/>
      <c r="B559" s="232"/>
      <c r="C559" s="232"/>
      <c r="D559" s="232"/>
      <c r="E559" s="232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32"/>
      <c r="AT559" s="232"/>
      <c r="AU559" s="232"/>
      <c r="AV559" s="232"/>
      <c r="AW559" s="232"/>
    </row>
    <row r="560" spans="1:49">
      <c r="A560" s="232"/>
      <c r="B560" s="232"/>
      <c r="C560" s="232"/>
      <c r="D560" s="232"/>
      <c r="E560" s="232"/>
      <c r="F560" s="232"/>
      <c r="G560" s="232"/>
      <c r="H560" s="232"/>
      <c r="I560" s="232"/>
      <c r="J560" s="232"/>
      <c r="K560" s="232"/>
      <c r="L560" s="232"/>
      <c r="M560" s="232"/>
      <c r="N560" s="232"/>
      <c r="O560" s="232"/>
      <c r="P560" s="232"/>
      <c r="Q560" s="232"/>
      <c r="R560" s="232"/>
      <c r="S560" s="232"/>
      <c r="T560" s="232"/>
      <c r="U560" s="232"/>
      <c r="V560" s="232"/>
      <c r="W560" s="232"/>
      <c r="X560" s="232"/>
      <c r="Y560" s="232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232"/>
      <c r="AV560" s="232"/>
      <c r="AW560" s="232"/>
    </row>
    <row r="561" spans="1:49">
      <c r="A561" s="232"/>
      <c r="B561" s="232"/>
      <c r="C561" s="232"/>
      <c r="D561" s="232"/>
      <c r="E561" s="232"/>
      <c r="F561" s="232"/>
      <c r="G561" s="232"/>
      <c r="H561" s="232"/>
      <c r="I561" s="232"/>
      <c r="J561" s="232"/>
      <c r="K561" s="232"/>
      <c r="L561" s="232"/>
      <c r="M561" s="232"/>
      <c r="N561" s="232"/>
      <c r="O561" s="232"/>
      <c r="P561" s="232"/>
      <c r="Q561" s="232"/>
      <c r="R561" s="232"/>
      <c r="S561" s="232"/>
      <c r="T561" s="232"/>
      <c r="U561" s="232"/>
      <c r="V561" s="232"/>
      <c r="W561" s="232"/>
      <c r="X561" s="232"/>
      <c r="Y561" s="232"/>
      <c r="Z561" s="232"/>
      <c r="AA561" s="232"/>
      <c r="AB561" s="232"/>
      <c r="AC561" s="232"/>
      <c r="AD561" s="232"/>
      <c r="AE561" s="232"/>
      <c r="AF561" s="232"/>
      <c r="AG561" s="232"/>
      <c r="AH561" s="232"/>
      <c r="AI561" s="232"/>
      <c r="AJ561" s="232"/>
      <c r="AK561" s="232"/>
      <c r="AL561" s="232"/>
      <c r="AM561" s="232"/>
      <c r="AN561" s="232"/>
      <c r="AO561" s="232"/>
      <c r="AP561" s="232"/>
      <c r="AQ561" s="232"/>
      <c r="AR561" s="232"/>
      <c r="AS561" s="232"/>
      <c r="AT561" s="232"/>
      <c r="AU561" s="232"/>
      <c r="AV561" s="232"/>
      <c r="AW561" s="232"/>
    </row>
    <row r="562" spans="1:49">
      <c r="A562" s="232"/>
      <c r="B562" s="232"/>
      <c r="C562" s="232"/>
      <c r="D562" s="232"/>
      <c r="E562" s="232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32"/>
      <c r="AT562" s="232"/>
      <c r="AU562" s="232"/>
      <c r="AV562" s="232"/>
      <c r="AW562" s="232"/>
    </row>
    <row r="563" spans="1:49">
      <c r="A563" s="232"/>
      <c r="B563" s="232"/>
      <c r="C563" s="232"/>
      <c r="D563" s="232"/>
      <c r="E563" s="232"/>
      <c r="F563" s="232"/>
      <c r="G563" s="232"/>
      <c r="H563" s="232"/>
      <c r="I563" s="232"/>
      <c r="J563" s="232"/>
      <c r="K563" s="232"/>
      <c r="L563" s="232"/>
      <c r="M563" s="232"/>
      <c r="N563" s="232"/>
      <c r="O563" s="232"/>
      <c r="P563" s="232"/>
      <c r="Q563" s="232"/>
      <c r="R563" s="232"/>
      <c r="S563" s="232"/>
      <c r="T563" s="232"/>
      <c r="U563" s="232"/>
      <c r="V563" s="232"/>
      <c r="W563" s="232"/>
      <c r="X563" s="232"/>
      <c r="Y563" s="232"/>
      <c r="Z563" s="232"/>
      <c r="AA563" s="232"/>
      <c r="AB563" s="232"/>
      <c r="AC563" s="232"/>
      <c r="AD563" s="232"/>
      <c r="AE563" s="232"/>
      <c r="AF563" s="232"/>
      <c r="AG563" s="232"/>
      <c r="AH563" s="232"/>
      <c r="AI563" s="232"/>
      <c r="AJ563" s="232"/>
      <c r="AK563" s="232"/>
      <c r="AL563" s="232"/>
      <c r="AM563" s="232"/>
      <c r="AN563" s="232"/>
      <c r="AO563" s="232"/>
      <c r="AP563" s="232"/>
      <c r="AQ563" s="232"/>
      <c r="AR563" s="232"/>
      <c r="AS563" s="232"/>
      <c r="AT563" s="232"/>
      <c r="AU563" s="232"/>
      <c r="AV563" s="232"/>
      <c r="AW563" s="232"/>
    </row>
    <row r="564" spans="1:49">
      <c r="A564" s="232"/>
      <c r="B564" s="232"/>
      <c r="C564" s="232"/>
      <c r="D564" s="232"/>
      <c r="E564" s="232"/>
      <c r="F564" s="232"/>
      <c r="G564" s="232"/>
      <c r="H564" s="232"/>
      <c r="I564" s="232"/>
      <c r="J564" s="232"/>
      <c r="K564" s="232"/>
      <c r="L564" s="232"/>
      <c r="M564" s="232"/>
      <c r="N564" s="232"/>
      <c r="O564" s="232"/>
      <c r="P564" s="232"/>
      <c r="Q564" s="232"/>
      <c r="R564" s="232"/>
      <c r="S564" s="232"/>
      <c r="T564" s="232"/>
      <c r="U564" s="232"/>
      <c r="V564" s="232"/>
      <c r="W564" s="232"/>
      <c r="X564" s="232"/>
      <c r="Y564" s="232"/>
      <c r="Z564" s="232"/>
      <c r="AA564" s="232"/>
      <c r="AB564" s="232"/>
      <c r="AC564" s="232"/>
      <c r="AD564" s="232"/>
      <c r="AE564" s="232"/>
      <c r="AF564" s="232"/>
      <c r="AG564" s="232"/>
      <c r="AH564" s="232"/>
      <c r="AI564" s="232"/>
      <c r="AJ564" s="232"/>
      <c r="AK564" s="232"/>
      <c r="AL564" s="232"/>
      <c r="AM564" s="232"/>
      <c r="AN564" s="232"/>
      <c r="AO564" s="232"/>
      <c r="AP564" s="232"/>
      <c r="AQ564" s="232"/>
      <c r="AR564" s="232"/>
      <c r="AS564" s="232"/>
      <c r="AT564" s="232"/>
      <c r="AU564" s="232"/>
      <c r="AV564" s="232"/>
      <c r="AW564" s="232"/>
    </row>
    <row r="565" spans="1:49">
      <c r="A565" s="232"/>
      <c r="B565" s="232"/>
      <c r="C565" s="232"/>
      <c r="D565" s="232"/>
      <c r="E565" s="232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2"/>
      <c r="R565" s="232"/>
      <c r="S565" s="232"/>
      <c r="T565" s="232"/>
      <c r="U565" s="232"/>
      <c r="V565" s="232"/>
      <c r="W565" s="232"/>
      <c r="X565" s="232"/>
      <c r="Y565" s="232"/>
      <c r="Z565" s="232"/>
      <c r="AA565" s="232"/>
      <c r="AB565" s="232"/>
      <c r="AC565" s="232"/>
      <c r="AD565" s="232"/>
      <c r="AE565" s="232"/>
      <c r="AF565" s="232"/>
      <c r="AG565" s="232"/>
      <c r="AH565" s="232"/>
      <c r="AI565" s="232"/>
      <c r="AJ565" s="232"/>
      <c r="AK565" s="232"/>
      <c r="AL565" s="232"/>
      <c r="AM565" s="232"/>
      <c r="AN565" s="232"/>
      <c r="AO565" s="232"/>
      <c r="AP565" s="232"/>
      <c r="AQ565" s="232"/>
      <c r="AR565" s="232"/>
      <c r="AS565" s="232"/>
      <c r="AT565" s="232"/>
      <c r="AU565" s="232"/>
      <c r="AV565" s="232"/>
      <c r="AW565" s="232"/>
    </row>
    <row r="566" spans="1:49">
      <c r="A566" s="232"/>
      <c r="B566" s="232"/>
      <c r="C566" s="232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2"/>
      <c r="AD566" s="232"/>
      <c r="AE566" s="232"/>
      <c r="AF566" s="232"/>
      <c r="AG566" s="232"/>
      <c r="AH566" s="232"/>
      <c r="AI566" s="232"/>
      <c r="AJ566" s="232"/>
      <c r="AK566" s="232"/>
      <c r="AL566" s="232"/>
      <c r="AM566" s="232"/>
      <c r="AN566" s="232"/>
      <c r="AO566" s="232"/>
      <c r="AP566" s="232"/>
      <c r="AQ566" s="232"/>
      <c r="AR566" s="232"/>
      <c r="AS566" s="232"/>
      <c r="AT566" s="232"/>
      <c r="AU566" s="232"/>
      <c r="AV566" s="232"/>
      <c r="AW566" s="232"/>
    </row>
    <row r="567" spans="1:49">
      <c r="A567" s="232"/>
      <c r="B567" s="232"/>
      <c r="C567" s="232"/>
      <c r="D567" s="232"/>
      <c r="E567" s="232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  <c r="AA567" s="232"/>
      <c r="AB567" s="232"/>
      <c r="AC567" s="232"/>
      <c r="AD567" s="232"/>
      <c r="AE567" s="232"/>
      <c r="AF567" s="232"/>
      <c r="AG567" s="232"/>
      <c r="AH567" s="232"/>
      <c r="AI567" s="232"/>
      <c r="AJ567" s="232"/>
      <c r="AK567" s="232"/>
      <c r="AL567" s="232"/>
      <c r="AM567" s="232"/>
      <c r="AN567" s="232"/>
      <c r="AO567" s="232"/>
      <c r="AP567" s="232"/>
      <c r="AQ567" s="232"/>
      <c r="AR567" s="232"/>
      <c r="AS567" s="232"/>
      <c r="AT567" s="232"/>
      <c r="AU567" s="232"/>
      <c r="AV567" s="232"/>
      <c r="AW567" s="232"/>
    </row>
    <row r="568" spans="1:49">
      <c r="A568" s="232"/>
      <c r="B568" s="232"/>
      <c r="C568" s="232"/>
      <c r="D568" s="232"/>
      <c r="E568" s="232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  <c r="AA568" s="232"/>
      <c r="AB568" s="232"/>
      <c r="AC568" s="232"/>
      <c r="AD568" s="232"/>
      <c r="AE568" s="232"/>
      <c r="AF568" s="232"/>
      <c r="AG568" s="232"/>
      <c r="AH568" s="232"/>
      <c r="AI568" s="232"/>
      <c r="AJ568" s="232"/>
      <c r="AK568" s="232"/>
      <c r="AL568" s="232"/>
      <c r="AM568" s="232"/>
      <c r="AN568" s="232"/>
      <c r="AO568" s="232"/>
      <c r="AP568" s="232"/>
      <c r="AQ568" s="232"/>
      <c r="AR568" s="232"/>
      <c r="AS568" s="232"/>
      <c r="AT568" s="232"/>
      <c r="AU568" s="232"/>
      <c r="AV568" s="232"/>
      <c r="AW568" s="232"/>
    </row>
    <row r="569" spans="1:49">
      <c r="A569" s="232"/>
      <c r="B569" s="232"/>
      <c r="C569" s="232"/>
      <c r="D569" s="232"/>
      <c r="E569" s="232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  <c r="AA569" s="232"/>
      <c r="AB569" s="232"/>
      <c r="AC569" s="232"/>
      <c r="AD569" s="232"/>
      <c r="AE569" s="232"/>
      <c r="AF569" s="232"/>
      <c r="AG569" s="232"/>
      <c r="AH569" s="232"/>
      <c r="AI569" s="232"/>
      <c r="AJ569" s="232"/>
      <c r="AK569" s="232"/>
      <c r="AL569" s="232"/>
      <c r="AM569" s="232"/>
      <c r="AN569" s="232"/>
      <c r="AO569" s="232"/>
      <c r="AP569" s="232"/>
      <c r="AQ569" s="232"/>
      <c r="AR569" s="232"/>
      <c r="AS569" s="232"/>
      <c r="AT569" s="232"/>
      <c r="AU569" s="232"/>
      <c r="AV569" s="232"/>
      <c r="AW569" s="232"/>
    </row>
    <row r="570" spans="1:49">
      <c r="A570" s="232"/>
      <c r="B570" s="232"/>
      <c r="C570" s="232"/>
      <c r="D570" s="232"/>
      <c r="E570" s="232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32"/>
      <c r="AT570" s="232"/>
      <c r="AU570" s="232"/>
      <c r="AV570" s="232"/>
      <c r="AW570" s="232"/>
    </row>
    <row r="571" spans="1:49">
      <c r="A571" s="232"/>
      <c r="B571" s="232"/>
      <c r="C571" s="232"/>
      <c r="D571" s="232"/>
      <c r="E571" s="232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32"/>
      <c r="AT571" s="232"/>
      <c r="AU571" s="232"/>
      <c r="AV571" s="232"/>
      <c r="AW571" s="232"/>
    </row>
    <row r="572" spans="1:49">
      <c r="A572" s="232"/>
      <c r="B572" s="232"/>
      <c r="C572" s="232"/>
      <c r="D572" s="232"/>
      <c r="E572" s="232"/>
      <c r="F572" s="232"/>
      <c r="G572" s="232"/>
      <c r="H572" s="232"/>
      <c r="I572" s="232"/>
      <c r="J572" s="232"/>
      <c r="K572" s="232"/>
      <c r="L572" s="232"/>
      <c r="M572" s="232"/>
      <c r="N572" s="232"/>
      <c r="O572" s="232"/>
      <c r="P572" s="232"/>
      <c r="Q572" s="232"/>
      <c r="R572" s="232"/>
      <c r="S572" s="232"/>
      <c r="T572" s="232"/>
      <c r="U572" s="232"/>
      <c r="V572" s="232"/>
      <c r="W572" s="232"/>
      <c r="X572" s="232"/>
      <c r="Y572" s="232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32"/>
      <c r="AT572" s="232"/>
      <c r="AU572" s="232"/>
      <c r="AV572" s="232"/>
      <c r="AW572" s="232"/>
    </row>
    <row r="573" spans="1:49">
      <c r="A573" s="232"/>
      <c r="B573" s="232"/>
      <c r="C573" s="232"/>
      <c r="D573" s="232"/>
      <c r="E573" s="232"/>
      <c r="F573" s="232"/>
      <c r="G573" s="232"/>
      <c r="H573" s="232"/>
      <c r="I573" s="232"/>
      <c r="J573" s="232"/>
      <c r="K573" s="232"/>
      <c r="L573" s="232"/>
      <c r="M573" s="232"/>
      <c r="N573" s="232"/>
      <c r="O573" s="232"/>
      <c r="P573" s="232"/>
      <c r="Q573" s="232"/>
      <c r="R573" s="232"/>
      <c r="S573" s="232"/>
      <c r="T573" s="232"/>
      <c r="U573" s="232"/>
      <c r="V573" s="232"/>
      <c r="W573" s="232"/>
      <c r="X573" s="232"/>
      <c r="Y573" s="232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32"/>
      <c r="AT573" s="232"/>
      <c r="AU573" s="232"/>
      <c r="AV573" s="232"/>
      <c r="AW573" s="232"/>
    </row>
    <row r="574" spans="1:49">
      <c r="A574" s="232"/>
      <c r="B574" s="232"/>
      <c r="C574" s="232"/>
      <c r="D574" s="232"/>
      <c r="E574" s="232"/>
      <c r="F574" s="232"/>
      <c r="G574" s="232"/>
      <c r="H574" s="232"/>
      <c r="I574" s="232"/>
      <c r="J574" s="232"/>
      <c r="K574" s="232"/>
      <c r="L574" s="232"/>
      <c r="M574" s="232"/>
      <c r="N574" s="232"/>
      <c r="O574" s="232"/>
      <c r="P574" s="232"/>
      <c r="Q574" s="232"/>
      <c r="R574" s="232"/>
      <c r="S574" s="232"/>
      <c r="T574" s="232"/>
      <c r="U574" s="232"/>
      <c r="V574" s="232"/>
      <c r="W574" s="232"/>
      <c r="X574" s="232"/>
      <c r="Y574" s="232"/>
      <c r="Z574" s="232"/>
      <c r="AA574" s="232"/>
      <c r="AB574" s="232"/>
      <c r="AC574" s="232"/>
      <c r="AD574" s="232"/>
      <c r="AE574" s="232"/>
      <c r="AF574" s="232"/>
      <c r="AG574" s="232"/>
      <c r="AH574" s="232"/>
      <c r="AI574" s="232"/>
      <c r="AJ574" s="232"/>
      <c r="AK574" s="232"/>
      <c r="AL574" s="232"/>
      <c r="AM574" s="232"/>
      <c r="AN574" s="232"/>
      <c r="AO574" s="232"/>
      <c r="AP574" s="232"/>
      <c r="AQ574" s="232"/>
      <c r="AR574" s="232"/>
      <c r="AS574" s="232"/>
      <c r="AT574" s="232"/>
      <c r="AU574" s="232"/>
      <c r="AV574" s="232"/>
      <c r="AW574" s="232"/>
    </row>
    <row r="575" spans="1:49">
      <c r="A575" s="232"/>
      <c r="B575" s="232"/>
      <c r="C575" s="232"/>
      <c r="D575" s="232"/>
      <c r="E575" s="232"/>
      <c r="F575" s="232"/>
      <c r="G575" s="232"/>
      <c r="H575" s="232"/>
      <c r="I575" s="232"/>
      <c r="J575" s="232"/>
      <c r="K575" s="232"/>
      <c r="L575" s="232"/>
      <c r="M575" s="232"/>
      <c r="N575" s="232"/>
      <c r="O575" s="232"/>
      <c r="P575" s="232"/>
      <c r="Q575" s="232"/>
      <c r="R575" s="232"/>
      <c r="S575" s="232"/>
      <c r="T575" s="232"/>
      <c r="U575" s="232"/>
      <c r="V575" s="232"/>
      <c r="W575" s="232"/>
      <c r="X575" s="232"/>
      <c r="Y575" s="232"/>
      <c r="Z575" s="232"/>
      <c r="AA575" s="232"/>
      <c r="AB575" s="232"/>
      <c r="AC575" s="232"/>
      <c r="AD575" s="232"/>
      <c r="AE575" s="232"/>
      <c r="AF575" s="232"/>
      <c r="AG575" s="232"/>
      <c r="AH575" s="232"/>
      <c r="AI575" s="232"/>
      <c r="AJ575" s="232"/>
      <c r="AK575" s="232"/>
      <c r="AL575" s="232"/>
      <c r="AM575" s="232"/>
      <c r="AN575" s="232"/>
      <c r="AO575" s="232"/>
      <c r="AP575" s="232"/>
      <c r="AQ575" s="232"/>
      <c r="AR575" s="232"/>
      <c r="AS575" s="232"/>
      <c r="AT575" s="232"/>
      <c r="AU575" s="232"/>
      <c r="AV575" s="232"/>
      <c r="AW575" s="232"/>
    </row>
    <row r="576" spans="1:49">
      <c r="A576" s="232"/>
      <c r="B576" s="232"/>
      <c r="C576" s="232"/>
      <c r="D576" s="232"/>
      <c r="E576" s="232"/>
      <c r="F576" s="232"/>
      <c r="G576" s="232"/>
      <c r="H576" s="232"/>
      <c r="I576" s="232"/>
      <c r="J576" s="232"/>
      <c r="K576" s="232"/>
      <c r="L576" s="232"/>
      <c r="M576" s="232"/>
      <c r="N576" s="232"/>
      <c r="O576" s="232"/>
      <c r="P576" s="232"/>
      <c r="Q576" s="232"/>
      <c r="R576" s="232"/>
      <c r="S576" s="232"/>
      <c r="T576" s="232"/>
      <c r="U576" s="232"/>
      <c r="V576" s="232"/>
      <c r="W576" s="232"/>
      <c r="X576" s="232"/>
      <c r="Y576" s="232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32"/>
      <c r="AT576" s="232"/>
      <c r="AU576" s="232"/>
      <c r="AV576" s="232"/>
      <c r="AW576" s="232"/>
    </row>
    <row r="577" spans="1:49">
      <c r="A577" s="232"/>
      <c r="B577" s="232"/>
      <c r="C577" s="232"/>
      <c r="D577" s="232"/>
      <c r="E577" s="232"/>
      <c r="F577" s="232"/>
      <c r="G577" s="232"/>
      <c r="H577" s="232"/>
      <c r="I577" s="232"/>
      <c r="J577" s="232"/>
      <c r="K577" s="232"/>
      <c r="L577" s="232"/>
      <c r="M577" s="232"/>
      <c r="N577" s="232"/>
      <c r="O577" s="232"/>
      <c r="P577" s="232"/>
      <c r="Q577" s="232"/>
      <c r="R577" s="232"/>
      <c r="S577" s="232"/>
      <c r="T577" s="232"/>
      <c r="U577" s="232"/>
      <c r="V577" s="232"/>
      <c r="W577" s="232"/>
      <c r="X577" s="232"/>
      <c r="Y577" s="232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32"/>
      <c r="AT577" s="232"/>
      <c r="AU577" s="232"/>
      <c r="AV577" s="232"/>
      <c r="AW577" s="232"/>
    </row>
    <row r="578" spans="1:49">
      <c r="A578" s="232"/>
      <c r="B578" s="232"/>
      <c r="C578" s="232"/>
      <c r="D578" s="232"/>
      <c r="E578" s="232"/>
      <c r="F578" s="232"/>
      <c r="G578" s="232"/>
      <c r="H578" s="232"/>
      <c r="I578" s="232"/>
      <c r="J578" s="232"/>
      <c r="K578" s="232"/>
      <c r="L578" s="232"/>
      <c r="M578" s="232"/>
      <c r="N578" s="232"/>
      <c r="O578" s="232"/>
      <c r="P578" s="232"/>
      <c r="Q578" s="232"/>
      <c r="R578" s="232"/>
      <c r="S578" s="232"/>
      <c r="T578" s="232"/>
      <c r="U578" s="232"/>
      <c r="V578" s="232"/>
      <c r="W578" s="232"/>
      <c r="X578" s="232"/>
      <c r="Y578" s="232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32"/>
      <c r="AT578" s="232"/>
      <c r="AU578" s="232"/>
      <c r="AV578" s="232"/>
      <c r="AW578" s="232"/>
    </row>
    <row r="579" spans="1:49">
      <c r="A579" s="232"/>
      <c r="B579" s="232"/>
      <c r="C579" s="232"/>
      <c r="D579" s="232"/>
      <c r="E579" s="232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2"/>
      <c r="AJ579" s="232"/>
      <c r="AK579" s="232"/>
      <c r="AL579" s="232"/>
      <c r="AM579" s="232"/>
      <c r="AN579" s="232"/>
      <c r="AO579" s="232"/>
      <c r="AP579" s="232"/>
      <c r="AQ579" s="232"/>
      <c r="AR579" s="232"/>
      <c r="AS579" s="232"/>
      <c r="AT579" s="232"/>
      <c r="AU579" s="232"/>
      <c r="AV579" s="232"/>
      <c r="AW579" s="232"/>
    </row>
    <row r="580" spans="1:49">
      <c r="A580" s="232"/>
      <c r="B580" s="232"/>
      <c r="C580" s="232"/>
      <c r="D580" s="232"/>
      <c r="E580" s="232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32"/>
      <c r="AT580" s="232"/>
      <c r="AU580" s="232"/>
      <c r="AV580" s="232"/>
      <c r="AW580" s="232"/>
    </row>
    <row r="581" spans="1:49">
      <c r="A581" s="232"/>
      <c r="B581" s="232"/>
      <c r="C581" s="232"/>
      <c r="D581" s="232"/>
      <c r="E581" s="232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232"/>
      <c r="AV581" s="232"/>
      <c r="AW581" s="232"/>
    </row>
    <row r="582" spans="1:49">
      <c r="A582" s="232"/>
      <c r="B582" s="232"/>
      <c r="C582" s="232"/>
      <c r="D582" s="232"/>
      <c r="E582" s="232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32"/>
      <c r="AT582" s="232"/>
      <c r="AU582" s="232"/>
      <c r="AV582" s="232"/>
      <c r="AW582" s="232"/>
    </row>
    <row r="583" spans="1:49">
      <c r="A583" s="232"/>
      <c r="B583" s="232"/>
      <c r="C583" s="232"/>
      <c r="D583" s="232"/>
      <c r="E583" s="232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32"/>
      <c r="AT583" s="232"/>
      <c r="AU583" s="232"/>
      <c r="AV583" s="232"/>
      <c r="AW583" s="232"/>
    </row>
    <row r="584" spans="1:49">
      <c r="A584" s="232"/>
      <c r="B584" s="232"/>
      <c r="C584" s="232"/>
      <c r="D584" s="232"/>
      <c r="E584" s="232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32"/>
      <c r="AT584" s="232"/>
      <c r="AU584" s="232"/>
      <c r="AV584" s="232"/>
      <c r="AW584" s="232"/>
    </row>
    <row r="585" spans="1:49">
      <c r="A585" s="232"/>
      <c r="B585" s="232"/>
      <c r="C585" s="232"/>
      <c r="D585" s="232"/>
      <c r="E585" s="232"/>
      <c r="F585" s="232"/>
      <c r="G585" s="232"/>
      <c r="H585" s="232"/>
      <c r="I585" s="232"/>
      <c r="J585" s="232"/>
      <c r="K585" s="232"/>
      <c r="L585" s="232"/>
      <c r="M585" s="232"/>
      <c r="N585" s="232"/>
      <c r="O585" s="232"/>
      <c r="P585" s="232"/>
      <c r="Q585" s="232"/>
      <c r="R585" s="232"/>
      <c r="S585" s="232"/>
      <c r="T585" s="232"/>
      <c r="U585" s="232"/>
      <c r="V585" s="232"/>
      <c r="W585" s="232"/>
      <c r="X585" s="232"/>
      <c r="Y585" s="232"/>
      <c r="Z585" s="232"/>
      <c r="AA585" s="232"/>
      <c r="AB585" s="232"/>
      <c r="AC585" s="232"/>
      <c r="AD585" s="232"/>
      <c r="AE585" s="232"/>
      <c r="AF585" s="232"/>
      <c r="AG585" s="232"/>
      <c r="AH585" s="232"/>
      <c r="AI585" s="232"/>
      <c r="AJ585" s="232"/>
      <c r="AK585" s="232"/>
      <c r="AL585" s="232"/>
      <c r="AM585" s="232"/>
      <c r="AN585" s="232"/>
      <c r="AO585" s="232"/>
      <c r="AP585" s="232"/>
      <c r="AQ585" s="232"/>
      <c r="AR585" s="232"/>
      <c r="AS585" s="232"/>
      <c r="AT585" s="232"/>
      <c r="AU585" s="232"/>
      <c r="AV585" s="232"/>
      <c r="AW585" s="232"/>
    </row>
    <row r="586" spans="1:49">
      <c r="A586" s="232"/>
      <c r="B586" s="232"/>
      <c r="C586" s="232"/>
      <c r="D586" s="232"/>
      <c r="E586" s="232"/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  <c r="AA586" s="232"/>
      <c r="AB586" s="232"/>
      <c r="AC586" s="232"/>
      <c r="AD586" s="232"/>
      <c r="AE586" s="232"/>
      <c r="AF586" s="232"/>
      <c r="AG586" s="232"/>
      <c r="AH586" s="232"/>
      <c r="AI586" s="232"/>
      <c r="AJ586" s="232"/>
      <c r="AK586" s="232"/>
      <c r="AL586" s="232"/>
      <c r="AM586" s="232"/>
      <c r="AN586" s="232"/>
      <c r="AO586" s="232"/>
      <c r="AP586" s="232"/>
      <c r="AQ586" s="232"/>
      <c r="AR586" s="232"/>
      <c r="AS586" s="232"/>
      <c r="AT586" s="232"/>
      <c r="AU586" s="232"/>
      <c r="AV586" s="232"/>
      <c r="AW586" s="232"/>
    </row>
    <row r="587" spans="1:49">
      <c r="A587" s="232"/>
      <c r="B587" s="232"/>
      <c r="C587" s="232"/>
      <c r="D587" s="232"/>
      <c r="E587" s="232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  <c r="AA587" s="232"/>
      <c r="AB587" s="232"/>
      <c r="AC587" s="232"/>
      <c r="AD587" s="232"/>
      <c r="AE587" s="232"/>
      <c r="AF587" s="232"/>
      <c r="AG587" s="232"/>
      <c r="AH587" s="232"/>
      <c r="AI587" s="232"/>
      <c r="AJ587" s="232"/>
      <c r="AK587" s="232"/>
      <c r="AL587" s="232"/>
      <c r="AM587" s="232"/>
      <c r="AN587" s="232"/>
      <c r="AO587" s="232"/>
      <c r="AP587" s="232"/>
      <c r="AQ587" s="232"/>
      <c r="AR587" s="232"/>
      <c r="AS587" s="232"/>
      <c r="AT587" s="232"/>
      <c r="AU587" s="232"/>
      <c r="AV587" s="232"/>
      <c r="AW587" s="232"/>
    </row>
    <row r="588" spans="1:49">
      <c r="A588" s="232"/>
      <c r="B588" s="232"/>
      <c r="C588" s="232"/>
      <c r="D588" s="232"/>
      <c r="E588" s="232"/>
      <c r="F588" s="232"/>
      <c r="G588" s="232"/>
      <c r="H588" s="232"/>
      <c r="I588" s="232"/>
      <c r="J588" s="232"/>
      <c r="K588" s="232"/>
      <c r="L588" s="232"/>
      <c r="M588" s="232"/>
      <c r="N588" s="232"/>
      <c r="O588" s="232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2"/>
      <c r="AA588" s="232"/>
      <c r="AB588" s="232"/>
      <c r="AC588" s="232"/>
      <c r="AD588" s="232"/>
      <c r="AE588" s="232"/>
      <c r="AF588" s="232"/>
      <c r="AG588" s="232"/>
      <c r="AH588" s="232"/>
      <c r="AI588" s="232"/>
      <c r="AJ588" s="232"/>
      <c r="AK588" s="232"/>
      <c r="AL588" s="232"/>
      <c r="AM588" s="232"/>
      <c r="AN588" s="232"/>
      <c r="AO588" s="232"/>
      <c r="AP588" s="232"/>
      <c r="AQ588" s="232"/>
      <c r="AR588" s="232"/>
      <c r="AS588" s="232"/>
      <c r="AT588" s="232"/>
      <c r="AU588" s="232"/>
      <c r="AV588" s="232"/>
      <c r="AW588" s="232"/>
    </row>
    <row r="589" spans="1:49">
      <c r="A589" s="232"/>
      <c r="B589" s="232"/>
      <c r="C589" s="232"/>
      <c r="D589" s="232"/>
      <c r="E589" s="232"/>
      <c r="F589" s="232"/>
      <c r="G589" s="232"/>
      <c r="H589" s="232"/>
      <c r="I589" s="232"/>
      <c r="J589" s="232"/>
      <c r="K589" s="232"/>
      <c r="L589" s="232"/>
      <c r="M589" s="232"/>
      <c r="N589" s="232"/>
      <c r="O589" s="232"/>
      <c r="P589" s="232"/>
      <c r="Q589" s="232"/>
      <c r="R589" s="232"/>
      <c r="S589" s="232"/>
      <c r="T589" s="232"/>
      <c r="U589" s="232"/>
      <c r="V589" s="232"/>
      <c r="W589" s="232"/>
      <c r="X589" s="232"/>
      <c r="Y589" s="232"/>
      <c r="Z589" s="232"/>
      <c r="AA589" s="232"/>
      <c r="AB589" s="232"/>
      <c r="AC589" s="232"/>
      <c r="AD589" s="232"/>
      <c r="AE589" s="232"/>
      <c r="AF589" s="232"/>
      <c r="AG589" s="232"/>
      <c r="AH589" s="232"/>
      <c r="AI589" s="232"/>
      <c r="AJ589" s="232"/>
      <c r="AK589" s="232"/>
      <c r="AL589" s="232"/>
      <c r="AM589" s="232"/>
      <c r="AN589" s="232"/>
      <c r="AO589" s="232"/>
      <c r="AP589" s="232"/>
      <c r="AQ589" s="232"/>
      <c r="AR589" s="232"/>
      <c r="AS589" s="232"/>
      <c r="AT589" s="232"/>
      <c r="AU589" s="232"/>
      <c r="AV589" s="232"/>
      <c r="AW589" s="232"/>
    </row>
    <row r="590" spans="1:49">
      <c r="A590" s="232"/>
      <c r="B590" s="232"/>
      <c r="C590" s="232"/>
      <c r="D590" s="232"/>
      <c r="E590" s="232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  <c r="AA590" s="232"/>
      <c r="AB590" s="232"/>
      <c r="AC590" s="232"/>
      <c r="AD590" s="232"/>
      <c r="AE590" s="232"/>
      <c r="AF590" s="232"/>
      <c r="AG590" s="232"/>
      <c r="AH590" s="232"/>
      <c r="AI590" s="232"/>
      <c r="AJ590" s="232"/>
      <c r="AK590" s="232"/>
      <c r="AL590" s="232"/>
      <c r="AM590" s="232"/>
      <c r="AN590" s="232"/>
      <c r="AO590" s="232"/>
      <c r="AP590" s="232"/>
      <c r="AQ590" s="232"/>
      <c r="AR590" s="232"/>
      <c r="AS590" s="232"/>
      <c r="AT590" s="232"/>
      <c r="AU590" s="232"/>
      <c r="AV590" s="232"/>
      <c r="AW590" s="232"/>
    </row>
    <row r="591" spans="1:49">
      <c r="A591" s="232"/>
      <c r="B591" s="232"/>
      <c r="C591" s="232"/>
      <c r="D591" s="232"/>
      <c r="E591" s="232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  <c r="AA591" s="232"/>
      <c r="AB591" s="232"/>
      <c r="AC591" s="232"/>
      <c r="AD591" s="232"/>
      <c r="AE591" s="232"/>
      <c r="AF591" s="232"/>
      <c r="AG591" s="232"/>
      <c r="AH591" s="232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32"/>
      <c r="AT591" s="232"/>
      <c r="AU591" s="232"/>
      <c r="AV591" s="232"/>
      <c r="AW591" s="232"/>
    </row>
    <row r="592" spans="1:49">
      <c r="A592" s="232"/>
      <c r="B592" s="232"/>
      <c r="C592" s="232"/>
      <c r="D592" s="232"/>
      <c r="E592" s="232"/>
      <c r="F592" s="232"/>
      <c r="G592" s="232"/>
      <c r="H592" s="232"/>
      <c r="I592" s="232"/>
      <c r="J592" s="232"/>
      <c r="K592" s="232"/>
      <c r="L592" s="232"/>
      <c r="M592" s="232"/>
      <c r="N592" s="232"/>
      <c r="O592" s="232"/>
      <c r="P592" s="232"/>
      <c r="Q592" s="232"/>
      <c r="R592" s="232"/>
      <c r="S592" s="232"/>
      <c r="T592" s="232"/>
      <c r="U592" s="232"/>
      <c r="V592" s="232"/>
      <c r="W592" s="232"/>
      <c r="X592" s="232"/>
      <c r="Y592" s="232"/>
      <c r="Z592" s="232"/>
      <c r="AA592" s="232"/>
      <c r="AB592" s="232"/>
      <c r="AC592" s="232"/>
      <c r="AD592" s="232"/>
      <c r="AE592" s="232"/>
      <c r="AF592" s="232"/>
      <c r="AG592" s="232"/>
      <c r="AH592" s="232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32"/>
      <c r="AT592" s="232"/>
      <c r="AU592" s="232"/>
      <c r="AV592" s="232"/>
      <c r="AW592" s="232"/>
    </row>
    <row r="593" spans="1:49">
      <c r="A593" s="232"/>
      <c r="B593" s="232"/>
      <c r="C593" s="232"/>
      <c r="D593" s="232"/>
      <c r="E593" s="232"/>
      <c r="F593" s="232"/>
      <c r="G593" s="232"/>
      <c r="H593" s="232"/>
      <c r="I593" s="232"/>
      <c r="J593" s="232"/>
      <c r="K593" s="232"/>
      <c r="L593" s="232"/>
      <c r="M593" s="232"/>
      <c r="N593" s="232"/>
      <c r="O593" s="232"/>
      <c r="P593" s="232"/>
      <c r="Q593" s="232"/>
      <c r="R593" s="232"/>
      <c r="S593" s="232"/>
      <c r="T593" s="232"/>
      <c r="U593" s="232"/>
      <c r="V593" s="232"/>
      <c r="W593" s="232"/>
      <c r="X593" s="232"/>
      <c r="Y593" s="232"/>
      <c r="Z593" s="232"/>
      <c r="AA593" s="232"/>
      <c r="AB593" s="232"/>
      <c r="AC593" s="232"/>
      <c r="AD593" s="232"/>
      <c r="AE593" s="232"/>
      <c r="AF593" s="232"/>
      <c r="AG593" s="232"/>
      <c r="AH593" s="232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32"/>
      <c r="AT593" s="232"/>
      <c r="AU593" s="232"/>
      <c r="AV593" s="232"/>
      <c r="AW593" s="232"/>
    </row>
    <row r="594" spans="1:49">
      <c r="A594" s="232"/>
      <c r="B594" s="232"/>
      <c r="C594" s="232"/>
      <c r="D594" s="232"/>
      <c r="E594" s="232"/>
      <c r="F594" s="232"/>
      <c r="G594" s="232"/>
      <c r="H594" s="232"/>
      <c r="I594" s="232"/>
      <c r="J594" s="232"/>
      <c r="K594" s="232"/>
      <c r="L594" s="232"/>
      <c r="M594" s="232"/>
      <c r="N594" s="232"/>
      <c r="O594" s="232"/>
      <c r="P594" s="232"/>
      <c r="Q594" s="232"/>
      <c r="R594" s="232"/>
      <c r="S594" s="232"/>
      <c r="T594" s="232"/>
      <c r="U594" s="232"/>
      <c r="V594" s="232"/>
      <c r="W594" s="232"/>
      <c r="X594" s="232"/>
      <c r="Y594" s="232"/>
      <c r="Z594" s="232"/>
      <c r="AA594" s="232"/>
      <c r="AB594" s="232"/>
      <c r="AC594" s="232"/>
      <c r="AD594" s="232"/>
      <c r="AE594" s="232"/>
      <c r="AF594" s="232"/>
      <c r="AG594" s="232"/>
      <c r="AH594" s="232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32"/>
      <c r="AT594" s="232"/>
      <c r="AU594" s="232"/>
      <c r="AV594" s="232"/>
      <c r="AW594" s="232"/>
    </row>
    <row r="595" spans="1:49">
      <c r="A595" s="232"/>
      <c r="B595" s="232"/>
      <c r="C595" s="232"/>
      <c r="D595" s="232"/>
      <c r="E595" s="232"/>
      <c r="F595" s="232"/>
      <c r="G595" s="232"/>
      <c r="H595" s="232"/>
      <c r="I595" s="232"/>
      <c r="J595" s="232"/>
      <c r="K595" s="232"/>
      <c r="L595" s="232"/>
      <c r="M595" s="232"/>
      <c r="N595" s="232"/>
      <c r="O595" s="232"/>
      <c r="P595" s="232"/>
      <c r="Q595" s="232"/>
      <c r="R595" s="232"/>
      <c r="S595" s="232"/>
      <c r="T595" s="232"/>
      <c r="U595" s="232"/>
      <c r="V595" s="232"/>
      <c r="W595" s="232"/>
      <c r="X595" s="232"/>
      <c r="Y595" s="232"/>
      <c r="Z595" s="232"/>
      <c r="AA595" s="232"/>
      <c r="AB595" s="232"/>
      <c r="AC595" s="232"/>
      <c r="AD595" s="232"/>
      <c r="AE595" s="232"/>
      <c r="AF595" s="232"/>
      <c r="AG595" s="232"/>
      <c r="AH595" s="232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32"/>
      <c r="AT595" s="232"/>
      <c r="AU595" s="232"/>
      <c r="AV595" s="232"/>
      <c r="AW595" s="232"/>
    </row>
    <row r="596" spans="1:49">
      <c r="A596" s="232"/>
      <c r="B596" s="232"/>
      <c r="C596" s="232"/>
      <c r="D596" s="232"/>
      <c r="E596" s="232"/>
      <c r="F596" s="232"/>
      <c r="G596" s="232"/>
      <c r="H596" s="232"/>
      <c r="I596" s="232"/>
      <c r="J596" s="232"/>
      <c r="K596" s="232"/>
      <c r="L596" s="232"/>
      <c r="M596" s="232"/>
      <c r="N596" s="232"/>
      <c r="O596" s="232"/>
      <c r="P596" s="232"/>
      <c r="Q596" s="232"/>
      <c r="R596" s="232"/>
      <c r="S596" s="232"/>
      <c r="T596" s="232"/>
      <c r="U596" s="232"/>
      <c r="V596" s="232"/>
      <c r="W596" s="232"/>
      <c r="X596" s="232"/>
      <c r="Y596" s="232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232"/>
      <c r="AV596" s="232"/>
      <c r="AW596" s="232"/>
    </row>
    <row r="597" spans="1:49">
      <c r="A597" s="232"/>
      <c r="B597" s="232"/>
      <c r="C597" s="232"/>
      <c r="D597" s="232"/>
      <c r="E597" s="232"/>
      <c r="F597" s="232"/>
      <c r="G597" s="232"/>
      <c r="H597" s="232"/>
      <c r="I597" s="232"/>
      <c r="J597" s="232"/>
      <c r="K597" s="232"/>
      <c r="L597" s="232"/>
      <c r="M597" s="232"/>
      <c r="N597" s="232"/>
      <c r="O597" s="232"/>
      <c r="P597" s="232"/>
      <c r="Q597" s="232"/>
      <c r="R597" s="232"/>
      <c r="S597" s="232"/>
      <c r="T597" s="232"/>
      <c r="U597" s="232"/>
      <c r="V597" s="232"/>
      <c r="W597" s="232"/>
      <c r="X597" s="232"/>
      <c r="Y597" s="232"/>
      <c r="Z597" s="232"/>
      <c r="AA597" s="232"/>
      <c r="AB597" s="232"/>
      <c r="AC597" s="232"/>
      <c r="AD597" s="232"/>
      <c r="AE597" s="232"/>
      <c r="AF597" s="232"/>
      <c r="AG597" s="232"/>
      <c r="AH597" s="232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32"/>
      <c r="AT597" s="232"/>
      <c r="AU597" s="232"/>
      <c r="AV597" s="232"/>
      <c r="AW597" s="232"/>
    </row>
    <row r="598" spans="1:49">
      <c r="A598" s="232"/>
      <c r="B598" s="232"/>
      <c r="C598" s="232"/>
      <c r="D598" s="232"/>
      <c r="E598" s="232"/>
      <c r="F598" s="232"/>
      <c r="G598" s="232"/>
      <c r="H598" s="232"/>
      <c r="I598" s="232"/>
      <c r="J598" s="232"/>
      <c r="K598" s="232"/>
      <c r="L598" s="232"/>
      <c r="M598" s="232"/>
      <c r="N598" s="232"/>
      <c r="O598" s="232"/>
      <c r="P598" s="232"/>
      <c r="Q598" s="232"/>
      <c r="R598" s="232"/>
      <c r="S598" s="232"/>
      <c r="T598" s="232"/>
      <c r="U598" s="232"/>
      <c r="V598" s="232"/>
      <c r="W598" s="232"/>
      <c r="X598" s="232"/>
      <c r="Y598" s="232"/>
      <c r="Z598" s="232"/>
      <c r="AA598" s="232"/>
      <c r="AB598" s="232"/>
      <c r="AC598" s="232"/>
      <c r="AD598" s="232"/>
      <c r="AE598" s="232"/>
      <c r="AF598" s="232"/>
      <c r="AG598" s="232"/>
      <c r="AH598" s="232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32"/>
      <c r="AT598" s="232"/>
      <c r="AU598" s="232"/>
      <c r="AV598" s="232"/>
      <c r="AW598" s="232"/>
    </row>
    <row r="599" spans="1:49">
      <c r="A599" s="232"/>
      <c r="B599" s="232"/>
      <c r="C599" s="232"/>
      <c r="D599" s="232"/>
      <c r="E599" s="232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2"/>
      <c r="T599" s="232"/>
      <c r="U599" s="232"/>
      <c r="V599" s="232"/>
      <c r="W599" s="232"/>
      <c r="X599" s="232"/>
      <c r="Y599" s="232"/>
      <c r="Z599" s="232"/>
      <c r="AA599" s="232"/>
      <c r="AB599" s="232"/>
      <c r="AC599" s="232"/>
      <c r="AD599" s="232"/>
      <c r="AE599" s="232"/>
      <c r="AF599" s="232"/>
      <c r="AG599" s="232"/>
      <c r="AH599" s="232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32"/>
      <c r="AT599" s="232"/>
      <c r="AU599" s="232"/>
      <c r="AV599" s="232"/>
      <c r="AW599" s="232"/>
    </row>
    <row r="600" spans="1:49">
      <c r="A600" s="232"/>
      <c r="B600" s="232"/>
      <c r="C600" s="232"/>
      <c r="D600" s="232"/>
      <c r="E600" s="232"/>
      <c r="F600" s="232"/>
      <c r="G600" s="232"/>
      <c r="H600" s="232"/>
      <c r="I600" s="232"/>
      <c r="J600" s="232"/>
      <c r="K600" s="232"/>
      <c r="L600" s="232"/>
      <c r="M600" s="232"/>
      <c r="N600" s="232"/>
      <c r="O600" s="232"/>
      <c r="P600" s="232"/>
      <c r="Q600" s="232"/>
      <c r="R600" s="232"/>
      <c r="S600" s="232"/>
      <c r="T600" s="232"/>
      <c r="U600" s="232"/>
      <c r="V600" s="232"/>
      <c r="W600" s="232"/>
      <c r="X600" s="232"/>
      <c r="Y600" s="232"/>
      <c r="Z600" s="232"/>
      <c r="AA600" s="232"/>
      <c r="AB600" s="232"/>
      <c r="AC600" s="232"/>
      <c r="AD600" s="232"/>
      <c r="AE600" s="232"/>
      <c r="AF600" s="232"/>
      <c r="AG600" s="232"/>
      <c r="AH600" s="232"/>
      <c r="AI600" s="232"/>
      <c r="AJ600" s="232"/>
      <c r="AK600" s="232"/>
      <c r="AL600" s="232"/>
      <c r="AM600" s="232"/>
      <c r="AN600" s="232"/>
      <c r="AO600" s="232"/>
      <c r="AP600" s="232"/>
      <c r="AQ600" s="232"/>
      <c r="AR600" s="232"/>
      <c r="AS600" s="232"/>
      <c r="AT600" s="232"/>
      <c r="AU600" s="232"/>
      <c r="AV600" s="232"/>
      <c r="AW600" s="232"/>
    </row>
    <row r="601" spans="1:49">
      <c r="A601" s="232"/>
      <c r="B601" s="232"/>
      <c r="C601" s="232"/>
      <c r="D601" s="232"/>
      <c r="E601" s="232"/>
      <c r="F601" s="232"/>
      <c r="G601" s="232"/>
      <c r="H601" s="232"/>
      <c r="I601" s="232"/>
      <c r="J601" s="232"/>
      <c r="K601" s="232"/>
      <c r="L601" s="232"/>
      <c r="M601" s="232"/>
      <c r="N601" s="232"/>
      <c r="O601" s="232"/>
      <c r="P601" s="232"/>
      <c r="Q601" s="232"/>
      <c r="R601" s="232"/>
      <c r="S601" s="232"/>
      <c r="T601" s="232"/>
      <c r="U601" s="232"/>
      <c r="V601" s="232"/>
      <c r="W601" s="232"/>
      <c r="X601" s="232"/>
      <c r="Y601" s="232"/>
      <c r="Z601" s="232"/>
      <c r="AA601" s="232"/>
      <c r="AB601" s="232"/>
      <c r="AC601" s="232"/>
      <c r="AD601" s="232"/>
      <c r="AE601" s="232"/>
      <c r="AF601" s="232"/>
      <c r="AG601" s="232"/>
      <c r="AH601" s="232"/>
      <c r="AI601" s="232"/>
      <c r="AJ601" s="232"/>
      <c r="AK601" s="232"/>
      <c r="AL601" s="232"/>
      <c r="AM601" s="232"/>
      <c r="AN601" s="232"/>
      <c r="AO601" s="232"/>
      <c r="AP601" s="232"/>
      <c r="AQ601" s="232"/>
      <c r="AR601" s="232"/>
      <c r="AS601" s="232"/>
      <c r="AT601" s="232"/>
      <c r="AU601" s="232"/>
      <c r="AV601" s="232"/>
      <c r="AW601" s="232"/>
    </row>
    <row r="602" spans="1:49">
      <c r="A602" s="232"/>
      <c r="B602" s="232"/>
      <c r="C602" s="232"/>
      <c r="D602" s="232"/>
      <c r="E602" s="232"/>
      <c r="F602" s="232"/>
      <c r="G602" s="232"/>
      <c r="H602" s="232"/>
      <c r="I602" s="232"/>
      <c r="J602" s="232"/>
      <c r="K602" s="232"/>
      <c r="L602" s="232"/>
      <c r="M602" s="232"/>
      <c r="N602" s="232"/>
      <c r="O602" s="232"/>
      <c r="P602" s="232"/>
      <c r="Q602" s="232"/>
      <c r="R602" s="232"/>
      <c r="S602" s="232"/>
      <c r="T602" s="232"/>
      <c r="U602" s="232"/>
      <c r="V602" s="232"/>
      <c r="W602" s="232"/>
      <c r="X602" s="232"/>
      <c r="Y602" s="232"/>
      <c r="Z602" s="232"/>
      <c r="AA602" s="232"/>
      <c r="AB602" s="232"/>
      <c r="AC602" s="232"/>
      <c r="AD602" s="232"/>
      <c r="AE602" s="232"/>
      <c r="AF602" s="232"/>
      <c r="AG602" s="232"/>
      <c r="AH602" s="232"/>
      <c r="AI602" s="232"/>
      <c r="AJ602" s="232"/>
      <c r="AK602" s="232"/>
      <c r="AL602" s="232"/>
      <c r="AM602" s="232"/>
      <c r="AN602" s="232"/>
      <c r="AO602" s="232"/>
      <c r="AP602" s="232"/>
      <c r="AQ602" s="232"/>
      <c r="AR602" s="232"/>
      <c r="AS602" s="232"/>
      <c r="AT602" s="232"/>
      <c r="AU602" s="232"/>
      <c r="AV602" s="232"/>
      <c r="AW602" s="232"/>
    </row>
    <row r="603" spans="1:49">
      <c r="A603" s="232"/>
      <c r="B603" s="232"/>
      <c r="C603" s="232"/>
      <c r="D603" s="232"/>
      <c r="E603" s="232"/>
      <c r="F603" s="232"/>
      <c r="G603" s="232"/>
      <c r="H603" s="232"/>
      <c r="I603" s="232"/>
      <c r="J603" s="232"/>
      <c r="K603" s="232"/>
      <c r="L603" s="232"/>
      <c r="M603" s="232"/>
      <c r="N603" s="232"/>
      <c r="O603" s="232"/>
      <c r="P603" s="232"/>
      <c r="Q603" s="232"/>
      <c r="R603" s="232"/>
      <c r="S603" s="232"/>
      <c r="T603" s="232"/>
      <c r="U603" s="232"/>
      <c r="V603" s="232"/>
      <c r="W603" s="232"/>
      <c r="X603" s="232"/>
      <c r="Y603" s="232"/>
      <c r="Z603" s="232"/>
      <c r="AA603" s="232"/>
      <c r="AB603" s="232"/>
      <c r="AC603" s="232"/>
      <c r="AD603" s="232"/>
      <c r="AE603" s="232"/>
      <c r="AF603" s="232"/>
      <c r="AG603" s="232"/>
      <c r="AH603" s="232"/>
      <c r="AI603" s="232"/>
      <c r="AJ603" s="232"/>
      <c r="AK603" s="232"/>
      <c r="AL603" s="232"/>
      <c r="AM603" s="232"/>
      <c r="AN603" s="232"/>
      <c r="AO603" s="232"/>
      <c r="AP603" s="232"/>
      <c r="AQ603" s="232"/>
      <c r="AR603" s="232"/>
      <c r="AS603" s="232"/>
      <c r="AT603" s="232"/>
      <c r="AU603" s="232"/>
      <c r="AV603" s="232"/>
      <c r="AW603" s="232"/>
    </row>
    <row r="604" spans="1:49">
      <c r="A604" s="232"/>
      <c r="B604" s="232"/>
      <c r="C604" s="232"/>
      <c r="D604" s="232"/>
      <c r="E604" s="232"/>
      <c r="F604" s="232"/>
      <c r="G604" s="232"/>
      <c r="H604" s="232"/>
      <c r="I604" s="232"/>
      <c r="J604" s="232"/>
      <c r="K604" s="232"/>
      <c r="L604" s="232"/>
      <c r="M604" s="232"/>
      <c r="N604" s="232"/>
      <c r="O604" s="232"/>
      <c r="P604" s="232"/>
      <c r="Q604" s="232"/>
      <c r="R604" s="232"/>
      <c r="S604" s="232"/>
      <c r="T604" s="232"/>
      <c r="U604" s="232"/>
      <c r="V604" s="232"/>
      <c r="W604" s="232"/>
      <c r="X604" s="232"/>
      <c r="Y604" s="232"/>
      <c r="Z604" s="232"/>
      <c r="AA604" s="232"/>
      <c r="AB604" s="232"/>
      <c r="AC604" s="232"/>
      <c r="AD604" s="232"/>
      <c r="AE604" s="232"/>
      <c r="AF604" s="232"/>
      <c r="AG604" s="232"/>
      <c r="AH604" s="232"/>
      <c r="AI604" s="232"/>
      <c r="AJ604" s="232"/>
      <c r="AK604" s="232"/>
      <c r="AL604" s="232"/>
      <c r="AM604" s="232"/>
      <c r="AN604" s="232"/>
      <c r="AO604" s="232"/>
      <c r="AP604" s="232"/>
      <c r="AQ604" s="232"/>
      <c r="AR604" s="232"/>
      <c r="AS604" s="232"/>
      <c r="AT604" s="232"/>
      <c r="AU604" s="232"/>
      <c r="AV604" s="232"/>
      <c r="AW604" s="232"/>
    </row>
    <row r="605" spans="1:49">
      <c r="A605" s="232"/>
      <c r="B605" s="232"/>
      <c r="C605" s="232"/>
      <c r="D605" s="232"/>
      <c r="E605" s="232"/>
      <c r="F605" s="232"/>
      <c r="G605" s="232"/>
      <c r="H605" s="232"/>
      <c r="I605" s="232"/>
      <c r="J605" s="232"/>
      <c r="K605" s="232"/>
      <c r="L605" s="232"/>
      <c r="M605" s="232"/>
      <c r="N605" s="232"/>
      <c r="O605" s="232"/>
      <c r="P605" s="232"/>
      <c r="Q605" s="232"/>
      <c r="R605" s="232"/>
      <c r="S605" s="232"/>
      <c r="T605" s="232"/>
      <c r="U605" s="232"/>
      <c r="V605" s="232"/>
      <c r="W605" s="232"/>
      <c r="X605" s="232"/>
      <c r="Y605" s="232"/>
      <c r="Z605" s="232"/>
      <c r="AA605" s="232"/>
      <c r="AB605" s="232"/>
      <c r="AC605" s="232"/>
      <c r="AD605" s="232"/>
      <c r="AE605" s="232"/>
      <c r="AF605" s="232"/>
      <c r="AG605" s="232"/>
      <c r="AH605" s="232"/>
      <c r="AI605" s="232"/>
      <c r="AJ605" s="232"/>
      <c r="AK605" s="232"/>
      <c r="AL605" s="232"/>
      <c r="AM605" s="232"/>
      <c r="AN605" s="232"/>
      <c r="AO605" s="232"/>
      <c r="AP605" s="232"/>
      <c r="AQ605" s="232"/>
      <c r="AR605" s="232"/>
      <c r="AS605" s="232"/>
      <c r="AT605" s="232"/>
      <c r="AU605" s="232"/>
      <c r="AV605" s="232"/>
      <c r="AW605" s="232"/>
    </row>
    <row r="606" spans="1:49">
      <c r="A606" s="232"/>
      <c r="B606" s="232"/>
      <c r="C606" s="232"/>
      <c r="D606" s="232"/>
      <c r="E606" s="232"/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32"/>
      <c r="AT606" s="232"/>
      <c r="AU606" s="232"/>
      <c r="AV606" s="232"/>
      <c r="AW606" s="232"/>
    </row>
    <row r="607" spans="1:49">
      <c r="A607" s="232"/>
      <c r="B607" s="232"/>
      <c r="C607" s="232"/>
      <c r="D607" s="232"/>
      <c r="E607" s="232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32"/>
      <c r="AT607" s="232"/>
      <c r="AU607" s="232"/>
      <c r="AV607" s="232"/>
      <c r="AW607" s="232"/>
    </row>
    <row r="608" spans="1:49">
      <c r="A608" s="232"/>
      <c r="B608" s="232"/>
      <c r="C608" s="232"/>
      <c r="D608" s="232"/>
      <c r="E608" s="232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32"/>
      <c r="AT608" s="232"/>
      <c r="AU608" s="232"/>
      <c r="AV608" s="232"/>
      <c r="AW608" s="232"/>
    </row>
    <row r="609" spans="1:49">
      <c r="A609" s="232"/>
      <c r="B609" s="232"/>
      <c r="C609" s="232"/>
      <c r="D609" s="232"/>
      <c r="E609" s="232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32"/>
      <c r="AT609" s="232"/>
      <c r="AU609" s="232"/>
      <c r="AV609" s="232"/>
      <c r="AW609" s="232"/>
    </row>
    <row r="610" spans="1:49">
      <c r="A610" s="232"/>
      <c r="B610" s="232"/>
      <c r="C610" s="232"/>
      <c r="D610" s="232"/>
      <c r="E610" s="232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32"/>
      <c r="AT610" s="232"/>
      <c r="AU610" s="232"/>
      <c r="AV610" s="232"/>
      <c r="AW610" s="232"/>
    </row>
    <row r="611" spans="1:49">
      <c r="A611" s="232"/>
      <c r="B611" s="232"/>
      <c r="C611" s="232"/>
      <c r="D611" s="232"/>
      <c r="E611" s="232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32"/>
      <c r="AT611" s="232"/>
      <c r="AU611" s="232"/>
      <c r="AV611" s="232"/>
      <c r="AW611" s="232"/>
    </row>
    <row r="612" spans="1:49">
      <c r="A612" s="232"/>
      <c r="B612" s="232"/>
      <c r="C612" s="232"/>
      <c r="D612" s="232"/>
      <c r="E612" s="232"/>
      <c r="F612" s="232"/>
      <c r="G612" s="232"/>
      <c r="H612" s="232"/>
      <c r="I612" s="232"/>
      <c r="J612" s="232"/>
      <c r="K612" s="232"/>
      <c r="L612" s="232"/>
      <c r="M612" s="232"/>
      <c r="N612" s="232"/>
      <c r="O612" s="232"/>
      <c r="P612" s="232"/>
      <c r="Q612" s="232"/>
      <c r="R612" s="232"/>
      <c r="S612" s="232"/>
      <c r="T612" s="232"/>
      <c r="U612" s="232"/>
      <c r="V612" s="232"/>
      <c r="W612" s="232"/>
      <c r="X612" s="232"/>
      <c r="Y612" s="232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32"/>
      <c r="AT612" s="232"/>
      <c r="AU612" s="232"/>
      <c r="AV612" s="232"/>
      <c r="AW612" s="232"/>
    </row>
    <row r="613" spans="1:49">
      <c r="A613" s="232"/>
      <c r="B613" s="232"/>
      <c r="C613" s="232"/>
      <c r="D613" s="232"/>
      <c r="E613" s="232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2"/>
      <c r="R613" s="232"/>
      <c r="S613" s="232"/>
      <c r="T613" s="232"/>
      <c r="U613" s="232"/>
      <c r="V613" s="232"/>
      <c r="W613" s="232"/>
      <c r="X613" s="232"/>
      <c r="Y613" s="232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32"/>
      <c r="AT613" s="232"/>
      <c r="AU613" s="232"/>
      <c r="AV613" s="232"/>
      <c r="AW613" s="232"/>
    </row>
    <row r="614" spans="1:49">
      <c r="A614" s="232"/>
      <c r="B614" s="232"/>
      <c r="C614" s="232"/>
      <c r="D614" s="232"/>
      <c r="E614" s="232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2"/>
      <c r="R614" s="232"/>
      <c r="S614" s="232"/>
      <c r="T614" s="232"/>
      <c r="U614" s="232"/>
      <c r="V614" s="232"/>
      <c r="W614" s="232"/>
      <c r="X614" s="232"/>
      <c r="Y614" s="232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32"/>
      <c r="AT614" s="232"/>
      <c r="AU614" s="232"/>
      <c r="AV614" s="232"/>
      <c r="AW614" s="232"/>
    </row>
    <row r="615" spans="1:49">
      <c r="A615" s="232"/>
      <c r="B615" s="232"/>
      <c r="C615" s="232"/>
      <c r="D615" s="232"/>
      <c r="E615" s="232"/>
      <c r="F615" s="232"/>
      <c r="G615" s="232"/>
      <c r="H615" s="232"/>
      <c r="I615" s="232"/>
      <c r="J615" s="232"/>
      <c r="K615" s="232"/>
      <c r="L615" s="232"/>
      <c r="M615" s="232"/>
      <c r="N615" s="232"/>
      <c r="O615" s="232"/>
      <c r="P615" s="232"/>
      <c r="Q615" s="232"/>
      <c r="R615" s="232"/>
      <c r="S615" s="232"/>
      <c r="T615" s="232"/>
      <c r="U615" s="232"/>
      <c r="V615" s="232"/>
      <c r="W615" s="232"/>
      <c r="X615" s="232"/>
      <c r="Y615" s="232"/>
      <c r="Z615" s="232"/>
      <c r="AA615" s="232"/>
      <c r="AB615" s="232"/>
      <c r="AC615" s="232"/>
      <c r="AD615" s="232"/>
      <c r="AE615" s="232"/>
      <c r="AF615" s="232"/>
      <c r="AG615" s="232"/>
      <c r="AH615" s="232"/>
      <c r="AI615" s="232"/>
      <c r="AJ615" s="232"/>
      <c r="AK615" s="232"/>
      <c r="AL615" s="232"/>
      <c r="AM615" s="232"/>
      <c r="AN615" s="232"/>
      <c r="AO615" s="232"/>
      <c r="AP615" s="232"/>
      <c r="AQ615" s="232"/>
      <c r="AR615" s="232"/>
      <c r="AS615" s="232"/>
      <c r="AT615" s="232"/>
      <c r="AU615" s="232"/>
      <c r="AV615" s="232"/>
      <c r="AW615" s="232"/>
    </row>
    <row r="616" spans="1:49">
      <c r="A616" s="232"/>
      <c r="B616" s="232"/>
      <c r="C616" s="232"/>
      <c r="D616" s="232"/>
      <c r="E616" s="232"/>
      <c r="F616" s="232"/>
      <c r="G616" s="232"/>
      <c r="H616" s="232"/>
      <c r="I616" s="232"/>
      <c r="J616" s="232"/>
      <c r="K616" s="232"/>
      <c r="L616" s="232"/>
      <c r="M616" s="232"/>
      <c r="N616" s="232"/>
      <c r="O616" s="232"/>
      <c r="P616" s="232"/>
      <c r="Q616" s="232"/>
      <c r="R616" s="232"/>
      <c r="S616" s="232"/>
      <c r="T616" s="232"/>
      <c r="U616" s="232"/>
      <c r="V616" s="232"/>
      <c r="W616" s="232"/>
      <c r="X616" s="232"/>
      <c r="Y616" s="232"/>
      <c r="Z616" s="232"/>
      <c r="AA616" s="232"/>
      <c r="AB616" s="232"/>
      <c r="AC616" s="232"/>
      <c r="AD616" s="232"/>
      <c r="AE616" s="232"/>
      <c r="AF616" s="232"/>
      <c r="AG616" s="232"/>
      <c r="AH616" s="232"/>
      <c r="AI616" s="232"/>
      <c r="AJ616" s="232"/>
      <c r="AK616" s="232"/>
      <c r="AL616" s="232"/>
      <c r="AM616" s="232"/>
      <c r="AN616" s="232"/>
      <c r="AO616" s="232"/>
      <c r="AP616" s="232"/>
      <c r="AQ616" s="232"/>
      <c r="AR616" s="232"/>
      <c r="AS616" s="232"/>
      <c r="AT616" s="232"/>
      <c r="AU616" s="232"/>
      <c r="AV616" s="232"/>
      <c r="AW616" s="232"/>
    </row>
    <row r="617" spans="1:49">
      <c r="A617" s="232"/>
      <c r="B617" s="232"/>
      <c r="C617" s="232"/>
      <c r="D617" s="232"/>
      <c r="E617" s="232"/>
      <c r="F617" s="232"/>
      <c r="G617" s="232"/>
      <c r="H617" s="232"/>
      <c r="I617" s="232"/>
      <c r="J617" s="232"/>
      <c r="K617" s="232"/>
      <c r="L617" s="232"/>
      <c r="M617" s="232"/>
      <c r="N617" s="232"/>
      <c r="O617" s="232"/>
      <c r="P617" s="232"/>
      <c r="Q617" s="232"/>
      <c r="R617" s="232"/>
      <c r="S617" s="232"/>
      <c r="T617" s="232"/>
      <c r="U617" s="232"/>
      <c r="V617" s="232"/>
      <c r="W617" s="232"/>
      <c r="X617" s="232"/>
      <c r="Y617" s="232"/>
      <c r="Z617" s="232"/>
      <c r="AA617" s="232"/>
      <c r="AB617" s="232"/>
      <c r="AC617" s="232"/>
      <c r="AD617" s="232"/>
      <c r="AE617" s="232"/>
      <c r="AF617" s="232"/>
      <c r="AG617" s="232"/>
      <c r="AH617" s="232"/>
      <c r="AI617" s="232"/>
      <c r="AJ617" s="232"/>
      <c r="AK617" s="232"/>
      <c r="AL617" s="232"/>
      <c r="AM617" s="232"/>
      <c r="AN617" s="232"/>
      <c r="AO617" s="232"/>
      <c r="AP617" s="232"/>
      <c r="AQ617" s="232"/>
      <c r="AR617" s="232"/>
      <c r="AS617" s="232"/>
      <c r="AT617" s="232"/>
      <c r="AU617" s="232"/>
      <c r="AV617" s="232"/>
      <c r="AW617" s="232"/>
    </row>
    <row r="618" spans="1:49">
      <c r="A618" s="232"/>
      <c r="B618" s="232"/>
      <c r="C618" s="232"/>
      <c r="D618" s="232"/>
      <c r="E618" s="232"/>
      <c r="F618" s="232"/>
      <c r="G618" s="232"/>
      <c r="H618" s="232"/>
      <c r="I618" s="232"/>
      <c r="J618" s="232"/>
      <c r="K618" s="232"/>
      <c r="L618" s="232"/>
      <c r="M618" s="232"/>
      <c r="N618" s="232"/>
      <c r="O618" s="232"/>
      <c r="P618" s="232"/>
      <c r="Q618" s="232"/>
      <c r="R618" s="232"/>
      <c r="S618" s="232"/>
      <c r="T618" s="232"/>
      <c r="U618" s="232"/>
      <c r="V618" s="232"/>
      <c r="W618" s="232"/>
      <c r="X618" s="232"/>
      <c r="Y618" s="232"/>
      <c r="Z618" s="232"/>
      <c r="AA618" s="232"/>
      <c r="AB618" s="232"/>
      <c r="AC618" s="232"/>
      <c r="AD618" s="232"/>
      <c r="AE618" s="232"/>
      <c r="AF618" s="232"/>
      <c r="AG618" s="232"/>
      <c r="AH618" s="232"/>
      <c r="AI618" s="232"/>
      <c r="AJ618" s="232"/>
      <c r="AK618" s="232"/>
      <c r="AL618" s="232"/>
      <c r="AM618" s="232"/>
      <c r="AN618" s="232"/>
      <c r="AO618" s="232"/>
      <c r="AP618" s="232"/>
      <c r="AQ618" s="232"/>
      <c r="AR618" s="232"/>
      <c r="AS618" s="232"/>
      <c r="AT618" s="232"/>
      <c r="AU618" s="232"/>
      <c r="AV618" s="232"/>
      <c r="AW618" s="232"/>
    </row>
    <row r="619" spans="1:49">
      <c r="A619" s="232"/>
      <c r="B619" s="232"/>
      <c r="C619" s="232"/>
      <c r="D619" s="232"/>
      <c r="E619" s="232"/>
      <c r="F619" s="232"/>
      <c r="G619" s="232"/>
      <c r="H619" s="232"/>
      <c r="I619" s="232"/>
      <c r="J619" s="232"/>
      <c r="K619" s="232"/>
      <c r="L619" s="232"/>
      <c r="M619" s="232"/>
      <c r="N619" s="232"/>
      <c r="O619" s="232"/>
      <c r="P619" s="232"/>
      <c r="Q619" s="232"/>
      <c r="R619" s="232"/>
      <c r="S619" s="232"/>
      <c r="T619" s="232"/>
      <c r="U619" s="232"/>
      <c r="V619" s="232"/>
      <c r="W619" s="232"/>
      <c r="X619" s="232"/>
      <c r="Y619" s="232"/>
      <c r="Z619" s="232"/>
      <c r="AA619" s="232"/>
      <c r="AB619" s="232"/>
      <c r="AC619" s="232"/>
      <c r="AD619" s="232"/>
      <c r="AE619" s="232"/>
      <c r="AF619" s="232"/>
      <c r="AG619" s="232"/>
      <c r="AH619" s="232"/>
      <c r="AI619" s="232"/>
      <c r="AJ619" s="232"/>
      <c r="AK619" s="232"/>
      <c r="AL619" s="232"/>
      <c r="AM619" s="232"/>
      <c r="AN619" s="232"/>
      <c r="AO619" s="232"/>
      <c r="AP619" s="232"/>
      <c r="AQ619" s="232"/>
      <c r="AR619" s="232"/>
      <c r="AS619" s="232"/>
      <c r="AT619" s="232"/>
      <c r="AU619" s="232"/>
      <c r="AV619" s="232"/>
      <c r="AW619" s="232"/>
    </row>
    <row r="620" spans="1:49">
      <c r="A620" s="232"/>
      <c r="B620" s="232"/>
      <c r="C620" s="232"/>
      <c r="D620" s="232"/>
      <c r="E620" s="232"/>
      <c r="F620" s="232"/>
      <c r="G620" s="232"/>
      <c r="H620" s="232"/>
      <c r="I620" s="232"/>
      <c r="J620" s="232"/>
      <c r="K620" s="232"/>
      <c r="L620" s="232"/>
      <c r="M620" s="232"/>
      <c r="N620" s="232"/>
      <c r="O620" s="232"/>
      <c r="P620" s="232"/>
      <c r="Q620" s="232"/>
      <c r="R620" s="232"/>
      <c r="S620" s="232"/>
      <c r="T620" s="232"/>
      <c r="U620" s="232"/>
      <c r="V620" s="232"/>
      <c r="W620" s="232"/>
      <c r="X620" s="232"/>
      <c r="Y620" s="232"/>
      <c r="Z620" s="232"/>
      <c r="AA620" s="232"/>
      <c r="AB620" s="232"/>
      <c r="AC620" s="232"/>
      <c r="AD620" s="232"/>
      <c r="AE620" s="232"/>
      <c r="AF620" s="232"/>
      <c r="AG620" s="232"/>
      <c r="AH620" s="232"/>
      <c r="AI620" s="232"/>
      <c r="AJ620" s="232"/>
      <c r="AK620" s="232"/>
      <c r="AL620" s="232"/>
      <c r="AM620" s="232"/>
      <c r="AN620" s="232"/>
      <c r="AO620" s="232"/>
      <c r="AP620" s="232"/>
      <c r="AQ620" s="232"/>
      <c r="AR620" s="232"/>
      <c r="AS620" s="232"/>
      <c r="AT620" s="232"/>
      <c r="AU620" s="232"/>
      <c r="AV620" s="232"/>
      <c r="AW620" s="232"/>
    </row>
    <row r="621" spans="1:49">
      <c r="A621" s="232"/>
      <c r="B621" s="232"/>
      <c r="C621" s="232"/>
      <c r="D621" s="232"/>
      <c r="E621" s="232"/>
      <c r="F621" s="232"/>
      <c r="G621" s="232"/>
      <c r="H621" s="232"/>
      <c r="I621" s="232"/>
      <c r="J621" s="232"/>
      <c r="K621" s="232"/>
      <c r="L621" s="232"/>
      <c r="M621" s="232"/>
      <c r="N621" s="232"/>
      <c r="O621" s="232"/>
      <c r="P621" s="232"/>
      <c r="Q621" s="232"/>
      <c r="R621" s="232"/>
      <c r="S621" s="232"/>
      <c r="T621" s="232"/>
      <c r="U621" s="232"/>
      <c r="V621" s="232"/>
      <c r="W621" s="232"/>
      <c r="X621" s="232"/>
      <c r="Y621" s="232"/>
      <c r="Z621" s="232"/>
      <c r="AA621" s="232"/>
      <c r="AB621" s="232"/>
      <c r="AC621" s="232"/>
      <c r="AD621" s="232"/>
      <c r="AE621" s="232"/>
      <c r="AF621" s="232"/>
      <c r="AG621" s="232"/>
      <c r="AH621" s="232"/>
      <c r="AI621" s="232"/>
      <c r="AJ621" s="232"/>
      <c r="AK621" s="232"/>
      <c r="AL621" s="232"/>
      <c r="AM621" s="232"/>
      <c r="AN621" s="232"/>
      <c r="AO621" s="232"/>
      <c r="AP621" s="232"/>
      <c r="AQ621" s="232"/>
      <c r="AR621" s="232"/>
      <c r="AS621" s="232"/>
      <c r="AT621" s="232"/>
      <c r="AU621" s="232"/>
      <c r="AV621" s="232"/>
      <c r="AW621" s="232"/>
    </row>
    <row r="622" spans="1:49">
      <c r="A622" s="232"/>
      <c r="B622" s="232"/>
      <c r="C622" s="232"/>
      <c r="D622" s="232"/>
      <c r="E622" s="232"/>
      <c r="F622" s="232"/>
      <c r="G622" s="232"/>
      <c r="H622" s="232"/>
      <c r="I622" s="232"/>
      <c r="J622" s="232"/>
      <c r="K622" s="232"/>
      <c r="L622" s="232"/>
      <c r="M622" s="232"/>
      <c r="N622" s="232"/>
      <c r="O622" s="232"/>
      <c r="P622" s="232"/>
      <c r="Q622" s="232"/>
      <c r="R622" s="232"/>
      <c r="S622" s="232"/>
      <c r="T622" s="232"/>
      <c r="U622" s="232"/>
      <c r="V622" s="232"/>
      <c r="W622" s="232"/>
      <c r="X622" s="232"/>
      <c r="Y622" s="232"/>
      <c r="Z622" s="232"/>
      <c r="AA622" s="232"/>
      <c r="AB622" s="232"/>
      <c r="AC622" s="232"/>
      <c r="AD622" s="232"/>
      <c r="AE622" s="232"/>
      <c r="AF622" s="232"/>
      <c r="AG622" s="232"/>
      <c r="AH622" s="232"/>
      <c r="AI622" s="232"/>
      <c r="AJ622" s="232"/>
      <c r="AK622" s="232"/>
      <c r="AL622" s="232"/>
      <c r="AM622" s="232"/>
      <c r="AN622" s="232"/>
      <c r="AO622" s="232"/>
      <c r="AP622" s="232"/>
      <c r="AQ622" s="232"/>
      <c r="AR622" s="232"/>
      <c r="AS622" s="232"/>
      <c r="AT622" s="232"/>
      <c r="AU622" s="232"/>
      <c r="AV622" s="232"/>
      <c r="AW622" s="232"/>
    </row>
    <row r="623" spans="1:49">
      <c r="A623" s="232"/>
      <c r="B623" s="232"/>
      <c r="C623" s="232"/>
      <c r="D623" s="232"/>
      <c r="E623" s="232"/>
      <c r="F623" s="232"/>
      <c r="G623" s="232"/>
      <c r="H623" s="232"/>
      <c r="I623" s="232"/>
      <c r="J623" s="232"/>
      <c r="K623" s="232"/>
      <c r="L623" s="232"/>
      <c r="M623" s="232"/>
      <c r="N623" s="232"/>
      <c r="O623" s="232"/>
      <c r="P623" s="232"/>
      <c r="Q623" s="232"/>
      <c r="R623" s="232"/>
      <c r="S623" s="232"/>
      <c r="T623" s="232"/>
      <c r="U623" s="232"/>
      <c r="V623" s="232"/>
      <c r="W623" s="232"/>
      <c r="X623" s="232"/>
      <c r="Y623" s="232"/>
      <c r="Z623" s="232"/>
      <c r="AA623" s="232"/>
      <c r="AB623" s="232"/>
      <c r="AC623" s="232"/>
      <c r="AD623" s="232"/>
      <c r="AE623" s="232"/>
      <c r="AF623" s="232"/>
      <c r="AG623" s="232"/>
      <c r="AH623" s="232"/>
      <c r="AI623" s="232"/>
      <c r="AJ623" s="232"/>
      <c r="AK623" s="232"/>
      <c r="AL623" s="232"/>
      <c r="AM623" s="232"/>
      <c r="AN623" s="232"/>
      <c r="AO623" s="232"/>
      <c r="AP623" s="232"/>
      <c r="AQ623" s="232"/>
      <c r="AR623" s="232"/>
      <c r="AS623" s="232"/>
      <c r="AT623" s="232"/>
      <c r="AU623" s="232"/>
      <c r="AV623" s="232"/>
      <c r="AW623" s="232"/>
    </row>
    <row r="624" spans="1:49">
      <c r="A624" s="232"/>
      <c r="B624" s="232"/>
      <c r="C624" s="232"/>
      <c r="D624" s="232"/>
      <c r="E624" s="232"/>
      <c r="F624" s="232"/>
      <c r="G624" s="232"/>
      <c r="H624" s="232"/>
      <c r="I624" s="232"/>
      <c r="J624" s="232"/>
      <c r="K624" s="232"/>
      <c r="L624" s="232"/>
      <c r="M624" s="232"/>
      <c r="N624" s="232"/>
      <c r="O624" s="232"/>
      <c r="P624" s="232"/>
      <c r="Q624" s="232"/>
      <c r="R624" s="232"/>
      <c r="S624" s="232"/>
      <c r="T624" s="232"/>
      <c r="U624" s="232"/>
      <c r="V624" s="232"/>
      <c r="W624" s="232"/>
      <c r="X624" s="232"/>
      <c r="Y624" s="232"/>
      <c r="Z624" s="232"/>
      <c r="AA624" s="232"/>
      <c r="AB624" s="232"/>
      <c r="AC624" s="232"/>
      <c r="AD624" s="232"/>
      <c r="AE624" s="232"/>
      <c r="AF624" s="232"/>
      <c r="AG624" s="232"/>
      <c r="AH624" s="232"/>
      <c r="AI624" s="232"/>
      <c r="AJ624" s="232"/>
      <c r="AK624" s="232"/>
      <c r="AL624" s="232"/>
      <c r="AM624" s="232"/>
      <c r="AN624" s="232"/>
      <c r="AO624" s="232"/>
      <c r="AP624" s="232"/>
      <c r="AQ624" s="232"/>
      <c r="AR624" s="232"/>
      <c r="AS624" s="232"/>
      <c r="AT624" s="232"/>
      <c r="AU624" s="232"/>
      <c r="AV624" s="232"/>
      <c r="AW624" s="232"/>
    </row>
    <row r="625" spans="1:49">
      <c r="A625" s="232"/>
      <c r="B625" s="232"/>
      <c r="C625" s="232"/>
      <c r="D625" s="232"/>
      <c r="E625" s="232"/>
      <c r="F625" s="232"/>
      <c r="G625" s="232"/>
      <c r="H625" s="232"/>
      <c r="I625" s="232"/>
      <c r="J625" s="232"/>
      <c r="K625" s="232"/>
      <c r="L625" s="232"/>
      <c r="M625" s="232"/>
      <c r="N625" s="232"/>
      <c r="O625" s="232"/>
      <c r="P625" s="232"/>
      <c r="Q625" s="232"/>
      <c r="R625" s="232"/>
      <c r="S625" s="232"/>
      <c r="T625" s="232"/>
      <c r="U625" s="232"/>
      <c r="V625" s="232"/>
      <c r="W625" s="232"/>
      <c r="X625" s="232"/>
      <c r="Y625" s="232"/>
      <c r="Z625" s="232"/>
      <c r="AA625" s="232"/>
      <c r="AB625" s="232"/>
      <c r="AC625" s="232"/>
      <c r="AD625" s="232"/>
      <c r="AE625" s="232"/>
      <c r="AF625" s="232"/>
      <c r="AG625" s="232"/>
      <c r="AH625" s="232"/>
      <c r="AI625" s="232"/>
      <c r="AJ625" s="232"/>
      <c r="AK625" s="232"/>
      <c r="AL625" s="232"/>
      <c r="AM625" s="232"/>
      <c r="AN625" s="232"/>
      <c r="AO625" s="232"/>
      <c r="AP625" s="232"/>
      <c r="AQ625" s="232"/>
      <c r="AR625" s="232"/>
      <c r="AS625" s="232"/>
      <c r="AT625" s="232"/>
      <c r="AU625" s="232"/>
      <c r="AV625" s="232"/>
      <c r="AW625" s="232"/>
    </row>
    <row r="626" spans="1:49">
      <c r="A626" s="232"/>
      <c r="B626" s="232"/>
      <c r="C626" s="232"/>
      <c r="D626" s="232"/>
      <c r="E626" s="232"/>
      <c r="F626" s="232"/>
      <c r="G626" s="232"/>
      <c r="H626" s="232"/>
      <c r="I626" s="232"/>
      <c r="J626" s="232"/>
      <c r="K626" s="232"/>
      <c r="L626" s="232"/>
      <c r="M626" s="232"/>
      <c r="N626" s="232"/>
      <c r="O626" s="232"/>
      <c r="P626" s="232"/>
      <c r="Q626" s="232"/>
      <c r="R626" s="232"/>
      <c r="S626" s="232"/>
      <c r="T626" s="232"/>
      <c r="U626" s="232"/>
      <c r="V626" s="232"/>
      <c r="W626" s="232"/>
      <c r="X626" s="232"/>
      <c r="Y626" s="232"/>
      <c r="Z626" s="232"/>
      <c r="AA626" s="232"/>
      <c r="AB626" s="232"/>
      <c r="AC626" s="232"/>
      <c r="AD626" s="232"/>
      <c r="AE626" s="232"/>
      <c r="AF626" s="232"/>
      <c r="AG626" s="232"/>
      <c r="AH626" s="232"/>
      <c r="AI626" s="232"/>
      <c r="AJ626" s="232"/>
      <c r="AK626" s="232"/>
      <c r="AL626" s="232"/>
      <c r="AM626" s="232"/>
      <c r="AN626" s="232"/>
      <c r="AO626" s="232"/>
      <c r="AP626" s="232"/>
      <c r="AQ626" s="232"/>
      <c r="AR626" s="232"/>
      <c r="AS626" s="232"/>
      <c r="AT626" s="232"/>
      <c r="AU626" s="232"/>
      <c r="AV626" s="232"/>
      <c r="AW626" s="232"/>
    </row>
    <row r="627" spans="1:49">
      <c r="A627" s="232"/>
      <c r="B627" s="232"/>
      <c r="C627" s="232"/>
      <c r="D627" s="232"/>
      <c r="E627" s="232"/>
      <c r="F627" s="232"/>
      <c r="G627" s="232"/>
      <c r="H627" s="232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32"/>
      <c r="AT627" s="232"/>
      <c r="AU627" s="232"/>
      <c r="AV627" s="232"/>
      <c r="AW627" s="232"/>
    </row>
    <row r="628" spans="1:49">
      <c r="A628" s="232"/>
      <c r="B628" s="232"/>
      <c r="C628" s="232"/>
      <c r="D628" s="232"/>
      <c r="E628" s="232"/>
      <c r="F628" s="232"/>
      <c r="G628" s="232"/>
      <c r="H628" s="232"/>
      <c r="I628" s="232"/>
      <c r="J628" s="232"/>
      <c r="K628" s="232"/>
      <c r="L628" s="232"/>
      <c r="M628" s="232"/>
      <c r="N628" s="232"/>
      <c r="O628" s="232"/>
      <c r="P628" s="232"/>
      <c r="Q628" s="232"/>
      <c r="R628" s="232"/>
      <c r="S628" s="232"/>
      <c r="T628" s="232"/>
      <c r="U628" s="232"/>
      <c r="V628" s="232"/>
      <c r="W628" s="232"/>
      <c r="X628" s="232"/>
      <c r="Y628" s="232"/>
      <c r="Z628" s="232"/>
      <c r="AA628" s="232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32"/>
      <c r="AT628" s="232"/>
      <c r="AU628" s="232"/>
      <c r="AV628" s="232"/>
      <c r="AW628" s="232"/>
    </row>
    <row r="629" spans="1:49">
      <c r="A629" s="232"/>
      <c r="B629" s="232"/>
      <c r="C629" s="232"/>
      <c r="D629" s="232"/>
      <c r="E629" s="232"/>
      <c r="F629" s="232"/>
      <c r="G629" s="232"/>
      <c r="H629" s="232"/>
      <c r="I629" s="232"/>
      <c r="J629" s="232"/>
      <c r="K629" s="232"/>
      <c r="L629" s="232"/>
      <c r="M629" s="232"/>
      <c r="N629" s="232"/>
      <c r="O629" s="232"/>
      <c r="P629" s="232"/>
      <c r="Q629" s="232"/>
      <c r="R629" s="232"/>
      <c r="S629" s="232"/>
      <c r="T629" s="232"/>
      <c r="U629" s="232"/>
      <c r="V629" s="232"/>
      <c r="W629" s="232"/>
      <c r="X629" s="232"/>
      <c r="Y629" s="232"/>
      <c r="Z629" s="232"/>
      <c r="AA629" s="232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32"/>
      <c r="AT629" s="232"/>
      <c r="AU629" s="232"/>
      <c r="AV629" s="232"/>
      <c r="AW629" s="232"/>
    </row>
    <row r="630" spans="1:49">
      <c r="A630" s="232"/>
      <c r="B630" s="232"/>
      <c r="C630" s="232"/>
      <c r="D630" s="232"/>
      <c r="E630" s="232"/>
      <c r="F630" s="232"/>
      <c r="G630" s="232"/>
      <c r="H630" s="232"/>
      <c r="I630" s="232"/>
      <c r="J630" s="232"/>
      <c r="K630" s="232"/>
      <c r="L630" s="232"/>
      <c r="M630" s="232"/>
      <c r="N630" s="232"/>
      <c r="O630" s="232"/>
      <c r="P630" s="232"/>
      <c r="Q630" s="232"/>
      <c r="R630" s="232"/>
      <c r="S630" s="232"/>
      <c r="T630" s="232"/>
      <c r="U630" s="232"/>
      <c r="V630" s="232"/>
      <c r="W630" s="232"/>
      <c r="X630" s="232"/>
      <c r="Y630" s="232"/>
      <c r="Z630" s="232"/>
      <c r="AA630" s="232"/>
      <c r="AB630" s="232"/>
      <c r="AC630" s="232"/>
      <c r="AD630" s="232"/>
      <c r="AE630" s="232"/>
      <c r="AF630" s="232"/>
      <c r="AG630" s="232"/>
      <c r="AH630" s="232"/>
      <c r="AI630" s="232"/>
      <c r="AJ630" s="232"/>
      <c r="AK630" s="232"/>
      <c r="AL630" s="232"/>
      <c r="AM630" s="232"/>
      <c r="AN630" s="232"/>
      <c r="AO630" s="232"/>
      <c r="AP630" s="232"/>
      <c r="AQ630" s="232"/>
      <c r="AR630" s="232"/>
      <c r="AS630" s="232"/>
      <c r="AT630" s="232"/>
      <c r="AU630" s="232"/>
      <c r="AV630" s="232"/>
      <c r="AW630" s="232"/>
    </row>
    <row r="631" spans="1:49">
      <c r="A631" s="232"/>
      <c r="B631" s="232"/>
      <c r="C631" s="232"/>
      <c r="D631" s="232"/>
      <c r="E631" s="232"/>
      <c r="F631" s="232"/>
      <c r="G631" s="232"/>
      <c r="H631" s="232"/>
      <c r="I631" s="232"/>
      <c r="J631" s="232"/>
      <c r="K631" s="232"/>
      <c r="L631" s="232"/>
      <c r="M631" s="232"/>
      <c r="N631" s="232"/>
      <c r="O631" s="232"/>
      <c r="P631" s="232"/>
      <c r="Q631" s="232"/>
      <c r="R631" s="232"/>
      <c r="S631" s="232"/>
      <c r="T631" s="232"/>
      <c r="U631" s="232"/>
      <c r="V631" s="232"/>
      <c r="W631" s="232"/>
      <c r="X631" s="232"/>
      <c r="Y631" s="232"/>
      <c r="Z631" s="232"/>
      <c r="AA631" s="232"/>
      <c r="AB631" s="232"/>
      <c r="AC631" s="232"/>
      <c r="AD631" s="232"/>
      <c r="AE631" s="232"/>
      <c r="AF631" s="232"/>
      <c r="AG631" s="232"/>
      <c r="AH631" s="232"/>
      <c r="AI631" s="232"/>
      <c r="AJ631" s="232"/>
      <c r="AK631" s="232"/>
      <c r="AL631" s="232"/>
      <c r="AM631" s="232"/>
      <c r="AN631" s="232"/>
      <c r="AO631" s="232"/>
      <c r="AP631" s="232"/>
      <c r="AQ631" s="232"/>
      <c r="AR631" s="232"/>
      <c r="AS631" s="232"/>
      <c r="AT631" s="232"/>
      <c r="AU631" s="232"/>
      <c r="AV631" s="232"/>
      <c r="AW631" s="232"/>
    </row>
    <row r="632" spans="1:49">
      <c r="A632" s="232"/>
      <c r="B632" s="232"/>
      <c r="C632" s="232"/>
      <c r="D632" s="232"/>
      <c r="E632" s="232"/>
      <c r="F632" s="232"/>
      <c r="G632" s="232"/>
      <c r="H632" s="232"/>
      <c r="I632" s="232"/>
      <c r="J632" s="232"/>
      <c r="K632" s="232"/>
      <c r="L632" s="232"/>
      <c r="M632" s="232"/>
      <c r="N632" s="232"/>
      <c r="O632" s="232"/>
      <c r="P632" s="232"/>
      <c r="Q632" s="232"/>
      <c r="R632" s="232"/>
      <c r="S632" s="232"/>
      <c r="T632" s="232"/>
      <c r="U632" s="232"/>
      <c r="V632" s="232"/>
      <c r="W632" s="232"/>
      <c r="X632" s="232"/>
      <c r="Y632" s="232"/>
      <c r="Z632" s="232"/>
      <c r="AA632" s="232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32"/>
      <c r="AT632" s="232"/>
      <c r="AU632" s="232"/>
      <c r="AV632" s="232"/>
      <c r="AW632" s="232"/>
    </row>
    <row r="633" spans="1:49">
      <c r="A633" s="232"/>
      <c r="B633" s="232"/>
      <c r="C633" s="232"/>
      <c r="D633" s="232"/>
      <c r="E633" s="232"/>
      <c r="F633" s="232"/>
      <c r="G633" s="232"/>
      <c r="H633" s="232"/>
      <c r="I633" s="232"/>
      <c r="J633" s="232"/>
      <c r="K633" s="232"/>
      <c r="L633" s="232"/>
      <c r="M633" s="232"/>
      <c r="N633" s="232"/>
      <c r="O633" s="232"/>
      <c r="P633" s="232"/>
      <c r="Q633" s="232"/>
      <c r="R633" s="232"/>
      <c r="S633" s="232"/>
      <c r="T633" s="232"/>
      <c r="U633" s="232"/>
      <c r="V633" s="232"/>
      <c r="W633" s="232"/>
      <c r="X633" s="232"/>
      <c r="Y633" s="232"/>
      <c r="Z633" s="232"/>
      <c r="AA633" s="232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32"/>
      <c r="AT633" s="232"/>
      <c r="AU633" s="232"/>
      <c r="AV633" s="232"/>
      <c r="AW633" s="232"/>
    </row>
    <row r="634" spans="1:49">
      <c r="A634" s="232"/>
      <c r="B634" s="232"/>
      <c r="C634" s="232"/>
      <c r="D634" s="232"/>
      <c r="E634" s="232"/>
      <c r="F634" s="232"/>
      <c r="G634" s="232"/>
      <c r="H634" s="232"/>
      <c r="I634" s="232"/>
      <c r="J634" s="232"/>
      <c r="K634" s="232"/>
      <c r="L634" s="232"/>
      <c r="M634" s="232"/>
      <c r="N634" s="232"/>
      <c r="O634" s="232"/>
      <c r="P634" s="232"/>
      <c r="Q634" s="232"/>
      <c r="R634" s="232"/>
      <c r="S634" s="232"/>
      <c r="T634" s="232"/>
      <c r="U634" s="232"/>
      <c r="V634" s="232"/>
      <c r="W634" s="232"/>
      <c r="X634" s="232"/>
      <c r="Y634" s="232"/>
      <c r="Z634" s="232"/>
      <c r="AA634" s="232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32"/>
      <c r="AT634" s="232"/>
      <c r="AU634" s="232"/>
      <c r="AV634" s="232"/>
      <c r="AW634" s="232"/>
    </row>
    <row r="635" spans="1:49">
      <c r="A635" s="232"/>
      <c r="B635" s="232"/>
      <c r="C635" s="232"/>
      <c r="D635" s="232"/>
      <c r="E635" s="232"/>
      <c r="F635" s="232"/>
      <c r="G635" s="232"/>
      <c r="H635" s="232"/>
      <c r="I635" s="232"/>
      <c r="J635" s="232"/>
      <c r="K635" s="232"/>
      <c r="L635" s="232"/>
      <c r="M635" s="232"/>
      <c r="N635" s="232"/>
      <c r="O635" s="232"/>
      <c r="P635" s="232"/>
      <c r="Q635" s="232"/>
      <c r="R635" s="232"/>
      <c r="S635" s="232"/>
      <c r="T635" s="232"/>
      <c r="U635" s="232"/>
      <c r="V635" s="232"/>
      <c r="W635" s="232"/>
      <c r="X635" s="232"/>
      <c r="Y635" s="232"/>
      <c r="Z635" s="232"/>
      <c r="AA635" s="232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32"/>
      <c r="AT635" s="232"/>
      <c r="AU635" s="232"/>
      <c r="AV635" s="232"/>
      <c r="AW635" s="232"/>
    </row>
    <row r="636" spans="1:49">
      <c r="A636" s="232"/>
      <c r="B636" s="232"/>
      <c r="C636" s="232"/>
      <c r="D636" s="232"/>
      <c r="E636" s="232"/>
      <c r="F636" s="232"/>
      <c r="G636" s="232"/>
      <c r="H636" s="232"/>
      <c r="I636" s="232"/>
      <c r="J636" s="232"/>
      <c r="K636" s="232"/>
      <c r="L636" s="232"/>
      <c r="M636" s="232"/>
      <c r="N636" s="232"/>
      <c r="O636" s="232"/>
      <c r="P636" s="232"/>
      <c r="Q636" s="232"/>
      <c r="R636" s="232"/>
      <c r="S636" s="232"/>
      <c r="T636" s="232"/>
      <c r="U636" s="232"/>
      <c r="V636" s="232"/>
      <c r="W636" s="232"/>
      <c r="X636" s="232"/>
      <c r="Y636" s="232"/>
      <c r="Z636" s="232"/>
      <c r="AA636" s="232"/>
      <c r="AB636" s="232"/>
      <c r="AC636" s="232"/>
      <c r="AD636" s="232"/>
      <c r="AE636" s="232"/>
      <c r="AF636" s="232"/>
      <c r="AG636" s="232"/>
      <c r="AH636" s="232"/>
      <c r="AI636" s="232"/>
      <c r="AJ636" s="232"/>
      <c r="AK636" s="232"/>
      <c r="AL636" s="232"/>
      <c r="AM636" s="232"/>
      <c r="AN636" s="232"/>
      <c r="AO636" s="232"/>
      <c r="AP636" s="232"/>
      <c r="AQ636" s="232"/>
      <c r="AR636" s="232"/>
      <c r="AS636" s="232"/>
      <c r="AT636" s="232"/>
      <c r="AU636" s="232"/>
      <c r="AV636" s="232"/>
      <c r="AW636" s="232"/>
    </row>
    <row r="637" spans="1:49">
      <c r="A637" s="232"/>
      <c r="B637" s="232"/>
      <c r="C637" s="232"/>
      <c r="D637" s="232"/>
      <c r="E637" s="232"/>
      <c r="F637" s="232"/>
      <c r="G637" s="232"/>
      <c r="H637" s="232"/>
      <c r="I637" s="232"/>
      <c r="J637" s="232"/>
      <c r="K637" s="232"/>
      <c r="L637" s="232"/>
      <c r="M637" s="232"/>
      <c r="N637" s="232"/>
      <c r="O637" s="232"/>
      <c r="P637" s="232"/>
      <c r="Q637" s="232"/>
      <c r="R637" s="232"/>
      <c r="S637" s="232"/>
      <c r="T637" s="232"/>
      <c r="U637" s="232"/>
      <c r="V637" s="232"/>
      <c r="W637" s="232"/>
      <c r="X637" s="232"/>
      <c r="Y637" s="232"/>
      <c r="Z637" s="232"/>
      <c r="AA637" s="232"/>
      <c r="AB637" s="232"/>
      <c r="AC637" s="232"/>
      <c r="AD637" s="232"/>
      <c r="AE637" s="232"/>
      <c r="AF637" s="232"/>
      <c r="AG637" s="232"/>
      <c r="AH637" s="232"/>
      <c r="AI637" s="232"/>
      <c r="AJ637" s="232"/>
      <c r="AK637" s="232"/>
      <c r="AL637" s="232"/>
      <c r="AM637" s="232"/>
      <c r="AN637" s="232"/>
      <c r="AO637" s="232"/>
      <c r="AP637" s="232"/>
      <c r="AQ637" s="232"/>
      <c r="AR637" s="232"/>
      <c r="AS637" s="232"/>
      <c r="AT637" s="232"/>
      <c r="AU637" s="232"/>
      <c r="AV637" s="232"/>
      <c r="AW637" s="232"/>
    </row>
    <row r="638" spans="1:49">
      <c r="A638" s="232"/>
      <c r="B638" s="232"/>
      <c r="C638" s="232"/>
      <c r="D638" s="232"/>
      <c r="E638" s="232"/>
      <c r="F638" s="232"/>
      <c r="G638" s="232"/>
      <c r="H638" s="232"/>
      <c r="I638" s="232"/>
      <c r="J638" s="232"/>
      <c r="K638" s="232"/>
      <c r="L638" s="232"/>
      <c r="M638" s="232"/>
      <c r="N638" s="232"/>
      <c r="O638" s="232"/>
      <c r="P638" s="232"/>
      <c r="Q638" s="232"/>
      <c r="R638" s="232"/>
      <c r="S638" s="232"/>
      <c r="T638" s="232"/>
      <c r="U638" s="232"/>
      <c r="V638" s="232"/>
      <c r="W638" s="232"/>
      <c r="X638" s="232"/>
      <c r="Y638" s="232"/>
      <c r="Z638" s="232"/>
      <c r="AA638" s="232"/>
      <c r="AB638" s="232"/>
      <c r="AC638" s="232"/>
      <c r="AD638" s="232"/>
      <c r="AE638" s="232"/>
      <c r="AF638" s="232"/>
      <c r="AG638" s="232"/>
      <c r="AH638" s="232"/>
      <c r="AI638" s="232"/>
      <c r="AJ638" s="232"/>
      <c r="AK638" s="232"/>
      <c r="AL638" s="232"/>
      <c r="AM638" s="232"/>
      <c r="AN638" s="232"/>
      <c r="AO638" s="232"/>
      <c r="AP638" s="232"/>
      <c r="AQ638" s="232"/>
      <c r="AR638" s="232"/>
      <c r="AS638" s="232"/>
      <c r="AT638" s="232"/>
      <c r="AU638" s="232"/>
      <c r="AV638" s="232"/>
      <c r="AW638" s="232"/>
    </row>
    <row r="639" spans="1:49">
      <c r="A639" s="232"/>
      <c r="B639" s="232"/>
      <c r="C639" s="232"/>
      <c r="D639" s="232"/>
      <c r="E639" s="232"/>
      <c r="F639" s="232"/>
      <c r="G639" s="232"/>
      <c r="H639" s="232"/>
      <c r="I639" s="232"/>
      <c r="J639" s="232"/>
      <c r="K639" s="232"/>
      <c r="L639" s="232"/>
      <c r="M639" s="232"/>
      <c r="N639" s="232"/>
      <c r="O639" s="232"/>
      <c r="P639" s="232"/>
      <c r="Q639" s="232"/>
      <c r="R639" s="232"/>
      <c r="S639" s="232"/>
      <c r="T639" s="232"/>
      <c r="U639" s="232"/>
      <c r="V639" s="232"/>
      <c r="W639" s="232"/>
      <c r="X639" s="232"/>
      <c r="Y639" s="232"/>
      <c r="Z639" s="232"/>
      <c r="AA639" s="232"/>
      <c r="AB639" s="232"/>
      <c r="AC639" s="232"/>
      <c r="AD639" s="232"/>
      <c r="AE639" s="232"/>
      <c r="AF639" s="232"/>
      <c r="AG639" s="232"/>
      <c r="AH639" s="232"/>
      <c r="AI639" s="232"/>
      <c r="AJ639" s="232"/>
      <c r="AK639" s="232"/>
      <c r="AL639" s="232"/>
      <c r="AM639" s="232"/>
      <c r="AN639" s="232"/>
      <c r="AO639" s="232"/>
      <c r="AP639" s="232"/>
      <c r="AQ639" s="232"/>
      <c r="AR639" s="232"/>
      <c r="AS639" s="232"/>
      <c r="AT639" s="232"/>
      <c r="AU639" s="232"/>
      <c r="AV639" s="232"/>
      <c r="AW639" s="232"/>
    </row>
    <row r="640" spans="1:49">
      <c r="A640" s="232"/>
      <c r="B640" s="232"/>
      <c r="C640" s="232"/>
      <c r="D640" s="232"/>
      <c r="E640" s="232"/>
      <c r="F640" s="232"/>
      <c r="G640" s="232"/>
      <c r="H640" s="232"/>
      <c r="I640" s="232"/>
      <c r="J640" s="232"/>
      <c r="K640" s="232"/>
      <c r="L640" s="232"/>
      <c r="M640" s="232"/>
      <c r="N640" s="232"/>
      <c r="O640" s="232"/>
      <c r="P640" s="232"/>
      <c r="Q640" s="232"/>
      <c r="R640" s="232"/>
      <c r="S640" s="232"/>
      <c r="T640" s="232"/>
      <c r="U640" s="232"/>
      <c r="V640" s="232"/>
      <c r="W640" s="232"/>
      <c r="X640" s="232"/>
      <c r="Y640" s="232"/>
      <c r="Z640" s="232"/>
      <c r="AA640" s="232"/>
      <c r="AB640" s="232"/>
      <c r="AC640" s="232"/>
      <c r="AD640" s="232"/>
      <c r="AE640" s="232"/>
      <c r="AF640" s="232"/>
      <c r="AG640" s="232"/>
      <c r="AH640" s="232"/>
      <c r="AI640" s="232"/>
      <c r="AJ640" s="232"/>
      <c r="AK640" s="232"/>
      <c r="AL640" s="232"/>
      <c r="AM640" s="232"/>
      <c r="AN640" s="232"/>
      <c r="AO640" s="232"/>
      <c r="AP640" s="232"/>
      <c r="AQ640" s="232"/>
      <c r="AR640" s="232"/>
      <c r="AS640" s="232"/>
      <c r="AT640" s="232"/>
      <c r="AU640" s="232"/>
      <c r="AV640" s="232"/>
      <c r="AW640" s="232"/>
    </row>
    <row r="641" spans="1:49">
      <c r="A641" s="232"/>
      <c r="B641" s="232"/>
      <c r="C641" s="232"/>
      <c r="D641" s="232"/>
      <c r="E641" s="232"/>
      <c r="F641" s="232"/>
      <c r="G641" s="232"/>
      <c r="H641" s="232"/>
      <c r="I641" s="232"/>
      <c r="J641" s="232"/>
      <c r="K641" s="232"/>
      <c r="L641" s="232"/>
      <c r="M641" s="232"/>
      <c r="N641" s="232"/>
      <c r="O641" s="232"/>
      <c r="P641" s="232"/>
      <c r="Q641" s="232"/>
      <c r="R641" s="232"/>
      <c r="S641" s="232"/>
      <c r="T641" s="232"/>
      <c r="U641" s="232"/>
      <c r="V641" s="232"/>
      <c r="W641" s="232"/>
      <c r="X641" s="232"/>
      <c r="Y641" s="232"/>
      <c r="Z641" s="232"/>
      <c r="AA641" s="232"/>
      <c r="AB641" s="232"/>
      <c r="AC641" s="232"/>
      <c r="AD641" s="232"/>
      <c r="AE641" s="232"/>
      <c r="AF641" s="232"/>
      <c r="AG641" s="232"/>
      <c r="AH641" s="232"/>
      <c r="AI641" s="232"/>
      <c r="AJ641" s="232"/>
      <c r="AK641" s="232"/>
      <c r="AL641" s="232"/>
      <c r="AM641" s="232"/>
      <c r="AN641" s="232"/>
      <c r="AO641" s="232"/>
      <c r="AP641" s="232"/>
      <c r="AQ641" s="232"/>
      <c r="AR641" s="232"/>
      <c r="AS641" s="232"/>
      <c r="AT641" s="232"/>
      <c r="AU641" s="232"/>
      <c r="AV641" s="232"/>
      <c r="AW641" s="232"/>
    </row>
    <row r="642" spans="1:49">
      <c r="A642" s="232"/>
      <c r="B642" s="232"/>
      <c r="C642" s="232"/>
      <c r="D642" s="232"/>
      <c r="E642" s="232"/>
      <c r="F642" s="232"/>
      <c r="G642" s="232"/>
      <c r="H642" s="232"/>
      <c r="I642" s="232"/>
      <c r="J642" s="232"/>
      <c r="K642" s="232"/>
      <c r="L642" s="232"/>
      <c r="M642" s="232"/>
      <c r="N642" s="232"/>
      <c r="O642" s="232"/>
      <c r="P642" s="232"/>
      <c r="Q642" s="232"/>
      <c r="R642" s="232"/>
      <c r="S642" s="232"/>
      <c r="T642" s="232"/>
      <c r="U642" s="232"/>
      <c r="V642" s="232"/>
      <c r="W642" s="232"/>
      <c r="X642" s="232"/>
      <c r="Y642" s="232"/>
      <c r="Z642" s="232"/>
      <c r="AA642" s="232"/>
      <c r="AB642" s="232"/>
      <c r="AC642" s="232"/>
      <c r="AD642" s="232"/>
      <c r="AE642" s="232"/>
      <c r="AF642" s="232"/>
      <c r="AG642" s="232"/>
      <c r="AH642" s="232"/>
      <c r="AI642" s="232"/>
      <c r="AJ642" s="232"/>
      <c r="AK642" s="232"/>
      <c r="AL642" s="232"/>
      <c r="AM642" s="232"/>
      <c r="AN642" s="232"/>
      <c r="AO642" s="232"/>
      <c r="AP642" s="232"/>
      <c r="AQ642" s="232"/>
      <c r="AR642" s="232"/>
      <c r="AS642" s="232"/>
      <c r="AT642" s="232"/>
      <c r="AU642" s="232"/>
      <c r="AV642" s="232"/>
      <c r="AW642" s="232"/>
    </row>
    <row r="643" spans="1:49">
      <c r="A643" s="232"/>
      <c r="B643" s="232"/>
      <c r="C643" s="232"/>
      <c r="D643" s="232"/>
      <c r="E643" s="232"/>
      <c r="F643" s="232"/>
      <c r="G643" s="232"/>
      <c r="H643" s="232"/>
      <c r="I643" s="232"/>
      <c r="J643" s="232"/>
      <c r="K643" s="232"/>
      <c r="L643" s="232"/>
      <c r="M643" s="232"/>
      <c r="N643" s="232"/>
      <c r="O643" s="232"/>
      <c r="P643" s="232"/>
      <c r="Q643" s="232"/>
      <c r="R643" s="232"/>
      <c r="S643" s="232"/>
      <c r="T643" s="232"/>
      <c r="U643" s="232"/>
      <c r="V643" s="232"/>
      <c r="W643" s="232"/>
      <c r="X643" s="232"/>
      <c r="Y643" s="232"/>
      <c r="Z643" s="232"/>
      <c r="AA643" s="232"/>
      <c r="AB643" s="232"/>
      <c r="AC643" s="232"/>
      <c r="AD643" s="232"/>
      <c r="AE643" s="232"/>
      <c r="AF643" s="232"/>
      <c r="AG643" s="232"/>
      <c r="AH643" s="232"/>
      <c r="AI643" s="232"/>
      <c r="AJ643" s="232"/>
      <c r="AK643" s="232"/>
      <c r="AL643" s="232"/>
      <c r="AM643" s="232"/>
      <c r="AN643" s="232"/>
      <c r="AO643" s="232"/>
      <c r="AP643" s="232"/>
      <c r="AQ643" s="232"/>
      <c r="AR643" s="232"/>
      <c r="AS643" s="232"/>
      <c r="AT643" s="232"/>
      <c r="AU643" s="232"/>
      <c r="AV643" s="232"/>
      <c r="AW643" s="232"/>
    </row>
    <row r="644" spans="1:49">
      <c r="A644" s="232"/>
      <c r="B644" s="232"/>
      <c r="C644" s="232"/>
      <c r="D644" s="232"/>
      <c r="E644" s="232"/>
      <c r="F644" s="232"/>
      <c r="G644" s="232"/>
      <c r="H644" s="232"/>
      <c r="I644" s="232"/>
      <c r="J644" s="232"/>
      <c r="K644" s="232"/>
      <c r="L644" s="232"/>
      <c r="M644" s="232"/>
      <c r="N644" s="232"/>
      <c r="O644" s="232"/>
      <c r="P644" s="232"/>
      <c r="Q644" s="232"/>
      <c r="R644" s="232"/>
      <c r="S644" s="232"/>
      <c r="T644" s="232"/>
      <c r="U644" s="232"/>
      <c r="V644" s="232"/>
      <c r="W644" s="232"/>
      <c r="X644" s="232"/>
      <c r="Y644" s="232"/>
      <c r="Z644" s="232"/>
      <c r="AA644" s="232"/>
      <c r="AB644" s="232"/>
      <c r="AC644" s="232"/>
      <c r="AD644" s="232"/>
      <c r="AE644" s="232"/>
      <c r="AF644" s="232"/>
      <c r="AG644" s="232"/>
      <c r="AH644" s="232"/>
      <c r="AI644" s="232"/>
      <c r="AJ644" s="232"/>
      <c r="AK644" s="232"/>
      <c r="AL644" s="232"/>
      <c r="AM644" s="232"/>
      <c r="AN644" s="232"/>
      <c r="AO644" s="232"/>
      <c r="AP644" s="232"/>
      <c r="AQ644" s="232"/>
      <c r="AR644" s="232"/>
      <c r="AS644" s="232"/>
      <c r="AT644" s="232"/>
      <c r="AU644" s="232"/>
      <c r="AV644" s="232"/>
      <c r="AW644" s="232"/>
    </row>
    <row r="645" spans="1:49">
      <c r="A645" s="232"/>
      <c r="B645" s="232"/>
      <c r="C645" s="232"/>
      <c r="D645" s="232"/>
      <c r="E645" s="232"/>
      <c r="F645" s="232"/>
      <c r="G645" s="232"/>
      <c r="H645" s="232"/>
      <c r="I645" s="232"/>
      <c r="J645" s="232"/>
      <c r="K645" s="232"/>
      <c r="L645" s="232"/>
      <c r="M645" s="232"/>
      <c r="N645" s="232"/>
      <c r="O645" s="232"/>
      <c r="P645" s="232"/>
      <c r="Q645" s="232"/>
      <c r="R645" s="232"/>
      <c r="S645" s="232"/>
      <c r="T645" s="232"/>
      <c r="U645" s="232"/>
      <c r="V645" s="232"/>
      <c r="W645" s="232"/>
      <c r="X645" s="232"/>
      <c r="Y645" s="232"/>
      <c r="Z645" s="232"/>
      <c r="AA645" s="232"/>
      <c r="AB645" s="232"/>
      <c r="AC645" s="232"/>
      <c r="AD645" s="232"/>
      <c r="AE645" s="232"/>
      <c r="AF645" s="232"/>
      <c r="AG645" s="232"/>
      <c r="AH645" s="232"/>
      <c r="AI645" s="232"/>
      <c r="AJ645" s="232"/>
      <c r="AK645" s="232"/>
      <c r="AL645" s="232"/>
      <c r="AM645" s="232"/>
      <c r="AN645" s="232"/>
      <c r="AO645" s="232"/>
      <c r="AP645" s="232"/>
      <c r="AQ645" s="232"/>
      <c r="AR645" s="232"/>
      <c r="AS645" s="232"/>
      <c r="AT645" s="232"/>
      <c r="AU645" s="232"/>
      <c r="AV645" s="232"/>
      <c r="AW645" s="232"/>
    </row>
    <row r="646" spans="1:49">
      <c r="A646" s="232"/>
      <c r="B646" s="232"/>
      <c r="C646" s="232"/>
      <c r="D646" s="232"/>
      <c r="E646" s="232"/>
      <c r="F646" s="232"/>
      <c r="G646" s="232"/>
      <c r="H646" s="232"/>
      <c r="I646" s="232"/>
      <c r="J646" s="232"/>
      <c r="K646" s="232"/>
      <c r="L646" s="232"/>
      <c r="M646" s="232"/>
      <c r="N646" s="232"/>
      <c r="O646" s="232"/>
      <c r="P646" s="232"/>
      <c r="Q646" s="232"/>
      <c r="R646" s="232"/>
      <c r="S646" s="232"/>
      <c r="T646" s="232"/>
      <c r="U646" s="232"/>
      <c r="V646" s="232"/>
      <c r="W646" s="232"/>
      <c r="X646" s="232"/>
      <c r="Y646" s="232"/>
      <c r="Z646" s="232"/>
      <c r="AA646" s="232"/>
      <c r="AB646" s="232"/>
      <c r="AC646" s="232"/>
      <c r="AD646" s="232"/>
      <c r="AE646" s="232"/>
      <c r="AF646" s="232"/>
      <c r="AG646" s="232"/>
      <c r="AH646" s="232"/>
      <c r="AI646" s="232"/>
      <c r="AJ646" s="232"/>
      <c r="AK646" s="232"/>
      <c r="AL646" s="232"/>
      <c r="AM646" s="232"/>
      <c r="AN646" s="232"/>
      <c r="AO646" s="232"/>
      <c r="AP646" s="232"/>
      <c r="AQ646" s="232"/>
      <c r="AR646" s="232"/>
      <c r="AS646" s="232"/>
      <c r="AT646" s="232"/>
      <c r="AU646" s="232"/>
      <c r="AV646" s="232"/>
      <c r="AW646" s="232"/>
    </row>
    <row r="647" spans="1:49">
      <c r="A647" s="232"/>
      <c r="B647" s="232"/>
      <c r="C647" s="232"/>
      <c r="D647" s="232"/>
      <c r="E647" s="232"/>
      <c r="F647" s="232"/>
      <c r="G647" s="232"/>
      <c r="H647" s="232"/>
      <c r="I647" s="232"/>
      <c r="J647" s="232"/>
      <c r="K647" s="232"/>
      <c r="L647" s="232"/>
      <c r="M647" s="232"/>
      <c r="N647" s="232"/>
      <c r="O647" s="232"/>
      <c r="P647" s="232"/>
      <c r="Q647" s="232"/>
      <c r="R647" s="232"/>
      <c r="S647" s="232"/>
      <c r="T647" s="232"/>
      <c r="U647" s="232"/>
      <c r="V647" s="232"/>
      <c r="W647" s="232"/>
      <c r="X647" s="232"/>
      <c r="Y647" s="232"/>
      <c r="Z647" s="232"/>
      <c r="AA647" s="232"/>
      <c r="AB647" s="232"/>
      <c r="AC647" s="232"/>
      <c r="AD647" s="232"/>
      <c r="AE647" s="232"/>
      <c r="AF647" s="232"/>
      <c r="AG647" s="232"/>
      <c r="AH647" s="232"/>
      <c r="AI647" s="232"/>
      <c r="AJ647" s="232"/>
      <c r="AK647" s="232"/>
      <c r="AL647" s="232"/>
      <c r="AM647" s="232"/>
      <c r="AN647" s="232"/>
      <c r="AO647" s="232"/>
      <c r="AP647" s="232"/>
      <c r="AQ647" s="232"/>
      <c r="AR647" s="232"/>
      <c r="AS647" s="232"/>
      <c r="AT647" s="232"/>
      <c r="AU647" s="232"/>
      <c r="AV647" s="232"/>
      <c r="AW647" s="232"/>
    </row>
    <row r="648" spans="1:49">
      <c r="A648" s="232"/>
      <c r="B648" s="232"/>
      <c r="C648" s="232"/>
      <c r="D648" s="232"/>
      <c r="E648" s="232"/>
      <c r="F648" s="232"/>
      <c r="G648" s="232"/>
      <c r="H648" s="232"/>
      <c r="I648" s="232"/>
      <c r="J648" s="232"/>
      <c r="K648" s="232"/>
      <c r="L648" s="232"/>
      <c r="M648" s="232"/>
      <c r="N648" s="232"/>
      <c r="O648" s="232"/>
      <c r="P648" s="232"/>
      <c r="Q648" s="232"/>
      <c r="R648" s="232"/>
      <c r="S648" s="232"/>
      <c r="T648" s="232"/>
      <c r="U648" s="232"/>
      <c r="V648" s="232"/>
      <c r="W648" s="232"/>
      <c r="X648" s="232"/>
      <c r="Y648" s="232"/>
      <c r="Z648" s="232"/>
      <c r="AA648" s="232"/>
      <c r="AB648" s="232"/>
      <c r="AC648" s="232"/>
      <c r="AD648" s="232"/>
      <c r="AE648" s="232"/>
      <c r="AF648" s="232"/>
      <c r="AG648" s="232"/>
      <c r="AH648" s="232"/>
      <c r="AI648" s="232"/>
      <c r="AJ648" s="232"/>
      <c r="AK648" s="232"/>
      <c r="AL648" s="232"/>
      <c r="AM648" s="232"/>
      <c r="AN648" s="232"/>
      <c r="AO648" s="232"/>
      <c r="AP648" s="232"/>
      <c r="AQ648" s="232"/>
      <c r="AR648" s="232"/>
      <c r="AS648" s="232"/>
      <c r="AT648" s="232"/>
      <c r="AU648" s="232"/>
      <c r="AV648" s="232"/>
      <c r="AW648" s="232"/>
    </row>
    <row r="649" spans="1:49">
      <c r="A649" s="232"/>
      <c r="B649" s="232"/>
      <c r="C649" s="232"/>
      <c r="D649" s="232"/>
      <c r="E649" s="232"/>
      <c r="F649" s="232"/>
      <c r="G649" s="232"/>
      <c r="H649" s="232"/>
      <c r="I649" s="232"/>
      <c r="J649" s="232"/>
      <c r="K649" s="232"/>
      <c r="L649" s="232"/>
      <c r="M649" s="232"/>
      <c r="N649" s="232"/>
      <c r="O649" s="232"/>
      <c r="P649" s="232"/>
      <c r="Q649" s="232"/>
      <c r="R649" s="232"/>
      <c r="S649" s="232"/>
      <c r="T649" s="232"/>
      <c r="U649" s="232"/>
      <c r="V649" s="232"/>
      <c r="W649" s="232"/>
      <c r="X649" s="232"/>
      <c r="Y649" s="232"/>
      <c r="Z649" s="232"/>
      <c r="AA649" s="232"/>
      <c r="AB649" s="232"/>
      <c r="AC649" s="232"/>
      <c r="AD649" s="232"/>
      <c r="AE649" s="232"/>
      <c r="AF649" s="232"/>
      <c r="AG649" s="232"/>
      <c r="AH649" s="232"/>
      <c r="AI649" s="232"/>
      <c r="AJ649" s="232"/>
      <c r="AK649" s="232"/>
      <c r="AL649" s="232"/>
      <c r="AM649" s="232"/>
      <c r="AN649" s="232"/>
      <c r="AO649" s="232"/>
      <c r="AP649" s="232"/>
      <c r="AQ649" s="232"/>
      <c r="AR649" s="232"/>
      <c r="AS649" s="232"/>
      <c r="AT649" s="232"/>
      <c r="AU649" s="232"/>
      <c r="AV649" s="232"/>
      <c r="AW649" s="232"/>
    </row>
    <row r="650" spans="1:49">
      <c r="A650" s="232"/>
      <c r="B650" s="232"/>
      <c r="C650" s="232"/>
      <c r="D650" s="232"/>
      <c r="E650" s="232"/>
      <c r="F650" s="232"/>
      <c r="G650" s="232"/>
      <c r="H650" s="232"/>
      <c r="I650" s="232"/>
      <c r="J650" s="232"/>
      <c r="K650" s="232"/>
      <c r="L650" s="232"/>
      <c r="M650" s="232"/>
      <c r="N650" s="232"/>
      <c r="O650" s="232"/>
      <c r="P650" s="232"/>
      <c r="Q650" s="232"/>
      <c r="R650" s="232"/>
      <c r="S650" s="232"/>
      <c r="T650" s="232"/>
      <c r="U650" s="232"/>
      <c r="V650" s="232"/>
      <c r="W650" s="232"/>
      <c r="X650" s="232"/>
      <c r="Y650" s="232"/>
      <c r="Z650" s="232"/>
      <c r="AA650" s="232"/>
      <c r="AB650" s="232"/>
      <c r="AC650" s="232"/>
      <c r="AD650" s="232"/>
      <c r="AE650" s="232"/>
      <c r="AF650" s="232"/>
      <c r="AG650" s="232"/>
      <c r="AH650" s="232"/>
      <c r="AI650" s="232"/>
      <c r="AJ650" s="232"/>
      <c r="AK650" s="232"/>
      <c r="AL650" s="232"/>
      <c r="AM650" s="232"/>
      <c r="AN650" s="232"/>
      <c r="AO650" s="232"/>
      <c r="AP650" s="232"/>
      <c r="AQ650" s="232"/>
      <c r="AR650" s="232"/>
      <c r="AS650" s="232"/>
      <c r="AT650" s="232"/>
      <c r="AU650" s="232"/>
      <c r="AV650" s="232"/>
      <c r="AW650" s="232"/>
    </row>
    <row r="651" spans="1:49">
      <c r="A651" s="232"/>
      <c r="B651" s="232"/>
      <c r="C651" s="232"/>
      <c r="D651" s="232"/>
      <c r="E651" s="232"/>
      <c r="F651" s="232"/>
      <c r="G651" s="232"/>
      <c r="H651" s="232"/>
      <c r="I651" s="232"/>
      <c r="J651" s="232"/>
      <c r="K651" s="232"/>
      <c r="L651" s="232"/>
      <c r="M651" s="232"/>
      <c r="N651" s="232"/>
      <c r="O651" s="232"/>
      <c r="P651" s="232"/>
      <c r="Q651" s="232"/>
      <c r="R651" s="232"/>
      <c r="S651" s="232"/>
      <c r="T651" s="232"/>
      <c r="U651" s="232"/>
      <c r="V651" s="232"/>
      <c r="W651" s="232"/>
      <c r="X651" s="232"/>
      <c r="Y651" s="232"/>
      <c r="Z651" s="232"/>
      <c r="AA651" s="232"/>
      <c r="AB651" s="232"/>
      <c r="AC651" s="232"/>
      <c r="AD651" s="232"/>
      <c r="AE651" s="232"/>
      <c r="AF651" s="232"/>
      <c r="AG651" s="232"/>
      <c r="AH651" s="232"/>
      <c r="AI651" s="232"/>
      <c r="AJ651" s="232"/>
      <c r="AK651" s="232"/>
      <c r="AL651" s="232"/>
      <c r="AM651" s="232"/>
      <c r="AN651" s="232"/>
      <c r="AO651" s="232"/>
      <c r="AP651" s="232"/>
      <c r="AQ651" s="232"/>
      <c r="AR651" s="232"/>
      <c r="AS651" s="232"/>
      <c r="AT651" s="232"/>
      <c r="AU651" s="232"/>
      <c r="AV651" s="232"/>
      <c r="AW651" s="232"/>
    </row>
    <row r="652" spans="1:49">
      <c r="A652" s="232"/>
      <c r="B652" s="232"/>
      <c r="C652" s="232"/>
      <c r="D652" s="232"/>
      <c r="E652" s="232"/>
      <c r="F652" s="232"/>
      <c r="G652" s="232"/>
      <c r="H652" s="232"/>
      <c r="I652" s="232"/>
      <c r="J652" s="232"/>
      <c r="K652" s="232"/>
      <c r="L652" s="232"/>
      <c r="M652" s="232"/>
      <c r="N652" s="232"/>
      <c r="O652" s="232"/>
      <c r="P652" s="232"/>
      <c r="Q652" s="232"/>
      <c r="R652" s="232"/>
      <c r="S652" s="232"/>
      <c r="T652" s="232"/>
      <c r="U652" s="232"/>
      <c r="V652" s="232"/>
      <c r="W652" s="232"/>
      <c r="X652" s="232"/>
      <c r="Y652" s="232"/>
      <c r="Z652" s="232"/>
      <c r="AA652" s="232"/>
      <c r="AB652" s="232"/>
      <c r="AC652" s="232"/>
      <c r="AD652" s="232"/>
      <c r="AE652" s="232"/>
      <c r="AF652" s="232"/>
      <c r="AG652" s="232"/>
      <c r="AH652" s="232"/>
      <c r="AI652" s="232"/>
      <c r="AJ652" s="232"/>
      <c r="AK652" s="232"/>
      <c r="AL652" s="232"/>
      <c r="AM652" s="232"/>
      <c r="AN652" s="232"/>
      <c r="AO652" s="232"/>
      <c r="AP652" s="232"/>
      <c r="AQ652" s="232"/>
      <c r="AR652" s="232"/>
      <c r="AS652" s="232"/>
      <c r="AT652" s="232"/>
      <c r="AU652" s="232"/>
      <c r="AV652" s="232"/>
      <c r="AW652" s="232"/>
    </row>
    <row r="653" spans="1:49">
      <c r="A653" s="232"/>
      <c r="B653" s="232"/>
      <c r="C653" s="232"/>
      <c r="D653" s="232"/>
      <c r="E653" s="232"/>
      <c r="F653" s="232"/>
      <c r="G653" s="232"/>
      <c r="H653" s="232"/>
      <c r="I653" s="232"/>
      <c r="J653" s="232"/>
      <c r="K653" s="232"/>
      <c r="L653" s="232"/>
      <c r="M653" s="232"/>
      <c r="N653" s="232"/>
      <c r="O653" s="232"/>
      <c r="P653" s="232"/>
      <c r="Q653" s="232"/>
      <c r="R653" s="232"/>
      <c r="S653" s="232"/>
      <c r="T653" s="232"/>
      <c r="U653" s="232"/>
      <c r="V653" s="232"/>
      <c r="W653" s="232"/>
      <c r="X653" s="232"/>
      <c r="Y653" s="232"/>
      <c r="Z653" s="232"/>
      <c r="AA653" s="232"/>
      <c r="AB653" s="232"/>
      <c r="AC653" s="232"/>
      <c r="AD653" s="232"/>
      <c r="AE653" s="232"/>
      <c r="AF653" s="232"/>
      <c r="AG653" s="232"/>
      <c r="AH653" s="232"/>
      <c r="AI653" s="232"/>
      <c r="AJ653" s="232"/>
      <c r="AK653" s="232"/>
      <c r="AL653" s="232"/>
      <c r="AM653" s="232"/>
      <c r="AN653" s="232"/>
      <c r="AO653" s="232"/>
      <c r="AP653" s="232"/>
      <c r="AQ653" s="232"/>
      <c r="AR653" s="232"/>
      <c r="AS653" s="232"/>
      <c r="AT653" s="232"/>
      <c r="AU653" s="232"/>
      <c r="AV653" s="232"/>
      <c r="AW653" s="232"/>
    </row>
    <row r="654" spans="1:49">
      <c r="A654" s="232"/>
      <c r="B654" s="232"/>
      <c r="C654" s="232"/>
      <c r="D654" s="232"/>
      <c r="E654" s="232"/>
      <c r="F654" s="232"/>
      <c r="G654" s="232"/>
      <c r="H654" s="232"/>
      <c r="I654" s="232"/>
      <c r="J654" s="232"/>
      <c r="K654" s="232"/>
      <c r="L654" s="232"/>
      <c r="M654" s="232"/>
      <c r="N654" s="232"/>
      <c r="O654" s="232"/>
      <c r="P654" s="232"/>
      <c r="Q654" s="232"/>
      <c r="R654" s="232"/>
      <c r="S654" s="232"/>
      <c r="T654" s="232"/>
      <c r="U654" s="232"/>
      <c r="V654" s="232"/>
      <c r="W654" s="232"/>
      <c r="X654" s="232"/>
      <c r="Y654" s="232"/>
      <c r="Z654" s="232"/>
      <c r="AA654" s="232"/>
      <c r="AB654" s="232"/>
      <c r="AC654" s="232"/>
      <c r="AD654" s="232"/>
      <c r="AE654" s="232"/>
      <c r="AF654" s="232"/>
      <c r="AG654" s="232"/>
      <c r="AH654" s="232"/>
      <c r="AI654" s="232"/>
      <c r="AJ654" s="232"/>
      <c r="AK654" s="232"/>
      <c r="AL654" s="232"/>
      <c r="AM654" s="232"/>
      <c r="AN654" s="232"/>
      <c r="AO654" s="232"/>
      <c r="AP654" s="232"/>
      <c r="AQ654" s="232"/>
      <c r="AR654" s="232"/>
      <c r="AS654" s="232"/>
      <c r="AT654" s="232"/>
      <c r="AU654" s="232"/>
      <c r="AV654" s="232"/>
      <c r="AW654" s="232"/>
    </row>
    <row r="655" spans="1:49">
      <c r="A655" s="232"/>
      <c r="B655" s="232"/>
      <c r="C655" s="232"/>
      <c r="D655" s="232"/>
      <c r="E655" s="232"/>
      <c r="F655" s="232"/>
      <c r="G655" s="232"/>
      <c r="H655" s="232"/>
      <c r="I655" s="232"/>
      <c r="J655" s="232"/>
      <c r="K655" s="232"/>
      <c r="L655" s="232"/>
      <c r="M655" s="232"/>
      <c r="N655" s="232"/>
      <c r="O655" s="232"/>
      <c r="P655" s="232"/>
      <c r="Q655" s="232"/>
      <c r="R655" s="232"/>
      <c r="S655" s="232"/>
      <c r="T655" s="232"/>
      <c r="U655" s="232"/>
      <c r="V655" s="232"/>
      <c r="W655" s="232"/>
      <c r="X655" s="232"/>
      <c r="Y655" s="232"/>
      <c r="Z655" s="232"/>
      <c r="AA655" s="232"/>
      <c r="AB655" s="232"/>
      <c r="AC655" s="232"/>
      <c r="AD655" s="232"/>
      <c r="AE655" s="232"/>
      <c r="AF655" s="232"/>
      <c r="AG655" s="232"/>
      <c r="AH655" s="232"/>
      <c r="AI655" s="232"/>
      <c r="AJ655" s="232"/>
      <c r="AK655" s="232"/>
      <c r="AL655" s="232"/>
      <c r="AM655" s="232"/>
      <c r="AN655" s="232"/>
      <c r="AO655" s="232"/>
      <c r="AP655" s="232"/>
      <c r="AQ655" s="232"/>
      <c r="AR655" s="232"/>
      <c r="AS655" s="232"/>
      <c r="AT655" s="232"/>
      <c r="AU655" s="232"/>
      <c r="AV655" s="232"/>
      <c r="AW655" s="232"/>
    </row>
    <row r="656" spans="1:49">
      <c r="A656" s="232"/>
      <c r="B656" s="232"/>
      <c r="C656" s="232"/>
      <c r="D656" s="232"/>
      <c r="E656" s="232"/>
      <c r="F656" s="232"/>
      <c r="G656" s="232"/>
      <c r="H656" s="232"/>
      <c r="I656" s="232"/>
      <c r="J656" s="232"/>
      <c r="K656" s="232"/>
      <c r="L656" s="232"/>
      <c r="M656" s="232"/>
      <c r="N656" s="232"/>
      <c r="O656" s="232"/>
      <c r="P656" s="232"/>
      <c r="Q656" s="232"/>
      <c r="R656" s="232"/>
      <c r="S656" s="232"/>
      <c r="T656" s="232"/>
      <c r="U656" s="232"/>
      <c r="V656" s="232"/>
      <c r="W656" s="232"/>
      <c r="X656" s="232"/>
      <c r="Y656" s="232"/>
      <c r="Z656" s="232"/>
      <c r="AA656" s="232"/>
      <c r="AB656" s="232"/>
      <c r="AC656" s="232"/>
      <c r="AD656" s="232"/>
      <c r="AE656" s="232"/>
      <c r="AF656" s="232"/>
      <c r="AG656" s="232"/>
      <c r="AH656" s="232"/>
      <c r="AI656" s="232"/>
      <c r="AJ656" s="232"/>
      <c r="AK656" s="232"/>
      <c r="AL656" s="232"/>
      <c r="AM656" s="232"/>
      <c r="AN656" s="232"/>
      <c r="AO656" s="232"/>
      <c r="AP656" s="232"/>
      <c r="AQ656" s="232"/>
      <c r="AR656" s="232"/>
      <c r="AS656" s="232"/>
      <c r="AT656" s="232"/>
      <c r="AU656" s="232"/>
      <c r="AV656" s="232"/>
      <c r="AW656" s="232"/>
    </row>
    <row r="657" spans="1:49">
      <c r="A657" s="232"/>
      <c r="B657" s="232"/>
      <c r="C657" s="232"/>
      <c r="D657" s="232"/>
      <c r="E657" s="232"/>
      <c r="F657" s="232"/>
      <c r="G657" s="232"/>
      <c r="H657" s="232"/>
      <c r="I657" s="232"/>
      <c r="J657" s="232"/>
      <c r="K657" s="232"/>
      <c r="L657" s="232"/>
      <c r="M657" s="232"/>
      <c r="N657" s="232"/>
      <c r="O657" s="232"/>
      <c r="P657" s="232"/>
      <c r="Q657" s="232"/>
      <c r="R657" s="232"/>
      <c r="S657" s="232"/>
      <c r="T657" s="232"/>
      <c r="U657" s="232"/>
      <c r="V657" s="232"/>
      <c r="W657" s="232"/>
      <c r="X657" s="232"/>
      <c r="Y657" s="232"/>
      <c r="Z657" s="232"/>
      <c r="AA657" s="232"/>
      <c r="AB657" s="232"/>
      <c r="AC657" s="232"/>
      <c r="AD657" s="232"/>
      <c r="AE657" s="232"/>
      <c r="AF657" s="232"/>
      <c r="AG657" s="232"/>
      <c r="AH657" s="232"/>
      <c r="AI657" s="232"/>
      <c r="AJ657" s="232"/>
      <c r="AK657" s="232"/>
      <c r="AL657" s="232"/>
      <c r="AM657" s="232"/>
      <c r="AN657" s="232"/>
      <c r="AO657" s="232"/>
      <c r="AP657" s="232"/>
      <c r="AQ657" s="232"/>
      <c r="AR657" s="232"/>
      <c r="AS657" s="232"/>
      <c r="AT657" s="232"/>
      <c r="AU657" s="232"/>
      <c r="AV657" s="232"/>
      <c r="AW657" s="232"/>
    </row>
    <row r="658" spans="1:49">
      <c r="A658" s="232"/>
      <c r="B658" s="232"/>
      <c r="C658" s="232"/>
      <c r="D658" s="232"/>
      <c r="E658" s="232"/>
      <c r="F658" s="232"/>
      <c r="G658" s="232"/>
      <c r="H658" s="232"/>
      <c r="I658" s="232"/>
      <c r="J658" s="232"/>
      <c r="K658" s="232"/>
      <c r="L658" s="232"/>
      <c r="M658" s="232"/>
      <c r="N658" s="232"/>
      <c r="O658" s="232"/>
      <c r="P658" s="232"/>
      <c r="Q658" s="232"/>
      <c r="R658" s="232"/>
      <c r="S658" s="232"/>
      <c r="T658" s="232"/>
      <c r="U658" s="232"/>
      <c r="V658" s="232"/>
      <c r="W658" s="232"/>
      <c r="X658" s="232"/>
      <c r="Y658" s="232"/>
      <c r="Z658" s="232"/>
      <c r="AA658" s="232"/>
      <c r="AB658" s="232"/>
      <c r="AC658" s="232"/>
      <c r="AD658" s="232"/>
      <c r="AE658" s="232"/>
      <c r="AF658" s="232"/>
      <c r="AG658" s="232"/>
      <c r="AH658" s="232"/>
      <c r="AI658" s="232"/>
      <c r="AJ658" s="232"/>
      <c r="AK658" s="232"/>
      <c r="AL658" s="232"/>
      <c r="AM658" s="232"/>
      <c r="AN658" s="232"/>
      <c r="AO658" s="232"/>
      <c r="AP658" s="232"/>
      <c r="AQ658" s="232"/>
      <c r="AR658" s="232"/>
      <c r="AS658" s="232"/>
      <c r="AT658" s="232"/>
      <c r="AU658" s="232"/>
      <c r="AV658" s="232"/>
      <c r="AW658" s="232"/>
    </row>
    <row r="659" spans="1:49">
      <c r="A659" s="232"/>
      <c r="B659" s="232"/>
      <c r="C659" s="232"/>
      <c r="D659" s="232"/>
      <c r="E659" s="232"/>
      <c r="F659" s="232"/>
      <c r="G659" s="232"/>
      <c r="H659" s="232"/>
      <c r="I659" s="232"/>
      <c r="J659" s="232"/>
      <c r="K659" s="232"/>
      <c r="L659" s="232"/>
      <c r="M659" s="232"/>
      <c r="N659" s="232"/>
      <c r="O659" s="232"/>
      <c r="P659" s="232"/>
      <c r="Q659" s="232"/>
      <c r="R659" s="232"/>
      <c r="S659" s="232"/>
      <c r="T659" s="232"/>
      <c r="U659" s="232"/>
      <c r="V659" s="232"/>
      <c r="W659" s="232"/>
      <c r="X659" s="232"/>
      <c r="Y659" s="232"/>
      <c r="Z659" s="232"/>
      <c r="AA659" s="232"/>
      <c r="AB659" s="232"/>
      <c r="AC659" s="232"/>
      <c r="AD659" s="232"/>
      <c r="AE659" s="232"/>
      <c r="AF659" s="232"/>
      <c r="AG659" s="232"/>
      <c r="AH659" s="232"/>
      <c r="AI659" s="232"/>
      <c r="AJ659" s="232"/>
      <c r="AK659" s="232"/>
      <c r="AL659" s="232"/>
      <c r="AM659" s="232"/>
      <c r="AN659" s="232"/>
      <c r="AO659" s="232"/>
      <c r="AP659" s="232"/>
      <c r="AQ659" s="232"/>
      <c r="AR659" s="232"/>
      <c r="AS659" s="232"/>
      <c r="AT659" s="232"/>
      <c r="AU659" s="232"/>
      <c r="AV659" s="232"/>
      <c r="AW659" s="232"/>
    </row>
    <row r="660" spans="1:49">
      <c r="A660" s="232"/>
      <c r="B660" s="232"/>
      <c r="C660" s="232"/>
      <c r="D660" s="232"/>
      <c r="E660" s="232"/>
      <c r="F660" s="232"/>
      <c r="G660" s="232"/>
      <c r="H660" s="232"/>
      <c r="I660" s="232"/>
      <c r="J660" s="232"/>
      <c r="K660" s="232"/>
      <c r="L660" s="232"/>
      <c r="M660" s="232"/>
      <c r="N660" s="232"/>
      <c r="O660" s="232"/>
      <c r="P660" s="232"/>
      <c r="Q660" s="232"/>
      <c r="R660" s="232"/>
      <c r="S660" s="232"/>
      <c r="T660" s="232"/>
      <c r="U660" s="232"/>
      <c r="V660" s="232"/>
      <c r="W660" s="232"/>
      <c r="X660" s="232"/>
      <c r="Y660" s="232"/>
      <c r="Z660" s="232"/>
      <c r="AA660" s="232"/>
      <c r="AB660" s="232"/>
      <c r="AC660" s="232"/>
      <c r="AD660" s="232"/>
      <c r="AE660" s="232"/>
      <c r="AF660" s="232"/>
      <c r="AG660" s="232"/>
      <c r="AH660" s="232"/>
      <c r="AI660" s="232"/>
      <c r="AJ660" s="232"/>
      <c r="AK660" s="232"/>
      <c r="AL660" s="232"/>
      <c r="AM660" s="232"/>
      <c r="AN660" s="232"/>
      <c r="AO660" s="232"/>
      <c r="AP660" s="232"/>
      <c r="AQ660" s="232"/>
      <c r="AR660" s="232"/>
      <c r="AS660" s="232"/>
      <c r="AT660" s="232"/>
      <c r="AU660" s="232"/>
      <c r="AV660" s="232"/>
      <c r="AW660" s="232"/>
    </row>
    <row r="661" spans="1:49">
      <c r="A661" s="232"/>
      <c r="B661" s="232"/>
      <c r="C661" s="232"/>
      <c r="D661" s="232"/>
      <c r="E661" s="232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2"/>
      <c r="R661" s="232"/>
      <c r="S661" s="232"/>
      <c r="T661" s="232"/>
      <c r="U661" s="232"/>
      <c r="V661" s="232"/>
      <c r="W661" s="232"/>
      <c r="X661" s="232"/>
      <c r="Y661" s="232"/>
      <c r="Z661" s="232"/>
      <c r="AA661" s="232"/>
      <c r="AB661" s="232"/>
      <c r="AC661" s="232"/>
      <c r="AD661" s="232"/>
      <c r="AE661" s="232"/>
      <c r="AF661" s="232"/>
      <c r="AG661" s="232"/>
      <c r="AH661" s="232"/>
      <c r="AI661" s="232"/>
      <c r="AJ661" s="232"/>
      <c r="AK661" s="232"/>
      <c r="AL661" s="232"/>
      <c r="AM661" s="232"/>
      <c r="AN661" s="232"/>
      <c r="AO661" s="232"/>
      <c r="AP661" s="232"/>
      <c r="AQ661" s="232"/>
      <c r="AR661" s="232"/>
      <c r="AS661" s="232"/>
      <c r="AT661" s="232"/>
      <c r="AU661" s="232"/>
      <c r="AV661" s="232"/>
      <c r="AW661" s="232"/>
    </row>
    <row r="662" spans="1:49">
      <c r="A662" s="232"/>
      <c r="B662" s="232"/>
      <c r="C662" s="232"/>
      <c r="D662" s="232"/>
      <c r="E662" s="232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2"/>
      <c r="R662" s="232"/>
      <c r="S662" s="232"/>
      <c r="T662" s="232"/>
      <c r="U662" s="232"/>
      <c r="V662" s="232"/>
      <c r="W662" s="232"/>
      <c r="X662" s="232"/>
      <c r="Y662" s="232"/>
      <c r="Z662" s="232"/>
      <c r="AA662" s="232"/>
      <c r="AB662" s="232"/>
      <c r="AC662" s="232"/>
      <c r="AD662" s="232"/>
      <c r="AE662" s="232"/>
      <c r="AF662" s="232"/>
      <c r="AG662" s="232"/>
      <c r="AH662" s="232"/>
      <c r="AI662" s="232"/>
      <c r="AJ662" s="232"/>
      <c r="AK662" s="232"/>
      <c r="AL662" s="232"/>
      <c r="AM662" s="232"/>
      <c r="AN662" s="232"/>
      <c r="AO662" s="232"/>
      <c r="AP662" s="232"/>
      <c r="AQ662" s="232"/>
      <c r="AR662" s="232"/>
      <c r="AS662" s="232"/>
      <c r="AT662" s="232"/>
      <c r="AU662" s="232"/>
      <c r="AV662" s="232"/>
      <c r="AW662" s="232"/>
    </row>
    <row r="663" spans="1:49">
      <c r="A663" s="232"/>
      <c r="B663" s="232"/>
      <c r="C663" s="232"/>
      <c r="D663" s="232"/>
      <c r="E663" s="232"/>
      <c r="F663" s="232"/>
      <c r="G663" s="232"/>
      <c r="H663" s="232"/>
      <c r="I663" s="232"/>
      <c r="J663" s="232"/>
      <c r="K663" s="232"/>
      <c r="L663" s="232"/>
      <c r="M663" s="232"/>
      <c r="N663" s="232"/>
      <c r="O663" s="232"/>
      <c r="P663" s="232"/>
      <c r="Q663" s="232"/>
      <c r="R663" s="232"/>
      <c r="S663" s="232"/>
      <c r="T663" s="232"/>
      <c r="U663" s="232"/>
      <c r="V663" s="232"/>
      <c r="W663" s="232"/>
      <c r="X663" s="232"/>
      <c r="Y663" s="232"/>
      <c r="Z663" s="232"/>
      <c r="AA663" s="232"/>
      <c r="AB663" s="232"/>
      <c r="AC663" s="232"/>
      <c r="AD663" s="232"/>
      <c r="AE663" s="232"/>
      <c r="AF663" s="232"/>
      <c r="AG663" s="232"/>
      <c r="AH663" s="232"/>
      <c r="AI663" s="232"/>
      <c r="AJ663" s="232"/>
      <c r="AK663" s="232"/>
      <c r="AL663" s="232"/>
      <c r="AM663" s="232"/>
      <c r="AN663" s="232"/>
      <c r="AO663" s="232"/>
      <c r="AP663" s="232"/>
      <c r="AQ663" s="232"/>
      <c r="AR663" s="232"/>
      <c r="AS663" s="232"/>
      <c r="AT663" s="232"/>
      <c r="AU663" s="232"/>
      <c r="AV663" s="232"/>
      <c r="AW663" s="232"/>
    </row>
    <row r="664" spans="1:49">
      <c r="A664" s="232"/>
      <c r="B664" s="232"/>
      <c r="C664" s="232"/>
      <c r="D664" s="232"/>
      <c r="E664" s="232"/>
      <c r="F664" s="232"/>
      <c r="G664" s="232"/>
      <c r="H664" s="232"/>
      <c r="I664" s="232"/>
      <c r="J664" s="232"/>
      <c r="K664" s="232"/>
      <c r="L664" s="232"/>
      <c r="M664" s="232"/>
      <c r="N664" s="232"/>
      <c r="O664" s="232"/>
      <c r="P664" s="232"/>
      <c r="Q664" s="232"/>
      <c r="R664" s="232"/>
      <c r="S664" s="232"/>
      <c r="T664" s="232"/>
      <c r="U664" s="232"/>
      <c r="V664" s="232"/>
      <c r="W664" s="232"/>
      <c r="X664" s="232"/>
      <c r="Y664" s="232"/>
      <c r="Z664" s="232"/>
      <c r="AA664" s="232"/>
      <c r="AB664" s="232"/>
      <c r="AC664" s="232"/>
      <c r="AD664" s="232"/>
      <c r="AE664" s="232"/>
      <c r="AF664" s="232"/>
      <c r="AG664" s="232"/>
      <c r="AH664" s="232"/>
      <c r="AI664" s="232"/>
      <c r="AJ664" s="232"/>
      <c r="AK664" s="232"/>
      <c r="AL664" s="232"/>
      <c r="AM664" s="232"/>
      <c r="AN664" s="232"/>
      <c r="AO664" s="232"/>
      <c r="AP664" s="232"/>
      <c r="AQ664" s="232"/>
      <c r="AR664" s="232"/>
      <c r="AS664" s="232"/>
      <c r="AT664" s="232"/>
      <c r="AU664" s="232"/>
      <c r="AV664" s="232"/>
      <c r="AW664" s="232"/>
    </row>
    <row r="665" spans="1:49">
      <c r="A665" s="232"/>
      <c r="B665" s="232"/>
      <c r="C665" s="232"/>
      <c r="D665" s="232"/>
      <c r="E665" s="232"/>
      <c r="F665" s="232"/>
      <c r="G665" s="232"/>
      <c r="H665" s="232"/>
      <c r="I665" s="232"/>
      <c r="J665" s="232"/>
      <c r="K665" s="232"/>
      <c r="L665" s="232"/>
      <c r="M665" s="232"/>
      <c r="N665" s="232"/>
      <c r="O665" s="232"/>
      <c r="P665" s="232"/>
      <c r="Q665" s="232"/>
      <c r="R665" s="232"/>
      <c r="S665" s="232"/>
      <c r="T665" s="232"/>
      <c r="U665" s="232"/>
      <c r="V665" s="232"/>
      <c r="W665" s="232"/>
      <c r="X665" s="232"/>
      <c r="Y665" s="232"/>
      <c r="Z665" s="232"/>
      <c r="AA665" s="232"/>
      <c r="AB665" s="232"/>
      <c r="AC665" s="232"/>
      <c r="AD665" s="232"/>
      <c r="AE665" s="232"/>
      <c r="AF665" s="232"/>
      <c r="AG665" s="232"/>
      <c r="AH665" s="232"/>
      <c r="AI665" s="232"/>
      <c r="AJ665" s="232"/>
      <c r="AK665" s="232"/>
      <c r="AL665" s="232"/>
      <c r="AM665" s="232"/>
      <c r="AN665" s="232"/>
      <c r="AO665" s="232"/>
      <c r="AP665" s="232"/>
      <c r="AQ665" s="232"/>
      <c r="AR665" s="232"/>
      <c r="AS665" s="232"/>
      <c r="AT665" s="232"/>
      <c r="AU665" s="232"/>
      <c r="AV665" s="232"/>
      <c r="AW665" s="232"/>
    </row>
    <row r="666" spans="1:49">
      <c r="A666" s="232"/>
      <c r="B666" s="232"/>
      <c r="C666" s="232"/>
      <c r="D666" s="232"/>
      <c r="E666" s="232"/>
      <c r="F666" s="232"/>
      <c r="G666" s="232"/>
      <c r="H666" s="232"/>
      <c r="I666" s="232"/>
      <c r="J666" s="232"/>
      <c r="K666" s="232"/>
      <c r="L666" s="232"/>
      <c r="M666" s="232"/>
      <c r="N666" s="232"/>
      <c r="O666" s="232"/>
      <c r="P666" s="232"/>
      <c r="Q666" s="232"/>
      <c r="R666" s="232"/>
      <c r="S666" s="232"/>
      <c r="T666" s="232"/>
      <c r="U666" s="232"/>
      <c r="V666" s="232"/>
      <c r="W666" s="232"/>
      <c r="X666" s="232"/>
      <c r="Y666" s="232"/>
      <c r="Z666" s="232"/>
      <c r="AA666" s="232"/>
      <c r="AB666" s="232"/>
      <c r="AC666" s="232"/>
      <c r="AD666" s="232"/>
      <c r="AE666" s="232"/>
      <c r="AF666" s="232"/>
      <c r="AG666" s="232"/>
      <c r="AH666" s="232"/>
      <c r="AI666" s="232"/>
      <c r="AJ666" s="232"/>
      <c r="AK666" s="232"/>
      <c r="AL666" s="232"/>
      <c r="AM666" s="232"/>
      <c r="AN666" s="232"/>
      <c r="AO666" s="232"/>
      <c r="AP666" s="232"/>
      <c r="AQ666" s="232"/>
      <c r="AR666" s="232"/>
      <c r="AS666" s="232"/>
      <c r="AT666" s="232"/>
      <c r="AU666" s="232"/>
      <c r="AV666" s="232"/>
      <c r="AW666" s="232"/>
    </row>
    <row r="667" spans="1:49">
      <c r="A667" s="232"/>
      <c r="B667" s="232"/>
      <c r="C667" s="232"/>
      <c r="D667" s="232"/>
      <c r="E667" s="232"/>
      <c r="F667" s="232"/>
      <c r="G667" s="232"/>
      <c r="H667" s="232"/>
      <c r="I667" s="232"/>
      <c r="J667" s="232"/>
      <c r="K667" s="232"/>
      <c r="L667" s="232"/>
      <c r="M667" s="232"/>
      <c r="N667" s="232"/>
      <c r="O667" s="232"/>
      <c r="P667" s="232"/>
      <c r="Q667" s="232"/>
      <c r="R667" s="232"/>
      <c r="S667" s="232"/>
      <c r="T667" s="232"/>
      <c r="U667" s="232"/>
      <c r="V667" s="232"/>
      <c r="W667" s="232"/>
      <c r="X667" s="232"/>
      <c r="Y667" s="232"/>
      <c r="Z667" s="232"/>
      <c r="AA667" s="232"/>
      <c r="AB667" s="232"/>
      <c r="AC667" s="232"/>
      <c r="AD667" s="232"/>
      <c r="AE667" s="232"/>
      <c r="AF667" s="232"/>
      <c r="AG667" s="232"/>
      <c r="AH667" s="232"/>
      <c r="AI667" s="232"/>
      <c r="AJ667" s="232"/>
      <c r="AK667" s="232"/>
      <c r="AL667" s="232"/>
      <c r="AM667" s="232"/>
      <c r="AN667" s="232"/>
      <c r="AO667" s="232"/>
      <c r="AP667" s="232"/>
      <c r="AQ667" s="232"/>
      <c r="AR667" s="232"/>
      <c r="AS667" s="232"/>
      <c r="AT667" s="232"/>
      <c r="AU667" s="232"/>
      <c r="AV667" s="232"/>
      <c r="AW667" s="232"/>
    </row>
    <row r="668" spans="1:49">
      <c r="A668" s="232"/>
      <c r="B668" s="232"/>
      <c r="C668" s="232"/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2"/>
      <c r="P668" s="232"/>
      <c r="Q668" s="232"/>
      <c r="R668" s="232"/>
      <c r="S668" s="232"/>
      <c r="T668" s="232"/>
      <c r="U668" s="232"/>
      <c r="V668" s="232"/>
      <c r="W668" s="232"/>
      <c r="X668" s="232"/>
      <c r="Y668" s="232"/>
      <c r="Z668" s="232"/>
      <c r="AA668" s="232"/>
      <c r="AB668" s="232"/>
      <c r="AC668" s="232"/>
      <c r="AD668" s="232"/>
      <c r="AE668" s="232"/>
      <c r="AF668" s="232"/>
      <c r="AG668" s="232"/>
      <c r="AH668" s="232"/>
      <c r="AI668" s="232"/>
      <c r="AJ668" s="232"/>
      <c r="AK668" s="232"/>
      <c r="AL668" s="232"/>
      <c r="AM668" s="232"/>
      <c r="AN668" s="232"/>
      <c r="AO668" s="232"/>
      <c r="AP668" s="232"/>
      <c r="AQ668" s="232"/>
      <c r="AR668" s="232"/>
      <c r="AS668" s="232"/>
      <c r="AT668" s="232"/>
      <c r="AU668" s="232"/>
      <c r="AV668" s="232"/>
      <c r="AW668" s="232"/>
    </row>
    <row r="669" spans="1:49">
      <c r="A669" s="232"/>
      <c r="B669" s="232"/>
      <c r="C669" s="232"/>
      <c r="D669" s="232"/>
      <c r="E669" s="232"/>
      <c r="F669" s="232"/>
      <c r="G669" s="232"/>
      <c r="H669" s="232"/>
      <c r="I669" s="232"/>
      <c r="J669" s="232"/>
      <c r="K669" s="232"/>
      <c r="L669" s="232"/>
      <c r="M669" s="232"/>
      <c r="N669" s="232"/>
      <c r="O669" s="232"/>
      <c r="P669" s="232"/>
      <c r="Q669" s="232"/>
      <c r="R669" s="232"/>
      <c r="S669" s="232"/>
      <c r="T669" s="232"/>
      <c r="U669" s="232"/>
      <c r="V669" s="232"/>
      <c r="W669" s="232"/>
      <c r="X669" s="232"/>
      <c r="Y669" s="232"/>
      <c r="Z669" s="232"/>
      <c r="AA669" s="232"/>
      <c r="AB669" s="232"/>
      <c r="AC669" s="232"/>
      <c r="AD669" s="232"/>
      <c r="AE669" s="232"/>
      <c r="AF669" s="232"/>
      <c r="AG669" s="232"/>
      <c r="AH669" s="232"/>
      <c r="AI669" s="232"/>
      <c r="AJ669" s="232"/>
      <c r="AK669" s="232"/>
      <c r="AL669" s="232"/>
      <c r="AM669" s="232"/>
      <c r="AN669" s="232"/>
      <c r="AO669" s="232"/>
      <c r="AP669" s="232"/>
      <c r="AQ669" s="232"/>
      <c r="AR669" s="232"/>
      <c r="AS669" s="232"/>
      <c r="AT669" s="232"/>
      <c r="AU669" s="232"/>
      <c r="AV669" s="232"/>
      <c r="AW669" s="232"/>
    </row>
    <row r="670" spans="1:49">
      <c r="A670" s="232"/>
      <c r="B670" s="232"/>
      <c r="C670" s="232"/>
      <c r="D670" s="232"/>
      <c r="E670" s="232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  <c r="W670" s="232"/>
      <c r="X670" s="232"/>
      <c r="Y670" s="232"/>
      <c r="Z670" s="232"/>
      <c r="AA670" s="232"/>
      <c r="AB670" s="232"/>
      <c r="AC670" s="232"/>
      <c r="AD670" s="232"/>
      <c r="AE670" s="232"/>
      <c r="AF670" s="232"/>
      <c r="AG670" s="232"/>
      <c r="AH670" s="232"/>
      <c r="AI670" s="232"/>
      <c r="AJ670" s="232"/>
      <c r="AK670" s="232"/>
      <c r="AL670" s="232"/>
      <c r="AM670" s="232"/>
      <c r="AN670" s="232"/>
      <c r="AO670" s="232"/>
      <c r="AP670" s="232"/>
      <c r="AQ670" s="232"/>
      <c r="AR670" s="232"/>
      <c r="AS670" s="232"/>
      <c r="AT670" s="232"/>
      <c r="AU670" s="232"/>
      <c r="AV670" s="232"/>
      <c r="AW670" s="232"/>
    </row>
    <row r="671" spans="1:49">
      <c r="A671" s="232"/>
      <c r="B671" s="232"/>
      <c r="C671" s="232"/>
      <c r="D671" s="232"/>
      <c r="E671" s="232"/>
      <c r="F671" s="232"/>
      <c r="G671" s="232"/>
      <c r="H671" s="232"/>
      <c r="I671" s="232"/>
      <c r="J671" s="232"/>
      <c r="K671" s="232"/>
      <c r="L671" s="232"/>
      <c r="M671" s="232"/>
      <c r="N671" s="232"/>
      <c r="O671" s="232"/>
      <c r="P671" s="232"/>
      <c r="Q671" s="232"/>
      <c r="R671" s="232"/>
      <c r="S671" s="232"/>
      <c r="T671" s="232"/>
      <c r="U671" s="232"/>
      <c r="V671" s="232"/>
      <c r="W671" s="232"/>
      <c r="X671" s="232"/>
      <c r="Y671" s="232"/>
      <c r="Z671" s="232"/>
      <c r="AA671" s="232"/>
      <c r="AB671" s="232"/>
      <c r="AC671" s="232"/>
      <c r="AD671" s="232"/>
      <c r="AE671" s="232"/>
      <c r="AF671" s="232"/>
      <c r="AG671" s="232"/>
      <c r="AH671" s="232"/>
      <c r="AI671" s="232"/>
      <c r="AJ671" s="232"/>
      <c r="AK671" s="232"/>
      <c r="AL671" s="232"/>
      <c r="AM671" s="232"/>
      <c r="AN671" s="232"/>
      <c r="AO671" s="232"/>
      <c r="AP671" s="232"/>
      <c r="AQ671" s="232"/>
      <c r="AR671" s="232"/>
      <c r="AS671" s="232"/>
      <c r="AT671" s="232"/>
      <c r="AU671" s="232"/>
      <c r="AV671" s="232"/>
      <c r="AW671" s="232"/>
    </row>
    <row r="672" spans="1:49">
      <c r="A672" s="232"/>
      <c r="B672" s="232"/>
      <c r="C672" s="232"/>
      <c r="D672" s="232"/>
      <c r="E672" s="232"/>
      <c r="F672" s="232"/>
      <c r="G672" s="232"/>
      <c r="H672" s="232"/>
      <c r="I672" s="232"/>
      <c r="J672" s="232"/>
      <c r="K672" s="232"/>
      <c r="L672" s="232"/>
      <c r="M672" s="232"/>
      <c r="N672" s="232"/>
      <c r="O672" s="232"/>
      <c r="P672" s="232"/>
      <c r="Q672" s="232"/>
      <c r="R672" s="232"/>
      <c r="S672" s="232"/>
      <c r="T672" s="232"/>
      <c r="U672" s="232"/>
      <c r="V672" s="232"/>
      <c r="W672" s="232"/>
      <c r="X672" s="232"/>
      <c r="Y672" s="232"/>
      <c r="Z672" s="232"/>
      <c r="AA672" s="232"/>
      <c r="AB672" s="232"/>
      <c r="AC672" s="232"/>
      <c r="AD672" s="232"/>
      <c r="AE672" s="232"/>
      <c r="AF672" s="232"/>
      <c r="AG672" s="232"/>
      <c r="AH672" s="232"/>
      <c r="AI672" s="232"/>
      <c r="AJ672" s="232"/>
      <c r="AK672" s="232"/>
      <c r="AL672" s="232"/>
      <c r="AM672" s="232"/>
      <c r="AN672" s="232"/>
      <c r="AO672" s="232"/>
      <c r="AP672" s="232"/>
      <c r="AQ672" s="232"/>
      <c r="AR672" s="232"/>
      <c r="AS672" s="232"/>
      <c r="AT672" s="232"/>
      <c r="AU672" s="232"/>
      <c r="AV672" s="232"/>
      <c r="AW672" s="232"/>
    </row>
    <row r="673" spans="1:49">
      <c r="A673" s="232"/>
      <c r="B673" s="232"/>
      <c r="C673" s="232"/>
      <c r="D673" s="232"/>
      <c r="E673" s="232"/>
      <c r="F673" s="232"/>
      <c r="G673" s="232"/>
      <c r="H673" s="232"/>
      <c r="I673" s="232"/>
      <c r="J673" s="232"/>
      <c r="K673" s="232"/>
      <c r="L673" s="232"/>
      <c r="M673" s="232"/>
      <c r="N673" s="232"/>
      <c r="O673" s="232"/>
      <c r="P673" s="232"/>
      <c r="Q673" s="232"/>
      <c r="R673" s="232"/>
      <c r="S673" s="232"/>
      <c r="T673" s="232"/>
      <c r="U673" s="232"/>
      <c r="V673" s="232"/>
      <c r="W673" s="232"/>
      <c r="X673" s="232"/>
      <c r="Y673" s="232"/>
      <c r="Z673" s="232"/>
      <c r="AA673" s="232"/>
      <c r="AB673" s="232"/>
      <c r="AC673" s="232"/>
      <c r="AD673" s="232"/>
      <c r="AE673" s="232"/>
      <c r="AF673" s="232"/>
      <c r="AG673" s="232"/>
      <c r="AH673" s="232"/>
      <c r="AI673" s="232"/>
      <c r="AJ673" s="232"/>
      <c r="AK673" s="232"/>
      <c r="AL673" s="232"/>
      <c r="AM673" s="232"/>
      <c r="AN673" s="232"/>
      <c r="AO673" s="232"/>
      <c r="AP673" s="232"/>
      <c r="AQ673" s="232"/>
      <c r="AR673" s="232"/>
      <c r="AS673" s="232"/>
      <c r="AT673" s="232"/>
      <c r="AU673" s="232"/>
      <c r="AV673" s="232"/>
      <c r="AW673" s="232"/>
    </row>
    <row r="674" spans="1:49">
      <c r="A674" s="232"/>
      <c r="B674" s="232"/>
      <c r="C674" s="232"/>
      <c r="D674" s="232"/>
      <c r="E674" s="232"/>
      <c r="F674" s="232"/>
      <c r="G674" s="232"/>
      <c r="H674" s="232"/>
      <c r="I674" s="232"/>
      <c r="J674" s="232"/>
      <c r="K674" s="232"/>
      <c r="L674" s="232"/>
      <c r="M674" s="232"/>
      <c r="N674" s="232"/>
      <c r="O674" s="232"/>
      <c r="P674" s="232"/>
      <c r="Q674" s="232"/>
      <c r="R674" s="232"/>
      <c r="S674" s="232"/>
      <c r="T674" s="232"/>
      <c r="U674" s="232"/>
      <c r="V674" s="232"/>
      <c r="W674" s="232"/>
      <c r="X674" s="232"/>
      <c r="Y674" s="232"/>
      <c r="Z674" s="232"/>
      <c r="AA674" s="232"/>
      <c r="AB674" s="232"/>
      <c r="AC674" s="232"/>
      <c r="AD674" s="232"/>
      <c r="AE674" s="232"/>
      <c r="AF674" s="232"/>
      <c r="AG674" s="232"/>
      <c r="AH674" s="232"/>
      <c r="AI674" s="232"/>
      <c r="AJ674" s="232"/>
      <c r="AK674" s="232"/>
      <c r="AL674" s="232"/>
      <c r="AM674" s="232"/>
      <c r="AN674" s="232"/>
      <c r="AO674" s="232"/>
      <c r="AP674" s="232"/>
      <c r="AQ674" s="232"/>
      <c r="AR674" s="232"/>
      <c r="AS674" s="232"/>
      <c r="AT674" s="232"/>
      <c r="AU674" s="232"/>
      <c r="AV674" s="232"/>
      <c r="AW674" s="232"/>
    </row>
    <row r="675" spans="1:49">
      <c r="A675" s="232"/>
      <c r="B675" s="232"/>
      <c r="C675" s="232"/>
      <c r="D675" s="232"/>
      <c r="E675" s="232"/>
      <c r="F675" s="232"/>
      <c r="G675" s="232"/>
      <c r="H675" s="232"/>
      <c r="I675" s="232"/>
      <c r="J675" s="232"/>
      <c r="K675" s="232"/>
      <c r="L675" s="232"/>
      <c r="M675" s="232"/>
      <c r="N675" s="232"/>
      <c r="O675" s="232"/>
      <c r="P675" s="232"/>
      <c r="Q675" s="232"/>
      <c r="R675" s="232"/>
      <c r="S675" s="232"/>
      <c r="T675" s="232"/>
      <c r="U675" s="232"/>
      <c r="V675" s="232"/>
      <c r="W675" s="232"/>
      <c r="X675" s="232"/>
      <c r="Y675" s="232"/>
      <c r="Z675" s="232"/>
      <c r="AA675" s="232"/>
      <c r="AB675" s="232"/>
      <c r="AC675" s="232"/>
      <c r="AD675" s="232"/>
      <c r="AE675" s="232"/>
      <c r="AF675" s="232"/>
      <c r="AG675" s="232"/>
      <c r="AH675" s="232"/>
      <c r="AI675" s="232"/>
      <c r="AJ675" s="232"/>
      <c r="AK675" s="232"/>
      <c r="AL675" s="232"/>
      <c r="AM675" s="232"/>
      <c r="AN675" s="232"/>
      <c r="AO675" s="232"/>
      <c r="AP675" s="232"/>
      <c r="AQ675" s="232"/>
      <c r="AR675" s="232"/>
      <c r="AS675" s="232"/>
      <c r="AT675" s="232"/>
      <c r="AU675" s="232"/>
      <c r="AV675" s="232"/>
      <c r="AW675" s="232"/>
    </row>
    <row r="676" spans="1:49">
      <c r="A676" s="232"/>
      <c r="B676" s="232"/>
      <c r="C676" s="232"/>
      <c r="D676" s="232"/>
      <c r="E676" s="232"/>
      <c r="F676" s="232"/>
      <c r="G676" s="232"/>
      <c r="H676" s="232"/>
      <c r="I676" s="232"/>
      <c r="J676" s="232"/>
      <c r="K676" s="232"/>
      <c r="L676" s="232"/>
      <c r="M676" s="232"/>
      <c r="N676" s="232"/>
      <c r="O676" s="232"/>
      <c r="P676" s="232"/>
      <c r="Q676" s="232"/>
      <c r="R676" s="232"/>
      <c r="S676" s="232"/>
      <c r="T676" s="232"/>
      <c r="U676" s="232"/>
      <c r="V676" s="232"/>
      <c r="W676" s="232"/>
      <c r="X676" s="232"/>
      <c r="Y676" s="232"/>
      <c r="Z676" s="232"/>
      <c r="AA676" s="232"/>
      <c r="AB676" s="232"/>
      <c r="AC676" s="232"/>
      <c r="AD676" s="232"/>
      <c r="AE676" s="232"/>
      <c r="AF676" s="232"/>
      <c r="AG676" s="232"/>
      <c r="AH676" s="232"/>
      <c r="AI676" s="232"/>
      <c r="AJ676" s="232"/>
      <c r="AK676" s="232"/>
      <c r="AL676" s="232"/>
      <c r="AM676" s="232"/>
      <c r="AN676" s="232"/>
      <c r="AO676" s="232"/>
      <c r="AP676" s="232"/>
      <c r="AQ676" s="232"/>
      <c r="AR676" s="232"/>
      <c r="AS676" s="232"/>
      <c r="AT676" s="232"/>
      <c r="AU676" s="232"/>
      <c r="AV676" s="232"/>
      <c r="AW676" s="232"/>
    </row>
    <row r="677" spans="1:49">
      <c r="A677" s="232"/>
      <c r="B677" s="232"/>
      <c r="C677" s="232"/>
      <c r="D677" s="232"/>
      <c r="E677" s="232"/>
      <c r="F677" s="232"/>
      <c r="G677" s="232"/>
      <c r="H677" s="232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/>
      <c r="AM677" s="232"/>
      <c r="AN677" s="232"/>
      <c r="AO677" s="232"/>
      <c r="AP677" s="232"/>
      <c r="AQ677" s="232"/>
      <c r="AR677" s="232"/>
      <c r="AS677" s="232"/>
      <c r="AT677" s="232"/>
      <c r="AU677" s="232"/>
      <c r="AV677" s="232"/>
      <c r="AW677" s="232"/>
    </row>
    <row r="678" spans="1:49">
      <c r="A678" s="232"/>
      <c r="B678" s="232"/>
      <c r="C678" s="232"/>
      <c r="D678" s="232"/>
      <c r="E678" s="232"/>
      <c r="F678" s="232"/>
      <c r="G678" s="232"/>
      <c r="H678" s="232"/>
      <c r="I678" s="232"/>
      <c r="J678" s="232"/>
      <c r="K678" s="232"/>
      <c r="L678" s="232"/>
      <c r="M678" s="232"/>
      <c r="N678" s="232"/>
      <c r="O678" s="232"/>
      <c r="P678" s="232"/>
      <c r="Q678" s="232"/>
      <c r="R678" s="232"/>
      <c r="S678" s="232"/>
      <c r="T678" s="232"/>
      <c r="U678" s="232"/>
      <c r="V678" s="232"/>
      <c r="W678" s="232"/>
      <c r="X678" s="232"/>
      <c r="Y678" s="232"/>
      <c r="Z678" s="232"/>
      <c r="AA678" s="232"/>
      <c r="AB678" s="232"/>
      <c r="AC678" s="232"/>
      <c r="AD678" s="232"/>
      <c r="AE678" s="232"/>
      <c r="AF678" s="232"/>
      <c r="AG678" s="232"/>
      <c r="AH678" s="232"/>
      <c r="AI678" s="232"/>
      <c r="AJ678" s="232"/>
      <c r="AK678" s="232"/>
      <c r="AL678" s="232"/>
      <c r="AM678" s="232"/>
      <c r="AN678" s="232"/>
      <c r="AO678" s="232"/>
      <c r="AP678" s="232"/>
      <c r="AQ678" s="232"/>
      <c r="AR678" s="232"/>
      <c r="AS678" s="232"/>
      <c r="AT678" s="232"/>
      <c r="AU678" s="232"/>
      <c r="AV678" s="232"/>
      <c r="AW678" s="232"/>
    </row>
    <row r="679" spans="1:49">
      <c r="A679" s="232"/>
      <c r="B679" s="232"/>
      <c r="C679" s="232"/>
      <c r="D679" s="232"/>
      <c r="E679" s="232"/>
      <c r="F679" s="232"/>
      <c r="G679" s="232"/>
      <c r="H679" s="232"/>
      <c r="I679" s="232"/>
      <c r="J679" s="232"/>
      <c r="K679" s="232"/>
      <c r="L679" s="232"/>
      <c r="M679" s="232"/>
      <c r="N679" s="232"/>
      <c r="O679" s="232"/>
      <c r="P679" s="232"/>
      <c r="Q679" s="232"/>
      <c r="R679" s="232"/>
      <c r="S679" s="232"/>
      <c r="T679" s="232"/>
      <c r="U679" s="232"/>
      <c r="V679" s="232"/>
      <c r="W679" s="232"/>
      <c r="X679" s="232"/>
      <c r="Y679" s="232"/>
      <c r="Z679" s="232"/>
      <c r="AA679" s="232"/>
      <c r="AB679" s="232"/>
      <c r="AC679" s="232"/>
      <c r="AD679" s="232"/>
      <c r="AE679" s="232"/>
      <c r="AF679" s="232"/>
      <c r="AG679" s="232"/>
      <c r="AH679" s="232"/>
      <c r="AI679" s="232"/>
      <c r="AJ679" s="232"/>
      <c r="AK679" s="232"/>
      <c r="AL679" s="232"/>
      <c r="AM679" s="232"/>
      <c r="AN679" s="232"/>
      <c r="AO679" s="232"/>
      <c r="AP679" s="232"/>
      <c r="AQ679" s="232"/>
      <c r="AR679" s="232"/>
      <c r="AS679" s="232"/>
      <c r="AT679" s="232"/>
      <c r="AU679" s="232"/>
      <c r="AV679" s="232"/>
      <c r="AW679" s="232"/>
    </row>
    <row r="680" spans="1:49">
      <c r="A680" s="232"/>
      <c r="B680" s="232"/>
      <c r="C680" s="232"/>
      <c r="D680" s="232"/>
      <c r="E680" s="232"/>
      <c r="F680" s="232"/>
      <c r="G680" s="232"/>
      <c r="H680" s="232"/>
      <c r="I680" s="232"/>
      <c r="J680" s="232"/>
      <c r="K680" s="232"/>
      <c r="L680" s="232"/>
      <c r="M680" s="232"/>
      <c r="N680" s="232"/>
      <c r="O680" s="232"/>
      <c r="P680" s="232"/>
      <c r="Q680" s="232"/>
      <c r="R680" s="232"/>
      <c r="S680" s="232"/>
      <c r="T680" s="232"/>
      <c r="U680" s="232"/>
      <c r="V680" s="232"/>
      <c r="W680" s="232"/>
      <c r="X680" s="232"/>
      <c r="Y680" s="232"/>
      <c r="Z680" s="232"/>
      <c r="AA680" s="232"/>
      <c r="AB680" s="232"/>
      <c r="AC680" s="232"/>
      <c r="AD680" s="232"/>
      <c r="AE680" s="232"/>
      <c r="AF680" s="232"/>
      <c r="AG680" s="232"/>
      <c r="AH680" s="232"/>
      <c r="AI680" s="232"/>
      <c r="AJ680" s="232"/>
      <c r="AK680" s="232"/>
      <c r="AL680" s="232"/>
      <c r="AM680" s="232"/>
      <c r="AN680" s="232"/>
      <c r="AO680" s="232"/>
      <c r="AP680" s="232"/>
      <c r="AQ680" s="232"/>
      <c r="AR680" s="232"/>
      <c r="AS680" s="232"/>
      <c r="AT680" s="232"/>
      <c r="AU680" s="232"/>
      <c r="AV680" s="232"/>
      <c r="AW680" s="232"/>
    </row>
    <row r="681" spans="1:49">
      <c r="A681" s="232"/>
      <c r="B681" s="232"/>
      <c r="C681" s="232"/>
      <c r="D681" s="232"/>
      <c r="E681" s="232"/>
      <c r="F681" s="232"/>
      <c r="G681" s="232"/>
      <c r="H681" s="232"/>
      <c r="I681" s="232"/>
      <c r="J681" s="232"/>
      <c r="K681" s="232"/>
      <c r="L681" s="232"/>
      <c r="M681" s="232"/>
      <c r="N681" s="232"/>
      <c r="O681" s="232"/>
      <c r="P681" s="232"/>
      <c r="Q681" s="232"/>
      <c r="R681" s="232"/>
      <c r="S681" s="232"/>
      <c r="T681" s="232"/>
      <c r="U681" s="232"/>
      <c r="V681" s="232"/>
      <c r="W681" s="232"/>
      <c r="X681" s="232"/>
      <c r="Y681" s="232"/>
      <c r="Z681" s="232"/>
      <c r="AA681" s="232"/>
      <c r="AB681" s="232"/>
      <c r="AC681" s="232"/>
      <c r="AD681" s="232"/>
      <c r="AE681" s="232"/>
      <c r="AF681" s="232"/>
      <c r="AG681" s="232"/>
      <c r="AH681" s="232"/>
      <c r="AI681" s="232"/>
      <c r="AJ681" s="232"/>
      <c r="AK681" s="232"/>
      <c r="AL681" s="232"/>
      <c r="AM681" s="232"/>
      <c r="AN681" s="232"/>
      <c r="AO681" s="232"/>
      <c r="AP681" s="232"/>
      <c r="AQ681" s="232"/>
      <c r="AR681" s="232"/>
      <c r="AS681" s="232"/>
      <c r="AT681" s="232"/>
      <c r="AU681" s="232"/>
      <c r="AV681" s="232"/>
      <c r="AW681" s="232"/>
    </row>
    <row r="682" spans="1:49">
      <c r="A682" s="232"/>
      <c r="B682" s="232"/>
      <c r="C682" s="232"/>
      <c r="D682" s="232"/>
      <c r="E682" s="232"/>
      <c r="F682" s="232"/>
      <c r="G682" s="232"/>
      <c r="H682" s="232"/>
      <c r="I682" s="232"/>
      <c r="J682" s="232"/>
      <c r="K682" s="232"/>
      <c r="L682" s="232"/>
      <c r="M682" s="232"/>
      <c r="N682" s="232"/>
      <c r="O682" s="232"/>
      <c r="P682" s="232"/>
      <c r="Q682" s="232"/>
      <c r="R682" s="232"/>
      <c r="S682" s="232"/>
      <c r="T682" s="232"/>
      <c r="U682" s="232"/>
      <c r="V682" s="232"/>
      <c r="W682" s="232"/>
      <c r="X682" s="232"/>
      <c r="Y682" s="232"/>
      <c r="Z682" s="232"/>
      <c r="AA682" s="232"/>
      <c r="AB682" s="232"/>
      <c r="AC682" s="232"/>
      <c r="AD682" s="232"/>
      <c r="AE682" s="232"/>
      <c r="AF682" s="232"/>
      <c r="AG682" s="232"/>
      <c r="AH682" s="232"/>
      <c r="AI682" s="232"/>
      <c r="AJ682" s="232"/>
      <c r="AK682" s="232"/>
      <c r="AL682" s="232"/>
      <c r="AM682" s="232"/>
      <c r="AN682" s="232"/>
      <c r="AO682" s="232"/>
      <c r="AP682" s="232"/>
      <c r="AQ682" s="232"/>
      <c r="AR682" s="232"/>
      <c r="AS682" s="232"/>
      <c r="AT682" s="232"/>
      <c r="AU682" s="232"/>
      <c r="AV682" s="232"/>
      <c r="AW682" s="232"/>
    </row>
    <row r="683" spans="1:49">
      <c r="A683" s="232"/>
      <c r="B683" s="232"/>
      <c r="C683" s="232"/>
      <c r="D683" s="232"/>
      <c r="E683" s="232"/>
      <c r="F683" s="232"/>
      <c r="G683" s="232"/>
      <c r="H683" s="232"/>
      <c r="I683" s="232"/>
      <c r="J683" s="232"/>
      <c r="K683" s="232"/>
      <c r="L683" s="232"/>
      <c r="M683" s="232"/>
      <c r="N683" s="232"/>
      <c r="O683" s="232"/>
      <c r="P683" s="232"/>
      <c r="Q683" s="232"/>
      <c r="R683" s="232"/>
      <c r="S683" s="232"/>
      <c r="T683" s="232"/>
      <c r="U683" s="232"/>
      <c r="V683" s="232"/>
      <c r="W683" s="232"/>
      <c r="X683" s="232"/>
      <c r="Y683" s="232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32"/>
      <c r="AT683" s="232"/>
      <c r="AU683" s="232"/>
      <c r="AV683" s="232"/>
      <c r="AW683" s="232"/>
    </row>
    <row r="684" spans="1:49">
      <c r="A684" s="232"/>
      <c r="B684" s="232"/>
      <c r="C684" s="232"/>
      <c r="D684" s="232"/>
      <c r="E684" s="232"/>
      <c r="F684" s="232"/>
      <c r="G684" s="232"/>
      <c r="H684" s="232"/>
      <c r="I684" s="232"/>
      <c r="J684" s="232"/>
      <c r="K684" s="232"/>
      <c r="L684" s="232"/>
      <c r="M684" s="232"/>
      <c r="N684" s="232"/>
      <c r="O684" s="232"/>
      <c r="P684" s="232"/>
      <c r="Q684" s="232"/>
      <c r="R684" s="232"/>
      <c r="S684" s="232"/>
      <c r="T684" s="232"/>
      <c r="U684" s="232"/>
      <c r="V684" s="232"/>
      <c r="W684" s="232"/>
      <c r="X684" s="232"/>
      <c r="Y684" s="232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32"/>
      <c r="AT684" s="232"/>
      <c r="AU684" s="232"/>
      <c r="AV684" s="232"/>
      <c r="AW684" s="232"/>
    </row>
    <row r="685" spans="1:49">
      <c r="A685" s="232"/>
      <c r="B685" s="232"/>
      <c r="C685" s="232"/>
      <c r="D685" s="232"/>
      <c r="E685" s="232"/>
      <c r="F685" s="232"/>
      <c r="G685" s="232"/>
      <c r="H685" s="232"/>
      <c r="I685" s="232"/>
      <c r="J685" s="232"/>
      <c r="K685" s="232"/>
      <c r="L685" s="232"/>
      <c r="M685" s="232"/>
      <c r="N685" s="232"/>
      <c r="O685" s="232"/>
      <c r="P685" s="232"/>
      <c r="Q685" s="232"/>
      <c r="R685" s="232"/>
      <c r="S685" s="232"/>
      <c r="T685" s="232"/>
      <c r="U685" s="232"/>
      <c r="V685" s="232"/>
      <c r="W685" s="232"/>
      <c r="X685" s="232"/>
      <c r="Y685" s="232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32"/>
      <c r="AT685" s="232"/>
      <c r="AU685" s="232"/>
      <c r="AV685" s="232"/>
      <c r="AW685" s="232"/>
    </row>
    <row r="686" spans="1:49">
      <c r="A686" s="232"/>
      <c r="B686" s="232"/>
      <c r="C686" s="232"/>
      <c r="D686" s="232"/>
      <c r="E686" s="232"/>
      <c r="F686" s="232"/>
      <c r="G686" s="232"/>
      <c r="H686" s="232"/>
      <c r="I686" s="232"/>
      <c r="J686" s="232"/>
      <c r="K686" s="232"/>
      <c r="L686" s="232"/>
      <c r="M686" s="232"/>
      <c r="N686" s="232"/>
      <c r="O686" s="232"/>
      <c r="P686" s="232"/>
      <c r="Q686" s="232"/>
      <c r="R686" s="232"/>
      <c r="S686" s="232"/>
      <c r="T686" s="232"/>
      <c r="U686" s="232"/>
      <c r="V686" s="232"/>
      <c r="W686" s="232"/>
      <c r="X686" s="232"/>
      <c r="Y686" s="232"/>
      <c r="Z686" s="232"/>
      <c r="AA686" s="232"/>
      <c r="AB686" s="232"/>
      <c r="AC686" s="232"/>
      <c r="AD686" s="232"/>
      <c r="AE686" s="232"/>
      <c r="AF686" s="232"/>
      <c r="AG686" s="232"/>
      <c r="AH686" s="232"/>
      <c r="AI686" s="232"/>
      <c r="AJ686" s="232"/>
      <c r="AK686" s="232"/>
      <c r="AL686" s="232"/>
      <c r="AM686" s="232"/>
      <c r="AN686" s="232"/>
      <c r="AO686" s="232"/>
      <c r="AP686" s="232"/>
      <c r="AQ686" s="232"/>
      <c r="AR686" s="232"/>
      <c r="AS686" s="232"/>
      <c r="AT686" s="232"/>
      <c r="AU686" s="232"/>
      <c r="AV686" s="232"/>
      <c r="AW686" s="232"/>
    </row>
    <row r="687" spans="1:49">
      <c r="A687" s="232"/>
      <c r="B687" s="232"/>
      <c r="C687" s="232"/>
      <c r="D687" s="232"/>
      <c r="E687" s="232"/>
      <c r="F687" s="232"/>
      <c r="G687" s="232"/>
      <c r="H687" s="232"/>
      <c r="I687" s="232"/>
      <c r="J687" s="232"/>
      <c r="K687" s="232"/>
      <c r="L687" s="232"/>
      <c r="M687" s="232"/>
      <c r="N687" s="232"/>
      <c r="O687" s="232"/>
      <c r="P687" s="232"/>
      <c r="Q687" s="232"/>
      <c r="R687" s="232"/>
      <c r="S687" s="232"/>
      <c r="T687" s="232"/>
      <c r="U687" s="232"/>
      <c r="V687" s="232"/>
      <c r="W687" s="232"/>
      <c r="X687" s="232"/>
      <c r="Y687" s="232"/>
      <c r="Z687" s="232"/>
      <c r="AA687" s="232"/>
      <c r="AB687" s="232"/>
      <c r="AC687" s="232"/>
      <c r="AD687" s="232"/>
      <c r="AE687" s="232"/>
      <c r="AF687" s="232"/>
      <c r="AG687" s="232"/>
      <c r="AH687" s="232"/>
      <c r="AI687" s="232"/>
      <c r="AJ687" s="232"/>
      <c r="AK687" s="232"/>
      <c r="AL687" s="232"/>
      <c r="AM687" s="232"/>
      <c r="AN687" s="232"/>
      <c r="AO687" s="232"/>
      <c r="AP687" s="232"/>
      <c r="AQ687" s="232"/>
      <c r="AR687" s="232"/>
      <c r="AS687" s="232"/>
      <c r="AT687" s="232"/>
      <c r="AU687" s="232"/>
      <c r="AV687" s="232"/>
      <c r="AW687" s="232"/>
    </row>
    <row r="688" spans="1:49">
      <c r="A688" s="232"/>
      <c r="B688" s="232"/>
      <c r="C688" s="232"/>
      <c r="D688" s="232"/>
      <c r="E688" s="232"/>
      <c r="F688" s="232"/>
      <c r="G688" s="232"/>
      <c r="H688" s="232"/>
      <c r="I688" s="232"/>
      <c r="J688" s="232"/>
      <c r="K688" s="232"/>
      <c r="L688" s="232"/>
      <c r="M688" s="232"/>
      <c r="N688" s="232"/>
      <c r="O688" s="232"/>
      <c r="P688" s="232"/>
      <c r="Q688" s="232"/>
      <c r="R688" s="232"/>
      <c r="S688" s="232"/>
      <c r="T688" s="232"/>
      <c r="U688" s="232"/>
      <c r="V688" s="232"/>
      <c r="W688" s="232"/>
      <c r="X688" s="232"/>
      <c r="Y688" s="232"/>
      <c r="Z688" s="232"/>
      <c r="AA688" s="232"/>
      <c r="AB688" s="232"/>
      <c r="AC688" s="232"/>
      <c r="AD688" s="232"/>
      <c r="AE688" s="232"/>
      <c r="AF688" s="232"/>
      <c r="AG688" s="232"/>
      <c r="AH688" s="232"/>
      <c r="AI688" s="232"/>
      <c r="AJ688" s="232"/>
      <c r="AK688" s="232"/>
      <c r="AL688" s="232"/>
      <c r="AM688" s="232"/>
      <c r="AN688" s="232"/>
      <c r="AO688" s="232"/>
      <c r="AP688" s="232"/>
      <c r="AQ688" s="232"/>
      <c r="AR688" s="232"/>
      <c r="AS688" s="232"/>
      <c r="AT688" s="232"/>
      <c r="AU688" s="232"/>
      <c r="AV688" s="232"/>
      <c r="AW688" s="232"/>
    </row>
    <row r="689" spans="1:49">
      <c r="A689" s="232"/>
      <c r="B689" s="232"/>
      <c r="C689" s="232"/>
      <c r="D689" s="232"/>
      <c r="E689" s="232"/>
      <c r="F689" s="232"/>
      <c r="G689" s="232"/>
      <c r="H689" s="232"/>
      <c r="I689" s="232"/>
      <c r="J689" s="232"/>
      <c r="K689" s="232"/>
      <c r="L689" s="232"/>
      <c r="M689" s="232"/>
      <c r="N689" s="232"/>
      <c r="O689" s="232"/>
      <c r="P689" s="232"/>
      <c r="Q689" s="232"/>
      <c r="R689" s="232"/>
      <c r="S689" s="232"/>
      <c r="T689" s="232"/>
      <c r="U689" s="232"/>
      <c r="V689" s="232"/>
      <c r="W689" s="232"/>
      <c r="X689" s="232"/>
      <c r="Y689" s="232"/>
      <c r="Z689" s="232"/>
      <c r="AA689" s="232"/>
      <c r="AB689" s="232"/>
      <c r="AC689" s="232"/>
      <c r="AD689" s="232"/>
      <c r="AE689" s="232"/>
      <c r="AF689" s="232"/>
      <c r="AG689" s="232"/>
      <c r="AH689" s="232"/>
      <c r="AI689" s="232"/>
      <c r="AJ689" s="232"/>
      <c r="AK689" s="232"/>
      <c r="AL689" s="232"/>
      <c r="AM689" s="232"/>
      <c r="AN689" s="232"/>
      <c r="AO689" s="232"/>
      <c r="AP689" s="232"/>
      <c r="AQ689" s="232"/>
      <c r="AR689" s="232"/>
      <c r="AS689" s="232"/>
      <c r="AT689" s="232"/>
      <c r="AU689" s="232"/>
      <c r="AV689" s="232"/>
      <c r="AW689" s="232"/>
    </row>
    <row r="690" spans="1:49">
      <c r="A690" s="232"/>
      <c r="B690" s="232"/>
      <c r="C690" s="232"/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2"/>
      <c r="P690" s="232"/>
      <c r="Q690" s="232"/>
      <c r="R690" s="232"/>
      <c r="S690" s="232"/>
      <c r="T690" s="232"/>
      <c r="U690" s="232"/>
      <c r="V690" s="232"/>
      <c r="W690" s="232"/>
      <c r="X690" s="232"/>
      <c r="Y690" s="232"/>
      <c r="Z690" s="232"/>
      <c r="AA690" s="232"/>
      <c r="AB690" s="232"/>
      <c r="AC690" s="232"/>
      <c r="AD690" s="232"/>
      <c r="AE690" s="232"/>
      <c r="AF690" s="232"/>
      <c r="AG690" s="232"/>
      <c r="AH690" s="232"/>
      <c r="AI690" s="232"/>
      <c r="AJ690" s="232"/>
      <c r="AK690" s="232"/>
      <c r="AL690" s="232"/>
      <c r="AM690" s="232"/>
      <c r="AN690" s="232"/>
      <c r="AO690" s="232"/>
      <c r="AP690" s="232"/>
      <c r="AQ690" s="232"/>
      <c r="AR690" s="232"/>
      <c r="AS690" s="232"/>
      <c r="AT690" s="232"/>
      <c r="AU690" s="232"/>
      <c r="AV690" s="232"/>
      <c r="AW690" s="232"/>
    </row>
    <row r="691" spans="1:49">
      <c r="A691" s="232"/>
      <c r="B691" s="232"/>
      <c r="C691" s="232"/>
      <c r="D691" s="232"/>
      <c r="E691" s="232"/>
      <c r="F691" s="232"/>
      <c r="G691" s="232"/>
      <c r="H691" s="232"/>
      <c r="I691" s="232"/>
      <c r="J691" s="232"/>
      <c r="K691" s="232"/>
      <c r="L691" s="232"/>
      <c r="M691" s="232"/>
      <c r="N691" s="232"/>
      <c r="O691" s="232"/>
      <c r="P691" s="232"/>
      <c r="Q691" s="232"/>
      <c r="R691" s="232"/>
      <c r="S691" s="232"/>
      <c r="T691" s="232"/>
      <c r="U691" s="232"/>
      <c r="V691" s="232"/>
      <c r="W691" s="232"/>
      <c r="X691" s="232"/>
      <c r="Y691" s="232"/>
      <c r="Z691" s="232"/>
      <c r="AA691" s="232"/>
      <c r="AB691" s="232"/>
      <c r="AC691" s="232"/>
      <c r="AD691" s="232"/>
      <c r="AE691" s="232"/>
      <c r="AF691" s="232"/>
      <c r="AG691" s="232"/>
      <c r="AH691" s="232"/>
      <c r="AI691" s="232"/>
      <c r="AJ691" s="232"/>
      <c r="AK691" s="232"/>
      <c r="AL691" s="232"/>
      <c r="AM691" s="232"/>
      <c r="AN691" s="232"/>
      <c r="AO691" s="232"/>
      <c r="AP691" s="232"/>
      <c r="AQ691" s="232"/>
      <c r="AR691" s="232"/>
      <c r="AS691" s="232"/>
      <c r="AT691" s="232"/>
      <c r="AU691" s="232"/>
      <c r="AV691" s="232"/>
      <c r="AW691" s="232"/>
    </row>
    <row r="692" spans="1:49">
      <c r="A692" s="232"/>
      <c r="B692" s="232"/>
      <c r="C692" s="232"/>
      <c r="D692" s="232"/>
      <c r="E692" s="232"/>
      <c r="F692" s="232"/>
      <c r="G692" s="232"/>
      <c r="H692" s="232"/>
      <c r="I692" s="232"/>
      <c r="J692" s="232"/>
      <c r="K692" s="232"/>
      <c r="L692" s="232"/>
      <c r="M692" s="232"/>
      <c r="N692" s="232"/>
      <c r="O692" s="232"/>
      <c r="P692" s="232"/>
      <c r="Q692" s="232"/>
      <c r="R692" s="232"/>
      <c r="S692" s="232"/>
      <c r="T692" s="232"/>
      <c r="U692" s="232"/>
      <c r="V692" s="232"/>
      <c r="W692" s="232"/>
      <c r="X692" s="232"/>
      <c r="Y692" s="232"/>
      <c r="Z692" s="232"/>
      <c r="AA692" s="232"/>
      <c r="AB692" s="232"/>
      <c r="AC692" s="232"/>
      <c r="AD692" s="232"/>
      <c r="AE692" s="232"/>
      <c r="AF692" s="232"/>
      <c r="AG692" s="232"/>
      <c r="AH692" s="232"/>
      <c r="AI692" s="232"/>
      <c r="AJ692" s="232"/>
      <c r="AK692" s="232"/>
      <c r="AL692" s="232"/>
      <c r="AM692" s="232"/>
      <c r="AN692" s="232"/>
      <c r="AO692" s="232"/>
      <c r="AP692" s="232"/>
      <c r="AQ692" s="232"/>
      <c r="AR692" s="232"/>
      <c r="AS692" s="232"/>
      <c r="AT692" s="232"/>
      <c r="AU692" s="232"/>
      <c r="AV692" s="232"/>
      <c r="AW692" s="232"/>
    </row>
    <row r="693" spans="1:49">
      <c r="A693" s="232"/>
      <c r="B693" s="232"/>
      <c r="C693" s="232"/>
      <c r="D693" s="232"/>
      <c r="E693" s="232"/>
      <c r="F693" s="232"/>
      <c r="G693" s="232"/>
      <c r="H693" s="232"/>
      <c r="I693" s="232"/>
      <c r="J693" s="232"/>
      <c r="K693" s="232"/>
      <c r="L693" s="232"/>
      <c r="M693" s="232"/>
      <c r="N693" s="232"/>
      <c r="O693" s="232"/>
      <c r="P693" s="232"/>
      <c r="Q693" s="232"/>
      <c r="R693" s="232"/>
      <c r="S693" s="232"/>
      <c r="T693" s="232"/>
      <c r="U693" s="232"/>
      <c r="V693" s="232"/>
      <c r="W693" s="232"/>
      <c r="X693" s="232"/>
      <c r="Y693" s="232"/>
      <c r="Z693" s="232"/>
      <c r="AA693" s="232"/>
      <c r="AB693" s="232"/>
      <c r="AC693" s="232"/>
      <c r="AD693" s="232"/>
      <c r="AE693" s="232"/>
      <c r="AF693" s="232"/>
      <c r="AG693" s="232"/>
      <c r="AH693" s="232"/>
      <c r="AI693" s="232"/>
      <c r="AJ693" s="232"/>
      <c r="AK693" s="232"/>
      <c r="AL693" s="232"/>
      <c r="AM693" s="232"/>
      <c r="AN693" s="232"/>
      <c r="AO693" s="232"/>
      <c r="AP693" s="232"/>
      <c r="AQ693" s="232"/>
      <c r="AR693" s="232"/>
      <c r="AS693" s="232"/>
      <c r="AT693" s="232"/>
      <c r="AU693" s="232"/>
      <c r="AV693" s="232"/>
      <c r="AW693" s="232"/>
    </row>
    <row r="694" spans="1:49">
      <c r="A694" s="232"/>
      <c r="B694" s="232"/>
      <c r="C694" s="232"/>
      <c r="D694" s="232"/>
      <c r="E694" s="232"/>
      <c r="F694" s="232"/>
      <c r="G694" s="232"/>
      <c r="H694" s="232"/>
      <c r="I694" s="232"/>
      <c r="J694" s="232"/>
      <c r="K694" s="232"/>
      <c r="L694" s="232"/>
      <c r="M694" s="232"/>
      <c r="N694" s="232"/>
      <c r="O694" s="232"/>
      <c r="P694" s="232"/>
      <c r="Q694" s="232"/>
      <c r="R694" s="232"/>
      <c r="S694" s="232"/>
      <c r="T694" s="232"/>
      <c r="U694" s="232"/>
      <c r="V694" s="232"/>
      <c r="W694" s="232"/>
      <c r="X694" s="232"/>
      <c r="Y694" s="232"/>
      <c r="Z694" s="232"/>
      <c r="AA694" s="232"/>
      <c r="AB694" s="232"/>
      <c r="AC694" s="232"/>
      <c r="AD694" s="232"/>
      <c r="AE694" s="232"/>
      <c r="AF694" s="232"/>
      <c r="AG694" s="232"/>
      <c r="AH694" s="232"/>
      <c r="AI694" s="232"/>
      <c r="AJ694" s="232"/>
      <c r="AK694" s="232"/>
      <c r="AL694" s="232"/>
      <c r="AM694" s="232"/>
      <c r="AN694" s="232"/>
      <c r="AO694" s="232"/>
      <c r="AP694" s="232"/>
      <c r="AQ694" s="232"/>
      <c r="AR694" s="232"/>
      <c r="AS694" s="232"/>
      <c r="AT694" s="232"/>
      <c r="AU694" s="232"/>
      <c r="AV694" s="232"/>
      <c r="AW694" s="232"/>
    </row>
    <row r="695" spans="1:49">
      <c r="A695" s="232"/>
      <c r="B695" s="232"/>
      <c r="C695" s="232"/>
      <c r="D695" s="232"/>
      <c r="E695" s="232"/>
      <c r="F695" s="232"/>
      <c r="G695" s="232"/>
      <c r="H695" s="232"/>
      <c r="I695" s="232"/>
      <c r="J695" s="232"/>
      <c r="K695" s="232"/>
      <c r="L695" s="232"/>
      <c r="M695" s="232"/>
      <c r="N695" s="232"/>
      <c r="O695" s="232"/>
      <c r="P695" s="232"/>
      <c r="Q695" s="232"/>
      <c r="R695" s="232"/>
      <c r="S695" s="232"/>
      <c r="T695" s="232"/>
      <c r="U695" s="232"/>
      <c r="V695" s="232"/>
      <c r="W695" s="232"/>
      <c r="X695" s="232"/>
      <c r="Y695" s="232"/>
      <c r="Z695" s="232"/>
      <c r="AA695" s="232"/>
      <c r="AB695" s="232"/>
      <c r="AC695" s="232"/>
      <c r="AD695" s="232"/>
      <c r="AE695" s="232"/>
      <c r="AF695" s="232"/>
      <c r="AG695" s="232"/>
      <c r="AH695" s="232"/>
      <c r="AI695" s="232"/>
      <c r="AJ695" s="232"/>
      <c r="AK695" s="232"/>
      <c r="AL695" s="232"/>
      <c r="AM695" s="232"/>
      <c r="AN695" s="232"/>
      <c r="AO695" s="232"/>
      <c r="AP695" s="232"/>
      <c r="AQ695" s="232"/>
      <c r="AR695" s="232"/>
      <c r="AS695" s="232"/>
      <c r="AT695" s="232"/>
      <c r="AU695" s="232"/>
      <c r="AV695" s="232"/>
      <c r="AW695" s="23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S8" sqref="S8:V58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408" t="s">
        <v>115</v>
      </c>
      <c r="C3" s="408"/>
      <c r="D3" s="408"/>
      <c r="E3" s="408"/>
      <c r="F3" s="408"/>
      <c r="G3" s="409" t="s">
        <v>66</v>
      </c>
      <c r="H3" s="409"/>
      <c r="I3" s="409"/>
      <c r="J3" s="409"/>
      <c r="K3" s="409"/>
      <c r="L3" s="409"/>
      <c r="M3" s="409"/>
      <c r="N3" s="409" t="s">
        <v>102</v>
      </c>
      <c r="O3" s="409"/>
      <c r="P3" s="409"/>
      <c r="Q3" s="409"/>
      <c r="R3" s="409"/>
      <c r="S3" s="409"/>
      <c r="T3" s="409"/>
      <c r="U3" s="409"/>
      <c r="V3" s="10"/>
      <c r="W3" s="409"/>
      <c r="X3" s="409"/>
      <c r="Y3" s="408" t="s">
        <v>102</v>
      </c>
      <c r="Z3" s="408"/>
      <c r="AA3" s="408"/>
      <c r="AB3" s="408"/>
      <c r="AC3" s="408"/>
      <c r="AE3" s="408" t="s">
        <v>135</v>
      </c>
      <c r="AF3" s="408"/>
      <c r="AG3" s="408"/>
      <c r="AH3" s="408"/>
      <c r="AI3" s="408"/>
    </row>
    <row r="4" spans="1:64" ht="64.5" thickBot="1">
      <c r="A4" s="112" t="s">
        <v>0</v>
      </c>
      <c r="B4" s="135" t="s">
        <v>328</v>
      </c>
      <c r="C4" s="112" t="s">
        <v>325</v>
      </c>
      <c r="D4" s="135" t="s">
        <v>133</v>
      </c>
      <c r="E4" s="136" t="s">
        <v>134</v>
      </c>
      <c r="F4" s="137" t="s">
        <v>92</v>
      </c>
      <c r="G4" s="112" t="s">
        <v>250</v>
      </c>
      <c r="H4" s="135" t="s">
        <v>88</v>
      </c>
      <c r="I4" s="138">
        <v>0.85</v>
      </c>
      <c r="J4" s="112" t="s">
        <v>58</v>
      </c>
      <c r="K4" s="135" t="s">
        <v>89</v>
      </c>
      <c r="L4" s="138">
        <v>0.15</v>
      </c>
      <c r="M4" s="113" t="s">
        <v>90</v>
      </c>
      <c r="N4" s="112" t="s">
        <v>81</v>
      </c>
      <c r="O4" s="112" t="s">
        <v>330</v>
      </c>
      <c r="P4" s="112" t="s">
        <v>331</v>
      </c>
      <c r="Q4" s="112" t="s">
        <v>332</v>
      </c>
      <c r="R4" s="112" t="s">
        <v>333</v>
      </c>
      <c r="S4" s="112" t="s">
        <v>86</v>
      </c>
      <c r="T4" s="112" t="s">
        <v>334</v>
      </c>
      <c r="U4" s="112" t="s">
        <v>335</v>
      </c>
      <c r="V4" s="112" t="s">
        <v>336</v>
      </c>
      <c r="W4" s="112" t="s">
        <v>337</v>
      </c>
      <c r="X4" s="138">
        <v>0.85</v>
      </c>
      <c r="Y4" s="112" t="s">
        <v>346</v>
      </c>
      <c r="Z4" s="136" t="s">
        <v>61</v>
      </c>
      <c r="AA4" s="139" t="s">
        <v>63</v>
      </c>
      <c r="AB4" s="138">
        <v>0.15</v>
      </c>
      <c r="AC4" s="113" t="s">
        <v>91</v>
      </c>
      <c r="AD4" s="80"/>
      <c r="AE4" s="114" t="s">
        <v>105</v>
      </c>
      <c r="AF4" s="114" t="s">
        <v>103</v>
      </c>
      <c r="AG4" s="114" t="s">
        <v>104</v>
      </c>
      <c r="AH4" s="114" t="s">
        <v>141</v>
      </c>
      <c r="AI4" s="114" t="s">
        <v>93</v>
      </c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 spans="1:64">
      <c r="A5" s="115"/>
      <c r="B5" s="140" t="s">
        <v>109</v>
      </c>
      <c r="C5" s="115" t="s">
        <v>109</v>
      </c>
      <c r="D5" s="140"/>
      <c r="E5" s="141"/>
      <c r="F5" s="142"/>
      <c r="G5" s="115"/>
      <c r="H5" s="140"/>
      <c r="I5" s="143"/>
      <c r="J5" s="86"/>
      <c r="K5" s="140"/>
      <c r="L5" s="143"/>
      <c r="M5" s="116"/>
      <c r="N5" s="86"/>
      <c r="O5" s="86"/>
      <c r="P5" s="86"/>
      <c r="Q5" s="86"/>
      <c r="R5" s="86"/>
      <c r="S5" s="86"/>
      <c r="T5" s="86"/>
      <c r="U5" s="86"/>
      <c r="V5" s="86"/>
      <c r="W5" s="115"/>
      <c r="X5" s="143"/>
      <c r="Y5" s="115"/>
      <c r="Z5" s="141"/>
      <c r="AA5" s="144"/>
      <c r="AB5" s="143"/>
      <c r="AC5" s="116"/>
      <c r="AD5" s="103"/>
      <c r="AE5" s="117" t="s">
        <v>109</v>
      </c>
      <c r="AF5" s="117" t="s">
        <v>109</v>
      </c>
      <c r="AG5" s="117" t="s">
        <v>109</v>
      </c>
      <c r="AH5" s="117" t="s">
        <v>109</v>
      </c>
      <c r="AI5" s="117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 spans="1:64" s="3" customFormat="1" ht="22.5">
      <c r="A6" s="118"/>
      <c r="B6" s="145" t="s">
        <v>176</v>
      </c>
      <c r="C6" s="146" t="s">
        <v>177</v>
      </c>
      <c r="D6" s="146" t="s">
        <v>54</v>
      </c>
      <c r="E6" s="146" t="s">
        <v>55</v>
      </c>
      <c r="F6" s="147" t="s">
        <v>74</v>
      </c>
      <c r="G6" s="118" t="s">
        <v>57</v>
      </c>
      <c r="H6" s="146" t="s">
        <v>72</v>
      </c>
      <c r="I6" s="148" t="s">
        <v>75</v>
      </c>
      <c r="J6" s="121" t="s">
        <v>65</v>
      </c>
      <c r="K6" s="146" t="s">
        <v>76</v>
      </c>
      <c r="L6" s="148" t="s">
        <v>77</v>
      </c>
      <c r="M6" s="149" t="s">
        <v>67</v>
      </c>
      <c r="N6" s="121" t="s">
        <v>82</v>
      </c>
      <c r="O6" s="121" t="s">
        <v>83</v>
      </c>
      <c r="P6" s="121" t="s">
        <v>84</v>
      </c>
      <c r="Q6" s="121" t="s">
        <v>85</v>
      </c>
      <c r="R6" s="118" t="s">
        <v>345</v>
      </c>
      <c r="S6" s="121" t="s">
        <v>82</v>
      </c>
      <c r="T6" s="121" t="s">
        <v>83</v>
      </c>
      <c r="U6" s="121" t="s">
        <v>84</v>
      </c>
      <c r="V6" s="121" t="s">
        <v>85</v>
      </c>
      <c r="W6" s="146" t="s">
        <v>59</v>
      </c>
      <c r="X6" s="148" t="s">
        <v>78</v>
      </c>
      <c r="Y6" s="146" t="s">
        <v>62</v>
      </c>
      <c r="Z6" s="146" t="s">
        <v>60</v>
      </c>
      <c r="AA6" s="148" t="s">
        <v>79</v>
      </c>
      <c r="AB6" s="148" t="s">
        <v>80</v>
      </c>
      <c r="AC6" s="120" t="s">
        <v>64</v>
      </c>
      <c r="AD6" s="119"/>
      <c r="AE6" s="121">
        <f>+AH6*0.5</f>
        <v>4053861964.5130367</v>
      </c>
      <c r="AF6" s="121">
        <f>+AH6*0.25</f>
        <v>2026930982.2565184</v>
      </c>
      <c r="AG6" s="121">
        <f>+AH6*0.25</f>
        <v>2026930982.2565184</v>
      </c>
      <c r="AH6" s="121">
        <f>+'PART PEF2021'!E13</f>
        <v>8107723929.0260735</v>
      </c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</row>
    <row r="7" spans="1:64" s="4" customFormat="1" ht="23.25" customHeight="1" thickBot="1">
      <c r="A7" s="122"/>
      <c r="B7" s="123"/>
      <c r="C7" s="123"/>
      <c r="D7" s="123"/>
      <c r="E7" s="123"/>
      <c r="F7" s="150"/>
      <c r="G7" s="122"/>
      <c r="H7" s="123"/>
      <c r="I7" s="151"/>
      <c r="J7" s="123"/>
      <c r="K7" s="123"/>
      <c r="L7" s="151"/>
      <c r="M7" s="124"/>
      <c r="N7" s="121"/>
      <c r="O7" s="121"/>
      <c r="P7" s="121"/>
      <c r="Q7" s="121"/>
      <c r="R7" s="122"/>
      <c r="S7" s="121"/>
      <c r="T7" s="121"/>
      <c r="U7" s="121"/>
      <c r="V7" s="121"/>
      <c r="W7" s="123"/>
      <c r="X7" s="152"/>
      <c r="Y7" s="123"/>
      <c r="Z7" s="123"/>
      <c r="AA7" s="151"/>
      <c r="AB7" s="151"/>
      <c r="AC7" s="124"/>
      <c r="AD7" s="123"/>
      <c r="AE7" s="121" t="s">
        <v>116</v>
      </c>
      <c r="AF7" s="121" t="s">
        <v>117</v>
      </c>
      <c r="AG7" s="121" t="s">
        <v>71</v>
      </c>
      <c r="AH7" s="125" t="s">
        <v>118</v>
      </c>
      <c r="AI7" s="125" t="s">
        <v>69</v>
      </c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</row>
    <row r="8" spans="1:64" ht="13.5" thickTop="1">
      <c r="A8" s="72" t="s">
        <v>1</v>
      </c>
      <c r="B8" s="153">
        <v>558823</v>
      </c>
      <c r="C8" s="153">
        <v>145672.85</v>
      </c>
      <c r="D8" s="154">
        <f t="shared" ref="D8:D39" si="0">+C8/B8</f>
        <v>0.26067797853703228</v>
      </c>
      <c r="E8" s="155">
        <f>+D8*C8</f>
        <v>37973.704065728321</v>
      </c>
      <c r="F8" s="340">
        <f t="shared" ref="F8:F39" si="1">+E8/E$59</f>
        <v>2.3846074066165529E-5</v>
      </c>
      <c r="G8" s="126">
        <f>+'CENSO POB 2020'!C5</f>
        <v>2974</v>
      </c>
      <c r="H8" s="156">
        <f t="shared" ref="H8:H39" si="2">+G8/$G$59</f>
        <v>5.141377508841821E-4</v>
      </c>
      <c r="I8" s="157">
        <f>+H8*I$4</f>
        <v>4.3701708825155477E-4</v>
      </c>
      <c r="J8" s="153">
        <v>47.45</v>
      </c>
      <c r="K8" s="158">
        <f t="shared" ref="K8:K39" si="3">+J8/$J$59</f>
        <v>7.3886478603129777E-4</v>
      </c>
      <c r="L8" s="159">
        <f>+K8*L$4</f>
        <v>1.1082971790469465E-4</v>
      </c>
      <c r="M8" s="340">
        <f>+L8+I8</f>
        <v>5.4784680615624945E-4</v>
      </c>
      <c r="N8" s="160">
        <v>334</v>
      </c>
      <c r="O8" s="161">
        <v>51</v>
      </c>
      <c r="P8" s="161">
        <v>69</v>
      </c>
      <c r="Q8" s="161">
        <v>52</v>
      </c>
      <c r="R8" s="162">
        <f t="shared" ref="R8:R39" si="4">(0.25*(N8/N$59))+(0.25*(O8/O$59))+(0.25*(P8/P$59))+(0.25*(Q8/Q$59))</f>
        <v>1.456616500754656E-3</v>
      </c>
      <c r="S8" s="380">
        <v>195</v>
      </c>
      <c r="T8" s="380">
        <v>48</v>
      </c>
      <c r="U8" s="380">
        <v>30</v>
      </c>
      <c r="V8" s="380">
        <v>7</v>
      </c>
      <c r="W8" s="162">
        <f t="shared" ref="W8:W39" si="5">(0.25*(S8/S$59))+(0.25*(T8/T$59))+(0.25*(U8/U$59))+(0.25*(V8/V$59))</f>
        <v>7.6890873659602387E-4</v>
      </c>
      <c r="X8" s="163">
        <f t="shared" ref="X8:X39" si="6">+W8*X$4</f>
        <v>6.5357242610662031E-4</v>
      </c>
      <c r="Y8" s="164">
        <f t="shared" ref="Y8:Y39" si="7">+(W8-R8)/R8</f>
        <v>-0.47212685274561889</v>
      </c>
      <c r="Z8" s="164">
        <f t="shared" ref="Z8:Z58" si="8">IF(Y8&gt;0,0,Y8)</f>
        <v>-0.47212685274561889</v>
      </c>
      <c r="AA8" s="157">
        <f>+Z8/Z$59</f>
        <v>5.9883783216983795E-2</v>
      </c>
      <c r="AB8" s="157">
        <f t="shared" ref="AB8:AB39" si="9">+AA8*AB$4</f>
        <v>8.9825674825475682E-3</v>
      </c>
      <c r="AC8" s="340">
        <f t="shared" ref="AC8:AC58" si="10">+AB8+X8</f>
        <v>9.6361399086541885E-3</v>
      </c>
      <c r="AD8" s="80"/>
      <c r="AE8" s="127">
        <f t="shared" ref="AE8:AE39" si="11">+F8*AE$6</f>
        <v>96668.692659789172</v>
      </c>
      <c r="AF8" s="128">
        <f t="shared" ref="AF8:AF39" si="12">+M8*AF$6</f>
        <v>1110447.6649283832</v>
      </c>
      <c r="AG8" s="128">
        <f t="shared" ref="AG8:AG39" si="13">+AC8*AG$6</f>
        <v>19531790.530209672</v>
      </c>
      <c r="AH8" s="128">
        <f>SUM(AE8:AG8)</f>
        <v>20738906.887797844</v>
      </c>
      <c r="AI8" s="376">
        <f>+AH8/AH$59</f>
        <v>2.5579197157356921E-3</v>
      </c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4">
      <c r="A9" s="73" t="s">
        <v>2</v>
      </c>
      <c r="B9" s="165">
        <v>2588435</v>
      </c>
      <c r="C9" s="165">
        <v>768052</v>
      </c>
      <c r="D9" s="166">
        <f t="shared" si="0"/>
        <v>0.2967244686461124</v>
      </c>
      <c r="E9" s="167">
        <f t="shared" ref="E9:E58" si="14">+D9*C9</f>
        <v>227899.82159258393</v>
      </c>
      <c r="F9" s="341">
        <f t="shared" si="1"/>
        <v>1.4311261329566678E-4</v>
      </c>
      <c r="G9" s="129">
        <f>+'CENSO POB 2020'!C6</f>
        <v>3382</v>
      </c>
      <c r="H9" s="168">
        <f t="shared" si="2"/>
        <v>5.8467177992276519E-4</v>
      </c>
      <c r="I9" s="169">
        <f t="shared" ref="I9:I58" si="15">+H9*I$4</f>
        <v>4.9697101293435045E-4</v>
      </c>
      <c r="J9" s="165">
        <v>978.99</v>
      </c>
      <c r="K9" s="170">
        <f t="shared" si="3"/>
        <v>1.524428317970032E-2</v>
      </c>
      <c r="L9" s="171">
        <f t="shared" ref="L9:L58" si="16">+K9*L$4</f>
        <v>2.2866424769550477E-3</v>
      </c>
      <c r="M9" s="341">
        <f t="shared" ref="M9:M58" si="17">+L9+I9</f>
        <v>2.783613489889398E-3</v>
      </c>
      <c r="N9" s="172">
        <v>768</v>
      </c>
      <c r="O9" s="173">
        <v>120</v>
      </c>
      <c r="P9" s="173">
        <v>175</v>
      </c>
      <c r="Q9" s="173">
        <v>44</v>
      </c>
      <c r="R9" s="174">
        <f t="shared" si="4"/>
        <v>2.0154670291984656E-3</v>
      </c>
      <c r="S9" s="381">
        <v>469</v>
      </c>
      <c r="T9" s="381">
        <v>131</v>
      </c>
      <c r="U9" s="381">
        <v>85</v>
      </c>
      <c r="V9" s="381">
        <v>16</v>
      </c>
      <c r="W9" s="174">
        <f t="shared" si="5"/>
        <v>1.9410335279363734E-3</v>
      </c>
      <c r="X9" s="175">
        <f t="shared" si="6"/>
        <v>1.6498784987459174E-3</v>
      </c>
      <c r="Y9" s="176">
        <f t="shared" si="7"/>
        <v>-3.6931143096741101E-2</v>
      </c>
      <c r="Z9" s="176">
        <f t="shared" si="8"/>
        <v>-3.6931143096741101E-2</v>
      </c>
      <c r="AA9" s="169">
        <f t="shared" ref="AA9:AA58" si="18">+Z9/Z$59</f>
        <v>4.6842846457459284E-3</v>
      </c>
      <c r="AB9" s="169">
        <f t="shared" si="9"/>
        <v>7.0264269686188922E-4</v>
      </c>
      <c r="AC9" s="341">
        <f t="shared" si="10"/>
        <v>2.3525211956078066E-3</v>
      </c>
      <c r="AD9" s="80"/>
      <c r="AE9" s="130">
        <f t="shared" si="11"/>
        <v>580158.77968136629</v>
      </c>
      <c r="AF9" s="131">
        <f t="shared" si="12"/>
        <v>5642192.4252840122</v>
      </c>
      <c r="AG9" s="131">
        <f t="shared" si="13"/>
        <v>4768398.0977926105</v>
      </c>
      <c r="AH9" s="131">
        <f t="shared" ref="AH9:AH58" si="19">SUM(AE9:AG9)</f>
        <v>10990749.30275799</v>
      </c>
      <c r="AI9" s="377">
        <f t="shared" ref="AI9:AI58" si="20">+AH9/AH$59</f>
        <v>1.3555899780221343E-3</v>
      </c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4">
      <c r="A10" s="73" t="s">
        <v>3</v>
      </c>
      <c r="B10" s="165">
        <v>1115974</v>
      </c>
      <c r="C10" s="165">
        <v>272877</v>
      </c>
      <c r="D10" s="166">
        <f t="shared" si="0"/>
        <v>0.24451913754263091</v>
      </c>
      <c r="E10" s="167">
        <f t="shared" si="14"/>
        <v>66723.648695220501</v>
      </c>
      <c r="F10" s="341">
        <f t="shared" si="1"/>
        <v>4.1899970200352918E-5</v>
      </c>
      <c r="G10" s="129">
        <f>+'CENSO POB 2020'!C36</f>
        <v>1407</v>
      </c>
      <c r="H10" s="168">
        <f t="shared" si="2"/>
        <v>2.4323867366981983E-4</v>
      </c>
      <c r="I10" s="169">
        <f t="shared" si="15"/>
        <v>2.0675287261934686E-4</v>
      </c>
      <c r="J10" s="165">
        <v>696.75</v>
      </c>
      <c r="K10" s="170">
        <f t="shared" si="3"/>
        <v>1.0849400203736705E-2</v>
      </c>
      <c r="L10" s="171">
        <f t="shared" si="16"/>
        <v>1.6274100305605057E-3</v>
      </c>
      <c r="M10" s="341">
        <f t="shared" si="17"/>
        <v>1.8341629031798526E-3</v>
      </c>
      <c r="N10" s="172">
        <v>363</v>
      </c>
      <c r="O10" s="173">
        <v>60</v>
      </c>
      <c r="P10" s="173">
        <v>193</v>
      </c>
      <c r="Q10" s="173">
        <v>19</v>
      </c>
      <c r="R10" s="174">
        <f t="shared" si="4"/>
        <v>1.1550411585427741E-3</v>
      </c>
      <c r="S10" s="381">
        <v>209</v>
      </c>
      <c r="T10" s="381">
        <v>47</v>
      </c>
      <c r="U10" s="381">
        <v>10</v>
      </c>
      <c r="V10" s="381">
        <v>2</v>
      </c>
      <c r="W10" s="174">
        <f t="shared" si="5"/>
        <v>4.7743907478128595E-4</v>
      </c>
      <c r="X10" s="175">
        <f t="shared" si="6"/>
        <v>4.0582321356409304E-4</v>
      </c>
      <c r="Y10" s="176">
        <f t="shared" si="7"/>
        <v>-0.58664756554334929</v>
      </c>
      <c r="Z10" s="176">
        <f t="shared" si="8"/>
        <v>-0.58664756554334929</v>
      </c>
      <c r="AA10" s="169">
        <f t="shared" si="18"/>
        <v>7.4409399582907362E-2</v>
      </c>
      <c r="AB10" s="169">
        <f t="shared" si="9"/>
        <v>1.1161409937436103E-2</v>
      </c>
      <c r="AC10" s="341">
        <f t="shared" si="10"/>
        <v>1.1567233151000196E-2</v>
      </c>
      <c r="AD10" s="80"/>
      <c r="AE10" s="130">
        <f t="shared" si="11"/>
        <v>169856.69550944038</v>
      </c>
      <c r="AF10" s="131">
        <f t="shared" si="12"/>
        <v>3717721.614960806</v>
      </c>
      <c r="AG10" s="131">
        <f t="shared" si="13"/>
        <v>23445983.252746992</v>
      </c>
      <c r="AH10" s="131">
        <f t="shared" si="19"/>
        <v>27333561.563217238</v>
      </c>
      <c r="AI10" s="377">
        <f t="shared" si="20"/>
        <v>3.3712989986451882E-3</v>
      </c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64" ht="13.5" customHeight="1">
      <c r="A11" s="73" t="s">
        <v>4</v>
      </c>
      <c r="B11" s="165">
        <v>37146815</v>
      </c>
      <c r="C11" s="165">
        <v>23142962</v>
      </c>
      <c r="D11" s="166">
        <f t="shared" si="0"/>
        <v>0.62301335928800361</v>
      </c>
      <c r="E11" s="167">
        <f t="shared" si="14"/>
        <v>14418374.499494614</v>
      </c>
      <c r="F11" s="341">
        <f t="shared" si="1"/>
        <v>9.0542030251656077E-3</v>
      </c>
      <c r="G11" s="129">
        <f>+'CENSO POB 2020'!C7</f>
        <v>35289</v>
      </c>
      <c r="H11" s="168">
        <f t="shared" si="2"/>
        <v>6.1006748792709828E-3</v>
      </c>
      <c r="I11" s="169">
        <f t="shared" si="15"/>
        <v>5.1855736473803348E-3</v>
      </c>
      <c r="J11" s="165">
        <v>190.52</v>
      </c>
      <c r="K11" s="170">
        <f t="shared" si="3"/>
        <v>2.9666705802883636E-3</v>
      </c>
      <c r="L11" s="171">
        <f t="shared" si="16"/>
        <v>4.4500058704325453E-4</v>
      </c>
      <c r="M11" s="341">
        <f t="shared" si="17"/>
        <v>5.6305742344235892E-3</v>
      </c>
      <c r="N11" s="172">
        <v>3420</v>
      </c>
      <c r="O11" s="173">
        <v>629</v>
      </c>
      <c r="P11" s="173">
        <v>1238</v>
      </c>
      <c r="Q11" s="173">
        <v>59</v>
      </c>
      <c r="R11" s="174">
        <f t="shared" si="4"/>
        <v>7.7354329857561889E-3</v>
      </c>
      <c r="S11" s="381">
        <v>2055</v>
      </c>
      <c r="T11" s="381">
        <v>459</v>
      </c>
      <c r="U11" s="381">
        <v>244</v>
      </c>
      <c r="V11" s="381">
        <v>11</v>
      </c>
      <c r="W11" s="174">
        <f t="shared" si="5"/>
        <v>5.0653367967831734E-3</v>
      </c>
      <c r="X11" s="175">
        <f t="shared" si="6"/>
        <v>4.3055362772656969E-3</v>
      </c>
      <c r="Y11" s="176">
        <f t="shared" si="7"/>
        <v>-0.34517734093096747</v>
      </c>
      <c r="Z11" s="176">
        <f t="shared" si="8"/>
        <v>-0.34517734093096747</v>
      </c>
      <c r="AA11" s="169">
        <f t="shared" si="18"/>
        <v>4.3781718695975559E-2</v>
      </c>
      <c r="AB11" s="169">
        <f t="shared" si="9"/>
        <v>6.5672578043963334E-3</v>
      </c>
      <c r="AC11" s="341">
        <f t="shared" si="10"/>
        <v>1.0872794081662029E-2</v>
      </c>
      <c r="AD11" s="80"/>
      <c r="AE11" s="130">
        <f t="shared" si="11"/>
        <v>36704489.262697734</v>
      </c>
      <c r="AF11" s="131">
        <f t="shared" si="12"/>
        <v>11412785.36364845</v>
      </c>
      <c r="AG11" s="131">
        <f t="shared" si="13"/>
        <v>22038403.187816076</v>
      </c>
      <c r="AH11" s="131">
        <f t="shared" si="19"/>
        <v>70155677.814162254</v>
      </c>
      <c r="AI11" s="377">
        <f t="shared" si="20"/>
        <v>8.6529435916042063E-3</v>
      </c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64">
      <c r="A12" s="73" t="s">
        <v>5</v>
      </c>
      <c r="B12" s="165">
        <v>10240869</v>
      </c>
      <c r="C12" s="165">
        <v>2531264</v>
      </c>
      <c r="D12" s="166">
        <f t="shared" si="0"/>
        <v>0.24717277410735358</v>
      </c>
      <c r="E12" s="167">
        <f t="shared" si="14"/>
        <v>625659.5448780763</v>
      </c>
      <c r="F12" s="341">
        <f t="shared" si="1"/>
        <v>3.9289092845780761E-4</v>
      </c>
      <c r="G12" s="129">
        <f>+'CENSO POB 2020'!C8</f>
        <v>18030</v>
      </c>
      <c r="H12" s="168">
        <f t="shared" si="2"/>
        <v>3.1169817244256232E-3</v>
      </c>
      <c r="I12" s="169">
        <f t="shared" si="15"/>
        <v>2.6494344657617798E-3</v>
      </c>
      <c r="J12" s="165">
        <v>4572.87</v>
      </c>
      <c r="K12" s="170">
        <f t="shared" si="3"/>
        <v>7.1206166788175776E-2</v>
      </c>
      <c r="L12" s="171">
        <f t="shared" si="16"/>
        <v>1.0680925018226366E-2</v>
      </c>
      <c r="M12" s="341">
        <f t="shared" si="17"/>
        <v>1.3330359483988145E-2</v>
      </c>
      <c r="N12" s="172">
        <v>3207</v>
      </c>
      <c r="O12" s="173">
        <v>510</v>
      </c>
      <c r="P12" s="173">
        <v>1865</v>
      </c>
      <c r="Q12" s="173">
        <v>534</v>
      </c>
      <c r="R12" s="174">
        <f t="shared" si="4"/>
        <v>1.7129340967256722E-2</v>
      </c>
      <c r="S12" s="381">
        <v>2802</v>
      </c>
      <c r="T12" s="381">
        <v>476</v>
      </c>
      <c r="U12" s="381">
        <v>516</v>
      </c>
      <c r="V12" s="381">
        <v>204</v>
      </c>
      <c r="W12" s="174">
        <f t="shared" si="5"/>
        <v>1.4747255888017929E-2</v>
      </c>
      <c r="X12" s="175">
        <f t="shared" si="6"/>
        <v>1.253516750481524E-2</v>
      </c>
      <c r="Y12" s="176">
        <f t="shared" si="7"/>
        <v>-0.13906460755216588</v>
      </c>
      <c r="Z12" s="176">
        <f t="shared" si="8"/>
        <v>-0.13906460755216588</v>
      </c>
      <c r="AA12" s="169">
        <f t="shared" si="18"/>
        <v>1.7638723074910097E-2</v>
      </c>
      <c r="AB12" s="169">
        <f t="shared" si="9"/>
        <v>2.6458084612365146E-3</v>
      </c>
      <c r="AC12" s="341">
        <f t="shared" si="10"/>
        <v>1.5180975966051755E-2</v>
      </c>
      <c r="AD12" s="80"/>
      <c r="AE12" s="130">
        <f t="shared" si="11"/>
        <v>1592725.5910773189</v>
      </c>
      <c r="AF12" s="131">
        <f t="shared" si="12"/>
        <v>27019718.642712586</v>
      </c>
      <c r="AG12" s="131">
        <f t="shared" si="13"/>
        <v>30770790.526481882</v>
      </c>
      <c r="AH12" s="131">
        <f t="shared" si="19"/>
        <v>59383234.760271788</v>
      </c>
      <c r="AI12" s="377">
        <f t="shared" si="20"/>
        <v>7.3242793267388777E-3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4">
      <c r="A13" s="73" t="s">
        <v>6</v>
      </c>
      <c r="B13" s="165">
        <v>679461530</v>
      </c>
      <c r="C13" s="165">
        <v>299493654.98000002</v>
      </c>
      <c r="D13" s="166">
        <f t="shared" si="0"/>
        <v>0.44078088568163676</v>
      </c>
      <c r="E13" s="167">
        <f t="shared" si="14"/>
        <v>132011078.49811494</v>
      </c>
      <c r="F13" s="341">
        <f t="shared" si="1"/>
        <v>8.2898048343445538E-2</v>
      </c>
      <c r="G13" s="129">
        <f>+'CENSO POB 2020'!C9</f>
        <v>656464</v>
      </c>
      <c r="H13" s="168">
        <f t="shared" si="2"/>
        <v>0.11348786970290306</v>
      </c>
      <c r="I13" s="169">
        <f t="shared" si="15"/>
        <v>9.6464689247467594E-2</v>
      </c>
      <c r="J13" s="165">
        <v>238.03</v>
      </c>
      <c r="K13" s="170">
        <f t="shared" si="3"/>
        <v>3.7064696526665922E-3</v>
      </c>
      <c r="L13" s="171">
        <f t="shared" si="16"/>
        <v>5.5597044789998883E-4</v>
      </c>
      <c r="M13" s="341">
        <f t="shared" si="17"/>
        <v>9.7020659695367578E-2</v>
      </c>
      <c r="N13" s="172">
        <v>27572</v>
      </c>
      <c r="O13" s="173">
        <v>3826</v>
      </c>
      <c r="P13" s="173">
        <v>1071</v>
      </c>
      <c r="Q13" s="173">
        <v>267</v>
      </c>
      <c r="R13" s="174">
        <f t="shared" si="4"/>
        <v>3.6220820415084468E-2</v>
      </c>
      <c r="S13" s="381">
        <v>34239</v>
      </c>
      <c r="T13" s="381">
        <v>3599</v>
      </c>
      <c r="U13" s="381">
        <v>155</v>
      </c>
      <c r="V13" s="381">
        <v>93</v>
      </c>
      <c r="W13" s="174">
        <f t="shared" si="5"/>
        <v>4.5460568080825985E-2</v>
      </c>
      <c r="X13" s="175">
        <f t="shared" si="6"/>
        <v>3.8641482868702087E-2</v>
      </c>
      <c r="Y13" s="176">
        <f t="shared" si="7"/>
        <v>0.25509493048074489</v>
      </c>
      <c r="Z13" s="176">
        <f t="shared" si="8"/>
        <v>0</v>
      </c>
      <c r="AA13" s="169">
        <f t="shared" si="18"/>
        <v>0</v>
      </c>
      <c r="AB13" s="169">
        <f t="shared" si="9"/>
        <v>0</v>
      </c>
      <c r="AC13" s="341">
        <f t="shared" si="10"/>
        <v>3.8641482868702087E-2</v>
      </c>
      <c r="AD13" s="80"/>
      <c r="AE13" s="130">
        <f t="shared" si="11"/>
        <v>336057245.11185682</v>
      </c>
      <c r="AF13" s="131">
        <f t="shared" si="12"/>
        <v>196654181.0555068</v>
      </c>
      <c r="AG13" s="131">
        <f t="shared" si="13"/>
        <v>78323618.826906756</v>
      </c>
      <c r="AH13" s="131">
        <f t="shared" si="19"/>
        <v>611035044.99427044</v>
      </c>
      <c r="AI13" s="377">
        <f t="shared" si="20"/>
        <v>7.5364559812740178E-2</v>
      </c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64">
      <c r="A14" s="73" t="s">
        <v>7</v>
      </c>
      <c r="B14" s="165">
        <v>1835394</v>
      </c>
      <c r="C14" s="165">
        <v>788778.4</v>
      </c>
      <c r="D14" s="166">
        <f t="shared" si="0"/>
        <v>0.42975971371814448</v>
      </c>
      <c r="E14" s="167">
        <f t="shared" si="14"/>
        <v>338985.17937105609</v>
      </c>
      <c r="F14" s="341">
        <f t="shared" si="1"/>
        <v>2.1287008716934795E-4</v>
      </c>
      <c r="G14" s="129">
        <f>+'CENSO POB 2020'!C10</f>
        <v>14992</v>
      </c>
      <c r="H14" s="168">
        <f t="shared" si="2"/>
        <v>2.5917798121236242E-3</v>
      </c>
      <c r="I14" s="169">
        <f t="shared" si="15"/>
        <v>2.2030128403050806E-3</v>
      </c>
      <c r="J14" s="165">
        <v>2664.8</v>
      </c>
      <c r="K14" s="170">
        <f t="shared" si="3"/>
        <v>4.149477095503061E-2</v>
      </c>
      <c r="L14" s="171">
        <f t="shared" si="16"/>
        <v>6.224215643254591E-3</v>
      </c>
      <c r="M14" s="341">
        <f t="shared" si="17"/>
        <v>8.4272284835596716E-3</v>
      </c>
      <c r="N14" s="172">
        <v>3888</v>
      </c>
      <c r="O14" s="173">
        <v>1140</v>
      </c>
      <c r="P14" s="173">
        <v>7405</v>
      </c>
      <c r="Q14" s="173">
        <v>920</v>
      </c>
      <c r="R14" s="174">
        <f t="shared" si="4"/>
        <v>3.7957988260772901E-2</v>
      </c>
      <c r="S14" s="381">
        <v>3560</v>
      </c>
      <c r="T14" s="381">
        <v>882</v>
      </c>
      <c r="U14" s="381">
        <v>2312</v>
      </c>
      <c r="V14" s="381">
        <v>356</v>
      </c>
      <c r="W14" s="174">
        <f t="shared" si="5"/>
        <v>3.1939083535783723E-2</v>
      </c>
      <c r="X14" s="175">
        <f t="shared" si="6"/>
        <v>2.7148221005416164E-2</v>
      </c>
      <c r="Y14" s="176">
        <f t="shared" si="7"/>
        <v>-0.15856753744795593</v>
      </c>
      <c r="Z14" s="176">
        <f t="shared" si="8"/>
        <v>-0.15856753744795593</v>
      </c>
      <c r="AA14" s="169">
        <f t="shared" si="18"/>
        <v>2.0112442201843109E-2</v>
      </c>
      <c r="AB14" s="169">
        <f t="shared" si="9"/>
        <v>3.0168663302764663E-3</v>
      </c>
      <c r="AC14" s="341">
        <f t="shared" si="10"/>
        <v>3.016508733569263E-2</v>
      </c>
      <c r="AD14" s="80"/>
      <c r="AE14" s="130">
        <f t="shared" si="11"/>
        <v>862945.94975839427</v>
      </c>
      <c r="AF14" s="131">
        <f t="shared" si="12"/>
        <v>17081410.507881716</v>
      </c>
      <c r="AG14" s="131">
        <f t="shared" si="13"/>
        <v>61142550.103189126</v>
      </c>
      <c r="AH14" s="131">
        <f t="shared" si="19"/>
        <v>79086906.560829237</v>
      </c>
      <c r="AI14" s="377">
        <f t="shared" si="20"/>
        <v>9.7545139983977493E-3</v>
      </c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4">
      <c r="A15" s="73" t="s">
        <v>8</v>
      </c>
      <c r="B15" s="165">
        <v>2443492</v>
      </c>
      <c r="C15" s="165">
        <v>799410</v>
      </c>
      <c r="D15" s="166">
        <f t="shared" si="0"/>
        <v>0.32715883661579409</v>
      </c>
      <c r="E15" s="167">
        <f t="shared" si="14"/>
        <v>261534.04557903195</v>
      </c>
      <c r="F15" s="341">
        <f t="shared" si="1"/>
        <v>1.6423365523960225E-4</v>
      </c>
      <c r="G15" s="129">
        <f>+'CENSO POB 2020'!C11</f>
        <v>3661</v>
      </c>
      <c r="H15" s="168">
        <f t="shared" si="2"/>
        <v>6.329046086035611E-4</v>
      </c>
      <c r="I15" s="169">
        <f t="shared" si="15"/>
        <v>5.3796891731302697E-4</v>
      </c>
      <c r="J15" s="165">
        <v>465.62</v>
      </c>
      <c r="K15" s="170">
        <f t="shared" si="3"/>
        <v>7.2503734809671837E-3</v>
      </c>
      <c r="L15" s="171">
        <f t="shared" si="16"/>
        <v>1.0875560221450776E-3</v>
      </c>
      <c r="M15" s="341">
        <f t="shared" si="17"/>
        <v>1.6255249394581046E-3</v>
      </c>
      <c r="N15" s="172">
        <v>739</v>
      </c>
      <c r="O15" s="173">
        <v>104</v>
      </c>
      <c r="P15" s="173">
        <v>89</v>
      </c>
      <c r="Q15" s="173">
        <v>41</v>
      </c>
      <c r="R15" s="174">
        <f t="shared" si="4"/>
        <v>1.7146220461403579E-3</v>
      </c>
      <c r="S15" s="381">
        <v>519</v>
      </c>
      <c r="T15" s="381">
        <v>104</v>
      </c>
      <c r="U15" s="381">
        <v>66</v>
      </c>
      <c r="V15" s="381">
        <v>26</v>
      </c>
      <c r="W15" s="174">
        <f t="shared" si="5"/>
        <v>2.1773658263974449E-3</v>
      </c>
      <c r="X15" s="175">
        <f t="shared" si="6"/>
        <v>1.8507609524378282E-3</v>
      </c>
      <c r="Y15" s="176">
        <f t="shared" si="7"/>
        <v>0.26988092291168825</v>
      </c>
      <c r="Z15" s="176">
        <f t="shared" si="8"/>
        <v>0</v>
      </c>
      <c r="AA15" s="169">
        <f t="shared" si="18"/>
        <v>0</v>
      </c>
      <c r="AB15" s="169">
        <f t="shared" si="9"/>
        <v>0</v>
      </c>
      <c r="AC15" s="341">
        <f t="shared" si="10"/>
        <v>1.8507609524378282E-3</v>
      </c>
      <c r="AD15" s="80"/>
      <c r="AE15" s="130">
        <f t="shared" si="11"/>
        <v>665780.56826877082</v>
      </c>
      <c r="AF15" s="131">
        <f t="shared" si="12"/>
        <v>3294826.8622182836</v>
      </c>
      <c r="AG15" s="131">
        <f t="shared" si="13"/>
        <v>3751364.7152468166</v>
      </c>
      <c r="AH15" s="131">
        <f t="shared" si="19"/>
        <v>7711972.1457338706</v>
      </c>
      <c r="AI15" s="377">
        <f t="shared" si="20"/>
        <v>9.5118830059378419E-4</v>
      </c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4">
      <c r="A16" s="73" t="s">
        <v>9</v>
      </c>
      <c r="B16" s="165">
        <v>96076042</v>
      </c>
      <c r="C16" s="165">
        <v>27527682</v>
      </c>
      <c r="D16" s="166">
        <f t="shared" si="0"/>
        <v>0.28651973402484671</v>
      </c>
      <c r="E16" s="167">
        <f t="shared" si="14"/>
        <v>7887224.1249605604</v>
      </c>
      <c r="F16" s="341">
        <f t="shared" si="1"/>
        <v>4.9528834567919003E-3</v>
      </c>
      <c r="G16" s="129">
        <f>+'CENSO POB 2020'!C12</f>
        <v>122337</v>
      </c>
      <c r="H16" s="168">
        <f t="shared" si="2"/>
        <v>2.1149317427679282E-2</v>
      </c>
      <c r="I16" s="169">
        <f t="shared" si="15"/>
        <v>1.7976919813527389E-2</v>
      </c>
      <c r="J16" s="165">
        <v>1140.97</v>
      </c>
      <c r="K16" s="170">
        <f t="shared" si="3"/>
        <v>1.7766544887631817E-2</v>
      </c>
      <c r="L16" s="171">
        <f t="shared" si="16"/>
        <v>2.6649817331447726E-3</v>
      </c>
      <c r="M16" s="341">
        <f t="shared" si="17"/>
        <v>2.0641901546672163E-2</v>
      </c>
      <c r="N16" s="172">
        <v>6662</v>
      </c>
      <c r="O16" s="173">
        <v>1587</v>
      </c>
      <c r="P16" s="173">
        <v>3489</v>
      </c>
      <c r="Q16" s="173">
        <v>461</v>
      </c>
      <c r="R16" s="174">
        <f t="shared" si="4"/>
        <v>2.4794035734260943E-2</v>
      </c>
      <c r="S16" s="381">
        <v>5057</v>
      </c>
      <c r="T16" s="381">
        <v>1578</v>
      </c>
      <c r="U16" s="381">
        <v>861</v>
      </c>
      <c r="V16" s="381">
        <v>132</v>
      </c>
      <c r="W16" s="174">
        <f t="shared" si="5"/>
        <v>1.9688401476910436E-2</v>
      </c>
      <c r="X16" s="175">
        <f t="shared" si="6"/>
        <v>1.673514125537387E-2</v>
      </c>
      <c r="Y16" s="176">
        <f t="shared" si="7"/>
        <v>-0.20592187218216473</v>
      </c>
      <c r="Z16" s="176">
        <f t="shared" si="8"/>
        <v>-0.20592187218216473</v>
      </c>
      <c r="AA16" s="169">
        <f t="shared" si="18"/>
        <v>2.611878710494852E-2</v>
      </c>
      <c r="AB16" s="169">
        <f t="shared" si="9"/>
        <v>3.9178180657422779E-3</v>
      </c>
      <c r="AC16" s="341">
        <f t="shared" si="10"/>
        <v>2.0652959321116146E-2</v>
      </c>
      <c r="AD16" s="80"/>
      <c r="AE16" s="130">
        <f t="shared" si="11"/>
        <v>20078305.860154532</v>
      </c>
      <c r="AF16" s="131">
        <f t="shared" si="12"/>
        <v>41839709.777638555</v>
      </c>
      <c r="AG16" s="131">
        <f t="shared" si="13"/>
        <v>41862123.123253867</v>
      </c>
      <c r="AH16" s="131">
        <f t="shared" si="19"/>
        <v>103780138.76104695</v>
      </c>
      <c r="AI16" s="377">
        <f t="shared" si="20"/>
        <v>1.2800156945343024E-2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>
      <c r="A17" s="73" t="s">
        <v>10</v>
      </c>
      <c r="B17" s="165">
        <v>25918809</v>
      </c>
      <c r="C17" s="165">
        <v>4946842.92</v>
      </c>
      <c r="D17" s="166">
        <f t="shared" si="0"/>
        <v>0.19085919109940583</v>
      </c>
      <c r="E17" s="167">
        <f t="shared" si="14"/>
        <v>944150.43820702273</v>
      </c>
      <c r="F17" s="341">
        <f t="shared" si="1"/>
        <v>5.9289136609158675E-4</v>
      </c>
      <c r="G17" s="129">
        <f>+'CENSO POB 2020'!C19</f>
        <v>104478</v>
      </c>
      <c r="H17" s="168">
        <f t="shared" si="2"/>
        <v>1.8061897759541888E-2</v>
      </c>
      <c r="I17" s="169">
        <f t="shared" si="15"/>
        <v>1.5352613095610604E-2</v>
      </c>
      <c r="J17" s="165">
        <v>102.38</v>
      </c>
      <c r="K17" s="170">
        <f t="shared" si="3"/>
        <v>1.5942039366466652E-3</v>
      </c>
      <c r="L17" s="171">
        <f t="shared" si="16"/>
        <v>2.3913059049699976E-4</v>
      </c>
      <c r="M17" s="341">
        <f t="shared" si="17"/>
        <v>1.5591743686107603E-2</v>
      </c>
      <c r="N17" s="172">
        <v>981</v>
      </c>
      <c r="O17" s="173">
        <v>253</v>
      </c>
      <c r="P17" s="173">
        <v>273</v>
      </c>
      <c r="Q17" s="173">
        <v>153</v>
      </c>
      <c r="R17" s="174">
        <f t="shared" si="4"/>
        <v>4.7782824446849165E-3</v>
      </c>
      <c r="S17" s="381">
        <v>717</v>
      </c>
      <c r="T17" s="381">
        <v>718</v>
      </c>
      <c r="U17" s="381">
        <v>221</v>
      </c>
      <c r="V17" s="381">
        <v>186</v>
      </c>
      <c r="W17" s="174">
        <f t="shared" si="5"/>
        <v>1.1864603001707597E-2</v>
      </c>
      <c r="X17" s="175">
        <f t="shared" si="6"/>
        <v>1.0084912551451457E-2</v>
      </c>
      <c r="Y17" s="176">
        <f t="shared" si="7"/>
        <v>1.4830267233166787</v>
      </c>
      <c r="Z17" s="176">
        <f t="shared" si="8"/>
        <v>0</v>
      </c>
      <c r="AA17" s="169">
        <f t="shared" si="18"/>
        <v>0</v>
      </c>
      <c r="AB17" s="169">
        <f t="shared" si="9"/>
        <v>0</v>
      </c>
      <c r="AC17" s="341">
        <f t="shared" si="10"/>
        <v>1.0084912551451457E-2</v>
      </c>
      <c r="AD17" s="80"/>
      <c r="AE17" s="130">
        <f t="shared" si="11"/>
        <v>2403499.7580868579</v>
      </c>
      <c r="AF17" s="131">
        <f t="shared" si="12"/>
        <v>31603388.344773952</v>
      </c>
      <c r="AG17" s="131">
        <f t="shared" si="13"/>
        <v>20441421.703884594</v>
      </c>
      <c r="AH17" s="131">
        <f t="shared" si="19"/>
        <v>54448309.806745403</v>
      </c>
      <c r="AI17" s="377">
        <f t="shared" si="20"/>
        <v>6.7156097424355575E-3</v>
      </c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>
      <c r="A18" s="73" t="s">
        <v>11</v>
      </c>
      <c r="B18" s="165">
        <v>2065528</v>
      </c>
      <c r="C18" s="165">
        <v>1221813</v>
      </c>
      <c r="D18" s="166">
        <f t="shared" si="0"/>
        <v>0.59152575031662602</v>
      </c>
      <c r="E18" s="167">
        <f t="shared" si="14"/>
        <v>722733.85157160775</v>
      </c>
      <c r="F18" s="341">
        <f t="shared" si="1"/>
        <v>4.5384998326396719E-4</v>
      </c>
      <c r="G18" s="129">
        <f>+'CENSO POB 2020'!C13</f>
        <v>7340</v>
      </c>
      <c r="H18" s="168">
        <f t="shared" si="2"/>
        <v>1.2689210126058832E-3</v>
      </c>
      <c r="I18" s="169">
        <f t="shared" si="15"/>
        <v>1.0785828607150008E-3</v>
      </c>
      <c r="J18" s="165">
        <v>1006.89</v>
      </c>
      <c r="K18" s="170">
        <f t="shared" si="3"/>
        <v>1.5678726331023254E-2</v>
      </c>
      <c r="L18" s="171">
        <f t="shared" si="16"/>
        <v>2.3518089496534882E-3</v>
      </c>
      <c r="M18" s="341">
        <f t="shared" si="17"/>
        <v>3.430391810368489E-3</v>
      </c>
      <c r="N18" s="172">
        <v>1343</v>
      </c>
      <c r="O18" s="173">
        <v>319</v>
      </c>
      <c r="P18" s="173">
        <v>345</v>
      </c>
      <c r="Q18" s="173">
        <v>110</v>
      </c>
      <c r="R18" s="174">
        <f t="shared" si="4"/>
        <v>4.5782718652147671E-3</v>
      </c>
      <c r="S18" s="381">
        <v>655</v>
      </c>
      <c r="T18" s="381">
        <v>225</v>
      </c>
      <c r="U18" s="381">
        <v>136</v>
      </c>
      <c r="V18" s="381">
        <v>78</v>
      </c>
      <c r="W18" s="174">
        <f t="shared" si="5"/>
        <v>5.173139765354922E-3</v>
      </c>
      <c r="X18" s="175">
        <f t="shared" si="6"/>
        <v>4.3971688005516839E-3</v>
      </c>
      <c r="Y18" s="176">
        <f t="shared" si="7"/>
        <v>0.12993284751390569</v>
      </c>
      <c r="Z18" s="176">
        <f t="shared" si="8"/>
        <v>0</v>
      </c>
      <c r="AA18" s="169">
        <f t="shared" si="18"/>
        <v>0</v>
      </c>
      <c r="AB18" s="169">
        <f t="shared" si="9"/>
        <v>0</v>
      </c>
      <c r="AC18" s="341">
        <f t="shared" si="10"/>
        <v>4.3971688005516839E-3</v>
      </c>
      <c r="AD18" s="80"/>
      <c r="AE18" s="130">
        <f t="shared" si="11"/>
        <v>1839845.184748675</v>
      </c>
      <c r="AF18" s="131">
        <f t="shared" si="12"/>
        <v>6953167.4417149173</v>
      </c>
      <c r="AG18" s="131">
        <f t="shared" si="13"/>
        <v>8912757.6760499422</v>
      </c>
      <c r="AH18" s="131">
        <f t="shared" si="19"/>
        <v>17705770.302513532</v>
      </c>
      <c r="AI18" s="377">
        <f t="shared" si="20"/>
        <v>2.1838151443620262E-3</v>
      </c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>
      <c r="A19" s="73" t="s">
        <v>12</v>
      </c>
      <c r="B19" s="165">
        <v>4522487</v>
      </c>
      <c r="C19" s="165">
        <v>1408205</v>
      </c>
      <c r="D19" s="166">
        <f t="shared" si="0"/>
        <v>0.31137845172357598</v>
      </c>
      <c r="E19" s="167">
        <f t="shared" si="14"/>
        <v>438484.69260939833</v>
      </c>
      <c r="F19" s="341">
        <f t="shared" si="1"/>
        <v>2.7535208150211281E-4</v>
      </c>
      <c r="G19" s="129">
        <f>+'CENSO POB 2020'!C14</f>
        <v>9930</v>
      </c>
      <c r="H19" s="168">
        <f t="shared" si="2"/>
        <v>1.7166737949831634E-3</v>
      </c>
      <c r="I19" s="169">
        <f t="shared" si="15"/>
        <v>1.4591727257356889E-3</v>
      </c>
      <c r="J19" s="165">
        <v>4292.05</v>
      </c>
      <c r="K19" s="170">
        <f t="shared" si="3"/>
        <v>6.6833395255756198E-2</v>
      </c>
      <c r="L19" s="171">
        <f t="shared" si="16"/>
        <v>1.002500928836343E-2</v>
      </c>
      <c r="M19" s="341">
        <f t="shared" si="17"/>
        <v>1.1484182014099118E-2</v>
      </c>
      <c r="N19" s="172">
        <v>2046</v>
      </c>
      <c r="O19" s="173">
        <v>378</v>
      </c>
      <c r="P19" s="173">
        <v>1925</v>
      </c>
      <c r="Q19" s="173">
        <v>123</v>
      </c>
      <c r="R19" s="174">
        <f t="shared" si="4"/>
        <v>8.6358928470926001E-3</v>
      </c>
      <c r="S19" s="381">
        <v>788</v>
      </c>
      <c r="T19" s="381">
        <v>297</v>
      </c>
      <c r="U19" s="381">
        <v>938</v>
      </c>
      <c r="V19" s="381">
        <v>242</v>
      </c>
      <c r="W19" s="174">
        <f t="shared" si="5"/>
        <v>1.6081358180129329E-2</v>
      </c>
      <c r="X19" s="175">
        <f t="shared" si="6"/>
        <v>1.3669154453109929E-2</v>
      </c>
      <c r="Y19" s="176">
        <f t="shared" si="7"/>
        <v>0.86215351033950749</v>
      </c>
      <c r="Z19" s="176">
        <f t="shared" si="8"/>
        <v>0</v>
      </c>
      <c r="AA19" s="169">
        <f t="shared" si="18"/>
        <v>0</v>
      </c>
      <c r="AB19" s="169">
        <f t="shared" si="9"/>
        <v>0</v>
      </c>
      <c r="AC19" s="341">
        <f t="shared" si="10"/>
        <v>1.3669154453109929E-2</v>
      </c>
      <c r="AD19" s="80"/>
      <c r="AE19" s="130">
        <f t="shared" si="11"/>
        <v>1116239.330050909</v>
      </c>
      <c r="AF19" s="131">
        <f t="shared" si="12"/>
        <v>23277644.330250569</v>
      </c>
      <c r="AG19" s="131">
        <f t="shared" si="13"/>
        <v>27706432.662258171</v>
      </c>
      <c r="AH19" s="131">
        <f t="shared" si="19"/>
        <v>52100316.322559647</v>
      </c>
      <c r="AI19" s="377">
        <f t="shared" si="20"/>
        <v>6.4260101575533178E-3</v>
      </c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>
      <c r="A20" s="73" t="s">
        <v>13</v>
      </c>
      <c r="B20" s="165">
        <v>45557174</v>
      </c>
      <c r="C20" s="165">
        <v>12990205</v>
      </c>
      <c r="D20" s="166">
        <f t="shared" si="0"/>
        <v>0.28514071131804619</v>
      </c>
      <c r="E20" s="167">
        <f t="shared" si="14"/>
        <v>3704036.2938672402</v>
      </c>
      <c r="F20" s="341">
        <f t="shared" si="1"/>
        <v>2.3259970545522657E-3</v>
      </c>
      <c r="G20" s="129">
        <f>+'CENSO POB 2020'!C15</f>
        <v>68747</v>
      </c>
      <c r="H20" s="168">
        <f t="shared" si="2"/>
        <v>1.1884811015479108E-2</v>
      </c>
      <c r="I20" s="169">
        <f t="shared" si="15"/>
        <v>1.0102089363157242E-2</v>
      </c>
      <c r="J20" s="165">
        <v>146.56</v>
      </c>
      <c r="K20" s="170">
        <f t="shared" si="3"/>
        <v>2.2821501167702212E-3</v>
      </c>
      <c r="L20" s="171">
        <f t="shared" si="16"/>
        <v>3.4232251751553319E-4</v>
      </c>
      <c r="M20" s="341">
        <f t="shared" si="17"/>
        <v>1.0444411880672775E-2</v>
      </c>
      <c r="N20" s="172">
        <v>1162</v>
      </c>
      <c r="O20" s="173">
        <v>358</v>
      </c>
      <c r="P20" s="173">
        <v>131</v>
      </c>
      <c r="Q20" s="173">
        <v>31</v>
      </c>
      <c r="R20" s="174">
        <f t="shared" si="4"/>
        <v>2.732122318270129E-3</v>
      </c>
      <c r="S20" s="381">
        <v>2033</v>
      </c>
      <c r="T20" s="381">
        <v>691</v>
      </c>
      <c r="U20" s="381">
        <v>56</v>
      </c>
      <c r="V20" s="381">
        <v>67</v>
      </c>
      <c r="W20" s="174">
        <f t="shared" si="5"/>
        <v>7.2411333764662708E-3</v>
      </c>
      <c r="X20" s="175">
        <f t="shared" si="6"/>
        <v>6.1549633699963299E-3</v>
      </c>
      <c r="Y20" s="176">
        <f t="shared" si="7"/>
        <v>1.6503693952659733</v>
      </c>
      <c r="Z20" s="176">
        <f t="shared" si="8"/>
        <v>0</v>
      </c>
      <c r="AA20" s="169">
        <f t="shared" si="18"/>
        <v>0</v>
      </c>
      <c r="AB20" s="169">
        <f t="shared" si="9"/>
        <v>0</v>
      </c>
      <c r="AC20" s="341">
        <f t="shared" si="10"/>
        <v>6.1549633699963299E-3</v>
      </c>
      <c r="AD20" s="80"/>
      <c r="AE20" s="130">
        <f t="shared" si="11"/>
        <v>9429270.9890187848</v>
      </c>
      <c r="AF20" s="131">
        <f t="shared" si="12"/>
        <v>21170102.032383718</v>
      </c>
      <c r="AG20" s="131">
        <f t="shared" si="13"/>
        <v>12475685.949299552</v>
      </c>
      <c r="AH20" s="131">
        <f t="shared" si="19"/>
        <v>43075058.970702052</v>
      </c>
      <c r="AI20" s="377">
        <f t="shared" si="20"/>
        <v>5.3128423399434084E-3</v>
      </c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>
      <c r="A21" s="73" t="s">
        <v>14</v>
      </c>
      <c r="B21" s="165">
        <v>6492908</v>
      </c>
      <c r="C21" s="165">
        <v>691812</v>
      </c>
      <c r="D21" s="166">
        <f t="shared" si="0"/>
        <v>0.10654886839610234</v>
      </c>
      <c r="E21" s="167">
        <f t="shared" si="14"/>
        <v>73711.785742844353</v>
      </c>
      <c r="F21" s="341">
        <f t="shared" si="1"/>
        <v>4.6288260405957263E-5</v>
      </c>
      <c r="G21" s="129">
        <f>+'CENSO POB 2020'!C16</f>
        <v>36088</v>
      </c>
      <c r="H21" s="168">
        <f t="shared" si="2"/>
        <v>6.2388040194715413E-3</v>
      </c>
      <c r="I21" s="169">
        <f t="shared" si="15"/>
        <v>5.3029834165508102E-3</v>
      </c>
      <c r="J21" s="165">
        <v>5091.18</v>
      </c>
      <c r="K21" s="170">
        <f t="shared" si="3"/>
        <v>7.9276999396139566E-2</v>
      </c>
      <c r="L21" s="171">
        <f t="shared" si="16"/>
        <v>1.1891549909420934E-2</v>
      </c>
      <c r="M21" s="341">
        <f t="shared" si="17"/>
        <v>1.7194533325971744E-2</v>
      </c>
      <c r="N21" s="172">
        <v>7369</v>
      </c>
      <c r="O21" s="173">
        <v>3170</v>
      </c>
      <c r="P21" s="173">
        <v>23798</v>
      </c>
      <c r="Q21" s="173">
        <v>1385</v>
      </c>
      <c r="R21" s="174">
        <f t="shared" si="4"/>
        <v>8.8679733485390655E-2</v>
      </c>
      <c r="S21" s="381">
        <v>7387</v>
      </c>
      <c r="T21" s="381">
        <v>2297</v>
      </c>
      <c r="U21" s="381">
        <v>15800</v>
      </c>
      <c r="V21" s="381">
        <v>477</v>
      </c>
      <c r="W21" s="174">
        <f t="shared" si="5"/>
        <v>0.11264289211601625</v>
      </c>
      <c r="X21" s="175">
        <f t="shared" si="6"/>
        <v>9.5746458298613807E-2</v>
      </c>
      <c r="Y21" s="176">
        <f t="shared" si="7"/>
        <v>0.27022136500413985</v>
      </c>
      <c r="Z21" s="176">
        <f t="shared" si="8"/>
        <v>0</v>
      </c>
      <c r="AA21" s="169">
        <f t="shared" si="18"/>
        <v>0</v>
      </c>
      <c r="AB21" s="169">
        <f t="shared" si="9"/>
        <v>0</v>
      </c>
      <c r="AC21" s="341">
        <f t="shared" si="10"/>
        <v>9.5746458298613807E-2</v>
      </c>
      <c r="AD21" s="80"/>
      <c r="AE21" s="130">
        <f t="shared" si="11"/>
        <v>187646.21826318491</v>
      </c>
      <c r="AF21" s="131">
        <f t="shared" si="12"/>
        <v>34852132.32385435</v>
      </c>
      <c r="AG21" s="131">
        <f t="shared" si="13"/>
        <v>194071462.76679206</v>
      </c>
      <c r="AH21" s="131">
        <f t="shared" si="19"/>
        <v>229111241.3089096</v>
      </c>
      <c r="AI21" s="377">
        <f t="shared" si="20"/>
        <v>2.8258392036349365E-2</v>
      </c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>
      <c r="A22" s="73" t="s">
        <v>15</v>
      </c>
      <c r="B22" s="165">
        <v>1493874</v>
      </c>
      <c r="C22" s="165">
        <v>329170</v>
      </c>
      <c r="D22" s="166">
        <f t="shared" si="0"/>
        <v>0.22034656202598077</v>
      </c>
      <c r="E22" s="167">
        <f t="shared" si="14"/>
        <v>72531.477822092085</v>
      </c>
      <c r="F22" s="341">
        <f t="shared" si="1"/>
        <v>4.5547070922560457E-5</v>
      </c>
      <c r="G22" s="129">
        <f>+'CENSO POB 2020'!C17</f>
        <v>1360</v>
      </c>
      <c r="H22" s="168">
        <f t="shared" si="2"/>
        <v>2.351134301286105E-4</v>
      </c>
      <c r="I22" s="169">
        <f t="shared" si="15"/>
        <v>1.9984641560931893E-4</v>
      </c>
      <c r="J22" s="165">
        <v>720.74</v>
      </c>
      <c r="K22" s="170">
        <f t="shared" si="3"/>
        <v>1.1222959028117967E-2</v>
      </c>
      <c r="L22" s="171">
        <f t="shared" si="16"/>
        <v>1.683443854217695E-3</v>
      </c>
      <c r="M22" s="341">
        <f t="shared" si="17"/>
        <v>1.883290269827014E-3</v>
      </c>
      <c r="N22" s="172">
        <v>381</v>
      </c>
      <c r="O22" s="173">
        <v>83</v>
      </c>
      <c r="P22" s="173">
        <v>189</v>
      </c>
      <c r="Q22" s="173">
        <v>25</v>
      </c>
      <c r="R22" s="174">
        <f t="shared" si="4"/>
        <v>1.3452333052524088E-3</v>
      </c>
      <c r="S22" s="381">
        <v>158</v>
      </c>
      <c r="T22" s="381">
        <v>46</v>
      </c>
      <c r="U22" s="381">
        <v>88</v>
      </c>
      <c r="V22" s="381">
        <v>15</v>
      </c>
      <c r="W22" s="174">
        <f t="shared" si="5"/>
        <v>1.3395499066190448E-3</v>
      </c>
      <c r="X22" s="175">
        <f t="shared" si="6"/>
        <v>1.1386174206261881E-3</v>
      </c>
      <c r="Y22" s="176">
        <f t="shared" si="7"/>
        <v>-4.224842346062488E-3</v>
      </c>
      <c r="Z22" s="176">
        <f t="shared" si="8"/>
        <v>-4.224842346062488E-3</v>
      </c>
      <c r="AA22" s="169">
        <f t="shared" si="18"/>
        <v>5.3587196260123542E-4</v>
      </c>
      <c r="AB22" s="169">
        <f t="shared" si="9"/>
        <v>8.0380794390185305E-5</v>
      </c>
      <c r="AC22" s="341">
        <f t="shared" si="10"/>
        <v>1.2189982150163734E-3</v>
      </c>
      <c r="AD22" s="80"/>
      <c r="AE22" s="130">
        <f t="shared" si="11"/>
        <v>184641.53840794554</v>
      </c>
      <c r="AF22" s="131">
        <f t="shared" si="12"/>
        <v>3817299.396494613</v>
      </c>
      <c r="AG22" s="131">
        <f t="shared" si="13"/>
        <v>2470825.2493320801</v>
      </c>
      <c r="AH22" s="131">
        <f t="shared" si="19"/>
        <v>6472766.1842346387</v>
      </c>
      <c r="AI22" s="377">
        <f t="shared" si="20"/>
        <v>7.9834565667212694E-4</v>
      </c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>
      <c r="A23" s="73" t="s">
        <v>16</v>
      </c>
      <c r="B23" s="165">
        <v>2353237</v>
      </c>
      <c r="C23" s="165">
        <v>632096</v>
      </c>
      <c r="D23" s="166">
        <f t="shared" si="0"/>
        <v>0.26860702938123104</v>
      </c>
      <c r="E23" s="167">
        <f t="shared" si="14"/>
        <v>169785.42884375862</v>
      </c>
      <c r="F23" s="341">
        <f t="shared" si="1"/>
        <v>1.0661893568654935E-4</v>
      </c>
      <c r="G23" s="129">
        <f>+'CENSO POB 2020'!C18</f>
        <v>3256</v>
      </c>
      <c r="H23" s="168">
        <f t="shared" si="2"/>
        <v>5.6288921213143808E-4</v>
      </c>
      <c r="I23" s="169">
        <f t="shared" si="15"/>
        <v>4.7845583031172234E-4</v>
      </c>
      <c r="J23" s="165">
        <v>615.78</v>
      </c>
      <c r="K23" s="170">
        <f t="shared" si="3"/>
        <v>9.5885807785532663E-3</v>
      </c>
      <c r="L23" s="171">
        <f t="shared" si="16"/>
        <v>1.4382871167829899E-3</v>
      </c>
      <c r="M23" s="341">
        <f t="shared" si="17"/>
        <v>1.9167429470947123E-3</v>
      </c>
      <c r="N23" s="172">
        <v>519</v>
      </c>
      <c r="O23" s="173">
        <v>136</v>
      </c>
      <c r="P23" s="173">
        <v>317</v>
      </c>
      <c r="Q23" s="173">
        <v>84</v>
      </c>
      <c r="R23" s="174">
        <f t="shared" si="4"/>
        <v>2.9413605324649069E-3</v>
      </c>
      <c r="S23" s="381">
        <v>277</v>
      </c>
      <c r="T23" s="381">
        <v>120</v>
      </c>
      <c r="U23" s="381">
        <v>75</v>
      </c>
      <c r="V23" s="381">
        <v>23</v>
      </c>
      <c r="W23" s="174">
        <f t="shared" si="5"/>
        <v>1.9752871125454288E-3</v>
      </c>
      <c r="X23" s="175">
        <f t="shared" si="6"/>
        <v>1.6789940456636144E-3</v>
      </c>
      <c r="Y23" s="176">
        <f t="shared" si="7"/>
        <v>-0.32844440838059835</v>
      </c>
      <c r="Z23" s="176">
        <f t="shared" si="8"/>
        <v>-0.32844440838059835</v>
      </c>
      <c r="AA23" s="169">
        <f t="shared" si="18"/>
        <v>4.1659341416218063E-2</v>
      </c>
      <c r="AB23" s="169">
        <f t="shared" si="9"/>
        <v>6.2489012124327089E-3</v>
      </c>
      <c r="AC23" s="341">
        <f t="shared" si="10"/>
        <v>7.9278952580963229E-3</v>
      </c>
      <c r="AD23" s="80"/>
      <c r="AE23" s="130">
        <f t="shared" si="11"/>
        <v>432218.44807656406</v>
      </c>
      <c r="AF23" s="131">
        <f t="shared" si="12"/>
        <v>3885105.6644879389</v>
      </c>
      <c r="AG23" s="131">
        <f t="shared" si="13"/>
        <v>16069296.522719974</v>
      </c>
      <c r="AH23" s="131">
        <f t="shared" si="19"/>
        <v>20386620.635284476</v>
      </c>
      <c r="AI23" s="377">
        <f t="shared" si="20"/>
        <v>2.514469019141033E-3</v>
      </c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>
      <c r="A24" s="73" t="s">
        <v>17</v>
      </c>
      <c r="B24" s="165">
        <v>9897478</v>
      </c>
      <c r="C24" s="165">
        <v>1193413</v>
      </c>
      <c r="D24" s="166">
        <f t="shared" si="0"/>
        <v>0.120577484486452</v>
      </c>
      <c r="E24" s="167">
        <f t="shared" si="14"/>
        <v>143898.73749343015</v>
      </c>
      <c r="F24" s="341">
        <f t="shared" si="1"/>
        <v>9.0363056138970116E-5</v>
      </c>
      <c r="G24" s="129">
        <f>+'CENSO POB 2020'!C20</f>
        <v>40903</v>
      </c>
      <c r="H24" s="168">
        <f t="shared" si="2"/>
        <v>7.0712092886401146E-3</v>
      </c>
      <c r="I24" s="169">
        <f t="shared" si="15"/>
        <v>6.0105278953440974E-3</v>
      </c>
      <c r="J24" s="165">
        <v>7010.79</v>
      </c>
      <c r="K24" s="170">
        <f t="shared" si="3"/>
        <v>0.1091680896366778</v>
      </c>
      <c r="L24" s="171">
        <f t="shared" si="16"/>
        <v>1.637521344550167E-2</v>
      </c>
      <c r="M24" s="341">
        <f t="shared" si="17"/>
        <v>2.2385741340845769E-2</v>
      </c>
      <c r="N24" s="172">
        <v>6824</v>
      </c>
      <c r="O24" s="173">
        <v>2466</v>
      </c>
      <c r="P24" s="173">
        <v>13627</v>
      </c>
      <c r="Q24" s="173">
        <v>715</v>
      </c>
      <c r="R24" s="174">
        <f t="shared" si="4"/>
        <v>5.3101630915886641E-2</v>
      </c>
      <c r="S24" s="381">
        <v>7533</v>
      </c>
      <c r="T24" s="381">
        <v>1907</v>
      </c>
      <c r="U24" s="381">
        <v>3888</v>
      </c>
      <c r="V24" s="381">
        <v>352</v>
      </c>
      <c r="W24" s="174">
        <f t="shared" si="5"/>
        <v>4.6780151487403013E-2</v>
      </c>
      <c r="X24" s="175">
        <f t="shared" si="6"/>
        <v>3.9763128764292562E-2</v>
      </c>
      <c r="Y24" s="176">
        <f t="shared" si="7"/>
        <v>-0.11904492045633959</v>
      </c>
      <c r="Z24" s="176">
        <f t="shared" si="8"/>
        <v>-0.11904492045633959</v>
      </c>
      <c r="AA24" s="169">
        <f t="shared" si="18"/>
        <v>1.5099459325884895E-2</v>
      </c>
      <c r="AB24" s="169">
        <f t="shared" si="9"/>
        <v>2.2649188988827342E-3</v>
      </c>
      <c r="AC24" s="341">
        <f t="shared" si="10"/>
        <v>4.2028047663175298E-2</v>
      </c>
      <c r="AD24" s="80"/>
      <c r="AE24" s="130">
        <f t="shared" si="11"/>
        <v>366319.35627892724</v>
      </c>
      <c r="AF24" s="131">
        <f t="shared" si="12"/>
        <v>45374352.684540868</v>
      </c>
      <c r="AG24" s="131">
        <f t="shared" si="13"/>
        <v>85187951.932243675</v>
      </c>
      <c r="AH24" s="131">
        <f t="shared" si="19"/>
        <v>130928623.97306347</v>
      </c>
      <c r="AI24" s="377">
        <f t="shared" si="20"/>
        <v>1.6148628779074751E-2</v>
      </c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>
      <c r="A25" s="73" t="s">
        <v>18</v>
      </c>
      <c r="B25" s="165">
        <v>377012210</v>
      </c>
      <c r="C25" s="165">
        <v>90011508</v>
      </c>
      <c r="D25" s="166">
        <f t="shared" si="0"/>
        <v>0.23874958320315409</v>
      </c>
      <c r="E25" s="167">
        <f t="shared" si="14"/>
        <v>21490210.018487372</v>
      </c>
      <c r="F25" s="341">
        <f t="shared" si="1"/>
        <v>1.3495052758384991E-2</v>
      </c>
      <c r="G25" s="129">
        <f>+'CENSO POB 2020'!C21</f>
        <v>397205</v>
      </c>
      <c r="H25" s="168">
        <f t="shared" si="2"/>
        <v>6.8667816186937305E-2</v>
      </c>
      <c r="I25" s="169">
        <f t="shared" si="15"/>
        <v>5.8367643758896706E-2</v>
      </c>
      <c r="J25" s="165">
        <v>1040.01</v>
      </c>
      <c r="K25" s="170">
        <f t="shared" si="3"/>
        <v>1.6194452394529189E-2</v>
      </c>
      <c r="L25" s="171">
        <f t="shared" si="16"/>
        <v>2.4291678591793781E-3</v>
      </c>
      <c r="M25" s="341">
        <f t="shared" si="17"/>
        <v>6.0796811618076083E-2</v>
      </c>
      <c r="N25" s="172">
        <v>3671</v>
      </c>
      <c r="O25" s="173">
        <v>1809</v>
      </c>
      <c r="P25" s="173">
        <v>2369</v>
      </c>
      <c r="Q25" s="173">
        <v>783</v>
      </c>
      <c r="R25" s="174">
        <f t="shared" si="4"/>
        <v>2.7393224121097081E-2</v>
      </c>
      <c r="S25" s="381">
        <v>8689</v>
      </c>
      <c r="T25" s="381">
        <v>2884</v>
      </c>
      <c r="U25" s="381">
        <v>626</v>
      </c>
      <c r="V25" s="381">
        <v>329</v>
      </c>
      <c r="W25" s="174">
        <f t="shared" si="5"/>
        <v>3.4303099783393555E-2</v>
      </c>
      <c r="X25" s="175">
        <f t="shared" si="6"/>
        <v>2.9157634815884521E-2</v>
      </c>
      <c r="Y25" s="176">
        <f t="shared" si="7"/>
        <v>0.25224762268764067</v>
      </c>
      <c r="Z25" s="176">
        <f t="shared" si="8"/>
        <v>0</v>
      </c>
      <c r="AA25" s="169">
        <f t="shared" si="18"/>
        <v>0</v>
      </c>
      <c r="AB25" s="169">
        <f t="shared" si="9"/>
        <v>0</v>
      </c>
      <c r="AC25" s="341">
        <f t="shared" si="10"/>
        <v>2.9157634815884521E-2</v>
      </c>
      <c r="AD25" s="80"/>
      <c r="AE25" s="130">
        <f t="shared" si="11"/>
        <v>54707081.08631365</v>
      </c>
      <c r="AF25" s="131">
        <f t="shared" si="12"/>
        <v>123230941.09109147</v>
      </c>
      <c r="AG25" s="131">
        <f t="shared" si="13"/>
        <v>59100513.377637669</v>
      </c>
      <c r="AH25" s="131">
        <f t="shared" si="19"/>
        <v>237038535.5550428</v>
      </c>
      <c r="AI25" s="377">
        <f t="shared" si="20"/>
        <v>2.9236137987682646E-2</v>
      </c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>
      <c r="A26" s="73" t="s">
        <v>19</v>
      </c>
      <c r="B26" s="165">
        <v>4942797</v>
      </c>
      <c r="C26" s="165">
        <v>877317</v>
      </c>
      <c r="D26" s="166">
        <f t="shared" si="0"/>
        <v>0.17749403829451219</v>
      </c>
      <c r="E26" s="167">
        <f t="shared" si="14"/>
        <v>155718.53719442655</v>
      </c>
      <c r="F26" s="341">
        <f t="shared" si="1"/>
        <v>9.778545082107276E-5</v>
      </c>
      <c r="G26" s="129">
        <f>+'CENSO POB 2020'!C22</f>
        <v>5506</v>
      </c>
      <c r="H26" s="168">
        <f t="shared" si="2"/>
        <v>9.5186363697656574E-4</v>
      </c>
      <c r="I26" s="169">
        <f t="shared" si="15"/>
        <v>8.0908409143008091E-4</v>
      </c>
      <c r="J26" s="165">
        <v>1894.8</v>
      </c>
      <c r="K26" s="170">
        <f t="shared" si="3"/>
        <v>2.9504762836082252E-2</v>
      </c>
      <c r="L26" s="171">
        <f t="shared" si="16"/>
        <v>4.425714425412338E-3</v>
      </c>
      <c r="M26" s="341">
        <f t="shared" si="17"/>
        <v>5.2347985168424193E-3</v>
      </c>
      <c r="N26" s="172">
        <v>814</v>
      </c>
      <c r="O26" s="173">
        <v>216</v>
      </c>
      <c r="P26" s="173">
        <v>671</v>
      </c>
      <c r="Q26" s="173">
        <v>199</v>
      </c>
      <c r="R26" s="174">
        <f t="shared" si="4"/>
        <v>6.2003374083399419E-3</v>
      </c>
      <c r="S26" s="381">
        <v>320</v>
      </c>
      <c r="T26" s="381">
        <v>121</v>
      </c>
      <c r="U26" s="381">
        <v>244</v>
      </c>
      <c r="V26" s="381">
        <v>76</v>
      </c>
      <c r="W26" s="174">
        <f t="shared" si="5"/>
        <v>4.9631495235985465E-3</v>
      </c>
      <c r="X26" s="175">
        <f t="shared" si="6"/>
        <v>4.2186770950587643E-3</v>
      </c>
      <c r="Y26" s="176">
        <f t="shared" si="7"/>
        <v>-0.19953557415718703</v>
      </c>
      <c r="Z26" s="176">
        <f t="shared" si="8"/>
        <v>-0.19953557415718703</v>
      </c>
      <c r="AA26" s="169">
        <f t="shared" si="18"/>
        <v>2.530875970603488E-2</v>
      </c>
      <c r="AB26" s="169">
        <f t="shared" si="9"/>
        <v>3.7963139559052317E-3</v>
      </c>
      <c r="AC26" s="341">
        <f t="shared" si="10"/>
        <v>8.014991050963996E-3</v>
      </c>
      <c r="AD26" s="80"/>
      <c r="AE26" s="130">
        <f t="shared" si="11"/>
        <v>396408.71976630698</v>
      </c>
      <c r="AF26" s="131">
        <f t="shared" si="12"/>
        <v>10610575.299658371</v>
      </c>
      <c r="AG26" s="131">
        <f t="shared" si="13"/>
        <v>16245833.683707656</v>
      </c>
      <c r="AH26" s="131">
        <f t="shared" si="19"/>
        <v>27252817.703132335</v>
      </c>
      <c r="AI26" s="377">
        <f t="shared" si="20"/>
        <v>3.36134011736214E-3</v>
      </c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>
      <c r="A27" s="73" t="s">
        <v>20</v>
      </c>
      <c r="B27" s="165">
        <v>437682929</v>
      </c>
      <c r="C27" s="165">
        <v>130662277.23999999</v>
      </c>
      <c r="D27" s="166">
        <f t="shared" si="0"/>
        <v>0.29853181054726491</v>
      </c>
      <c r="E27" s="167">
        <f t="shared" si="14"/>
        <v>39006846.194685884</v>
      </c>
      <c r="F27" s="341">
        <f t="shared" si="1"/>
        <v>2.4494848904810584E-2</v>
      </c>
      <c r="G27" s="129">
        <f>+'CENSO POB 2020'!C23</f>
        <v>481213</v>
      </c>
      <c r="H27" s="168">
        <f t="shared" si="2"/>
        <v>8.3190911067999293E-2</v>
      </c>
      <c r="I27" s="169">
        <f t="shared" si="15"/>
        <v>7.0712274407799397E-2</v>
      </c>
      <c r="J27" s="165">
        <v>151.27000000000001</v>
      </c>
      <c r="K27" s="170">
        <f t="shared" si="3"/>
        <v>2.3554915950043079E-3</v>
      </c>
      <c r="L27" s="171">
        <f t="shared" si="16"/>
        <v>3.5332373925064616E-4</v>
      </c>
      <c r="M27" s="341">
        <f t="shared" si="17"/>
        <v>7.1065598147050046E-2</v>
      </c>
      <c r="N27" s="172">
        <v>25525</v>
      </c>
      <c r="O27" s="173">
        <v>4791</v>
      </c>
      <c r="P27" s="173">
        <v>5994</v>
      </c>
      <c r="Q27" s="173">
        <v>875</v>
      </c>
      <c r="R27" s="174">
        <f t="shared" si="4"/>
        <v>5.9388194498130251E-2</v>
      </c>
      <c r="S27" s="381">
        <v>20136</v>
      </c>
      <c r="T27" s="381">
        <v>4953</v>
      </c>
      <c r="U27" s="381">
        <v>1151</v>
      </c>
      <c r="V27" s="381">
        <v>297</v>
      </c>
      <c r="W27" s="174">
        <f t="shared" si="5"/>
        <v>5.2740416254969745E-2</v>
      </c>
      <c r="X27" s="175">
        <f t="shared" si="6"/>
        <v>4.4829353816724281E-2</v>
      </c>
      <c r="Y27" s="176">
        <f t="shared" si="7"/>
        <v>-0.11193770579049682</v>
      </c>
      <c r="Z27" s="176">
        <f t="shared" si="8"/>
        <v>-0.11193770579049682</v>
      </c>
      <c r="AA27" s="169">
        <f t="shared" si="18"/>
        <v>1.4197992061629937E-2</v>
      </c>
      <c r="AB27" s="169">
        <f t="shared" si="9"/>
        <v>2.1296988092444906E-3</v>
      </c>
      <c r="AC27" s="341">
        <f t="shared" si="10"/>
        <v>4.6959052625968771E-2</v>
      </c>
      <c r="AD27" s="80"/>
      <c r="AE27" s="130">
        <f t="shared" si="11"/>
        <v>99298736.301705435</v>
      </c>
      <c r="AF27" s="131">
        <f t="shared" si="12"/>
        <v>144045062.65684715</v>
      </c>
      <c r="AG27" s="131">
        <f t="shared" si="13"/>
        <v>95182758.664990425</v>
      </c>
      <c r="AH27" s="131">
        <f t="shared" si="19"/>
        <v>338526557.62354302</v>
      </c>
      <c r="AI27" s="377">
        <f t="shared" si="20"/>
        <v>4.1753587145659993E-2</v>
      </c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>
      <c r="A28" s="73" t="s">
        <v>21</v>
      </c>
      <c r="B28" s="165">
        <v>11203821</v>
      </c>
      <c r="C28" s="165">
        <v>3648762.03</v>
      </c>
      <c r="D28" s="166">
        <f t="shared" si="0"/>
        <v>0.32567121788182796</v>
      </c>
      <c r="E28" s="167">
        <f t="shared" si="14"/>
        <v>1188296.7740710708</v>
      </c>
      <c r="F28" s="341">
        <f t="shared" si="1"/>
        <v>7.4620618620815709E-4</v>
      </c>
      <c r="G28" s="129">
        <f>+'CENSO POB 2020'!C24</f>
        <v>14109</v>
      </c>
      <c r="H28" s="168">
        <f t="shared" si="2"/>
        <v>2.4391289600621804E-3</v>
      </c>
      <c r="I28" s="169">
        <f t="shared" si="15"/>
        <v>2.0732596160528533E-3</v>
      </c>
      <c r="J28" s="165">
        <v>2479.16</v>
      </c>
      <c r="K28" s="170">
        <f t="shared" si="3"/>
        <v>3.8604088997625963E-2</v>
      </c>
      <c r="L28" s="171">
        <f t="shared" si="16"/>
        <v>5.7906133496438946E-3</v>
      </c>
      <c r="M28" s="341">
        <f t="shared" si="17"/>
        <v>7.8638729656967474E-3</v>
      </c>
      <c r="N28" s="172">
        <v>3166</v>
      </c>
      <c r="O28" s="173">
        <v>572</v>
      </c>
      <c r="P28" s="173">
        <v>3480</v>
      </c>
      <c r="Q28" s="173">
        <v>459</v>
      </c>
      <c r="R28" s="174">
        <f t="shared" si="4"/>
        <v>1.9230399025526604E-2</v>
      </c>
      <c r="S28" s="381">
        <v>1684</v>
      </c>
      <c r="T28" s="381">
        <v>407</v>
      </c>
      <c r="U28" s="381">
        <v>1314</v>
      </c>
      <c r="V28" s="381">
        <v>100</v>
      </c>
      <c r="W28" s="174">
        <f t="shared" si="5"/>
        <v>1.3450542510639606E-2</v>
      </c>
      <c r="X28" s="175">
        <f t="shared" si="6"/>
        <v>1.1432961134043665E-2</v>
      </c>
      <c r="Y28" s="176">
        <f t="shared" si="7"/>
        <v>-0.30055832472403532</v>
      </c>
      <c r="Z28" s="176">
        <f t="shared" si="8"/>
        <v>-0.30055832472403532</v>
      </c>
      <c r="AA28" s="169">
        <f t="shared" si="18"/>
        <v>3.8122317036543459E-2</v>
      </c>
      <c r="AB28" s="169">
        <f t="shared" si="9"/>
        <v>5.7183475554815188E-3</v>
      </c>
      <c r="AC28" s="341">
        <f t="shared" si="10"/>
        <v>1.7151308689525184E-2</v>
      </c>
      <c r="AD28" s="80"/>
      <c r="AE28" s="130">
        <f t="shared" si="11"/>
        <v>3025016.8759535807</v>
      </c>
      <c r="AF28" s="131">
        <f t="shared" si="12"/>
        <v>15939527.754700188</v>
      </c>
      <c r="AG28" s="131">
        <f t="shared" si="13"/>
        <v>34764518.969044037</v>
      </c>
      <c r="AH28" s="131">
        <f t="shared" si="19"/>
        <v>53729063.599697806</v>
      </c>
      <c r="AI28" s="377">
        <f t="shared" si="20"/>
        <v>6.6268985069095603E-3</v>
      </c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>
      <c r="A29" s="73" t="s">
        <v>22</v>
      </c>
      <c r="B29" s="165">
        <v>822645</v>
      </c>
      <c r="C29" s="165">
        <v>218938</v>
      </c>
      <c r="D29" s="166">
        <f t="shared" si="0"/>
        <v>0.26613910009785507</v>
      </c>
      <c r="E29" s="167">
        <f t="shared" si="14"/>
        <v>58267.962297224192</v>
      </c>
      <c r="F29" s="341">
        <f t="shared" si="1"/>
        <v>3.6590113574887031E-5</v>
      </c>
      <c r="G29" s="129">
        <f>+'CENSO POB 2020'!C25</f>
        <v>1808</v>
      </c>
      <c r="H29" s="168">
        <f t="shared" si="2"/>
        <v>3.1256256005332924E-4</v>
      </c>
      <c r="I29" s="169">
        <f t="shared" si="15"/>
        <v>2.6567817604532983E-4</v>
      </c>
      <c r="J29" s="165">
        <v>388.05</v>
      </c>
      <c r="K29" s="170">
        <f t="shared" si="3"/>
        <v>6.0424969487765032E-3</v>
      </c>
      <c r="L29" s="171">
        <f t="shared" si="16"/>
        <v>9.0637454231647541E-4</v>
      </c>
      <c r="M29" s="341">
        <f t="shared" si="17"/>
        <v>1.1720527183618052E-3</v>
      </c>
      <c r="N29" s="172">
        <v>248</v>
      </c>
      <c r="O29" s="173">
        <v>45</v>
      </c>
      <c r="P29" s="173">
        <v>165</v>
      </c>
      <c r="Q29" s="173">
        <v>30</v>
      </c>
      <c r="R29" s="174">
        <f t="shared" si="4"/>
        <v>1.1800840492623579E-3</v>
      </c>
      <c r="S29" s="381">
        <v>138</v>
      </c>
      <c r="T29" s="381">
        <v>42</v>
      </c>
      <c r="U29" s="381">
        <v>26</v>
      </c>
      <c r="V29" s="381">
        <v>12</v>
      </c>
      <c r="W29" s="174">
        <f t="shared" si="5"/>
        <v>8.7935671088430908E-4</v>
      </c>
      <c r="X29" s="175">
        <f t="shared" si="6"/>
        <v>7.474532042516627E-4</v>
      </c>
      <c r="Y29" s="176">
        <f t="shared" si="7"/>
        <v>-0.25483552511876273</v>
      </c>
      <c r="Z29" s="176">
        <f t="shared" si="8"/>
        <v>-0.25483552511876273</v>
      </c>
      <c r="AA29" s="169">
        <f t="shared" si="18"/>
        <v>3.2322913330287854E-2</v>
      </c>
      <c r="AB29" s="169">
        <f t="shared" si="9"/>
        <v>4.8484369995431776E-3</v>
      </c>
      <c r="AC29" s="341">
        <f t="shared" si="10"/>
        <v>5.5958902037948404E-3</v>
      </c>
      <c r="AD29" s="80"/>
      <c r="AE29" s="130">
        <f t="shared" si="11"/>
        <v>148331.26969844667</v>
      </c>
      <c r="AF29" s="131">
        <f t="shared" si="12"/>
        <v>2375669.9676855165</v>
      </c>
      <c r="AG29" s="131">
        <f t="shared" si="13"/>
        <v>11342483.227377504</v>
      </c>
      <c r="AH29" s="131">
        <f t="shared" si="19"/>
        <v>13866484.464761468</v>
      </c>
      <c r="AI29" s="377">
        <f t="shared" si="20"/>
        <v>1.7102807873266047E-3</v>
      </c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>
      <c r="A30" s="73" t="s">
        <v>23</v>
      </c>
      <c r="B30" s="165">
        <v>1482915</v>
      </c>
      <c r="C30" s="165">
        <v>140414</v>
      </c>
      <c r="D30" s="166">
        <f t="shared" si="0"/>
        <v>9.4687827690730753E-2</v>
      </c>
      <c r="E30" s="167">
        <f t="shared" si="14"/>
        <v>13295.496637366268</v>
      </c>
      <c r="F30" s="341">
        <f t="shared" si="1"/>
        <v>8.3490774829950728E-6</v>
      </c>
      <c r="G30" s="129">
        <f>+'CENSO POB 2020'!C26</f>
        <v>6282</v>
      </c>
      <c r="H30" s="168">
        <f t="shared" si="2"/>
        <v>1.0860165941675964E-3</v>
      </c>
      <c r="I30" s="169">
        <f t="shared" si="15"/>
        <v>9.2311410504245688E-4</v>
      </c>
      <c r="J30" s="165">
        <v>1314.52</v>
      </c>
      <c r="K30" s="170">
        <f t="shared" si="3"/>
        <v>2.0468968146129852E-2</v>
      </c>
      <c r="L30" s="171">
        <f t="shared" si="16"/>
        <v>3.0703452219194775E-3</v>
      </c>
      <c r="M30" s="341">
        <f t="shared" si="17"/>
        <v>3.9934593269619345E-3</v>
      </c>
      <c r="N30" s="172">
        <v>1391</v>
      </c>
      <c r="O30" s="173">
        <v>288</v>
      </c>
      <c r="P30" s="173">
        <v>3319</v>
      </c>
      <c r="Q30" s="173">
        <v>607</v>
      </c>
      <c r="R30" s="174">
        <f t="shared" si="4"/>
        <v>1.9591711602070995E-2</v>
      </c>
      <c r="S30" s="381">
        <v>1109</v>
      </c>
      <c r="T30" s="381">
        <v>248</v>
      </c>
      <c r="U30" s="381">
        <v>1071</v>
      </c>
      <c r="V30" s="381">
        <v>111</v>
      </c>
      <c r="W30" s="174">
        <f t="shared" si="5"/>
        <v>1.1600674236268762E-2</v>
      </c>
      <c r="X30" s="175">
        <f t="shared" si="6"/>
        <v>9.8605731008284472E-3</v>
      </c>
      <c r="Y30" s="176">
        <f t="shared" si="7"/>
        <v>-0.40787847065682198</v>
      </c>
      <c r="Z30" s="176">
        <f t="shared" si="8"/>
        <v>-0.40787847065682198</v>
      </c>
      <c r="AA30" s="169">
        <f t="shared" si="18"/>
        <v>5.1734625500846752E-2</v>
      </c>
      <c r="AB30" s="169">
        <f t="shared" si="9"/>
        <v>7.7601938251270122E-3</v>
      </c>
      <c r="AC30" s="341">
        <f t="shared" si="10"/>
        <v>1.7620766925955461E-2</v>
      </c>
      <c r="AD30" s="80"/>
      <c r="AE30" s="130">
        <f t="shared" si="11"/>
        <v>33846.007647085964</v>
      </c>
      <c r="AF30" s="131">
        <f t="shared" si="12"/>
        <v>8094466.4362004083</v>
      </c>
      <c r="AG30" s="131">
        <f t="shared" si="13"/>
        <v>35716078.413340077</v>
      </c>
      <c r="AH30" s="131">
        <f t="shared" si="19"/>
        <v>43844390.857187569</v>
      </c>
      <c r="AI30" s="377">
        <f t="shared" si="20"/>
        <v>5.4077311019708457E-3</v>
      </c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>
      <c r="A31" s="73" t="s">
        <v>24</v>
      </c>
      <c r="B31" s="165">
        <v>59610291</v>
      </c>
      <c r="C31" s="165">
        <v>9156806</v>
      </c>
      <c r="D31" s="166">
        <f t="shared" si="0"/>
        <v>0.15361116086482449</v>
      </c>
      <c r="E31" s="167">
        <f t="shared" si="14"/>
        <v>1406587.59947399</v>
      </c>
      <c r="F31" s="341">
        <f t="shared" si="1"/>
        <v>8.8328470721607565E-4</v>
      </c>
      <c r="G31" s="129">
        <f>+'CENSO POB 2020'!C27</f>
        <v>102149</v>
      </c>
      <c r="H31" s="168">
        <f t="shared" si="2"/>
        <v>1.7659266010446643E-2</v>
      </c>
      <c r="I31" s="169">
        <f t="shared" si="15"/>
        <v>1.5010376108879647E-2</v>
      </c>
      <c r="J31" s="165">
        <v>184.87</v>
      </c>
      <c r="K31" s="170">
        <f t="shared" si="3"/>
        <v>2.8786919492856905E-3</v>
      </c>
      <c r="L31" s="171">
        <f t="shared" si="16"/>
        <v>4.3180379239285356E-4</v>
      </c>
      <c r="M31" s="341">
        <f t="shared" si="17"/>
        <v>1.5442179901272501E-2</v>
      </c>
      <c r="N31" s="172">
        <v>870</v>
      </c>
      <c r="O31" s="173">
        <v>513</v>
      </c>
      <c r="P31" s="173">
        <v>350</v>
      </c>
      <c r="Q31" s="173">
        <v>123</v>
      </c>
      <c r="R31" s="174">
        <f t="shared" si="4"/>
        <v>5.2107891032981742E-3</v>
      </c>
      <c r="S31" s="381">
        <v>2630</v>
      </c>
      <c r="T31" s="381">
        <v>724</v>
      </c>
      <c r="U31" s="381">
        <v>85</v>
      </c>
      <c r="V31" s="381">
        <v>417</v>
      </c>
      <c r="W31" s="174">
        <f t="shared" si="5"/>
        <v>2.1893178641750551E-2</v>
      </c>
      <c r="X31" s="175">
        <f t="shared" si="6"/>
        <v>1.8609201845487967E-2</v>
      </c>
      <c r="Y31" s="176">
        <f t="shared" si="7"/>
        <v>3.2015092546910493</v>
      </c>
      <c r="Z31" s="176">
        <f t="shared" si="8"/>
        <v>0</v>
      </c>
      <c r="AA31" s="169">
        <f t="shared" si="18"/>
        <v>0</v>
      </c>
      <c r="AB31" s="169">
        <f t="shared" si="9"/>
        <v>0</v>
      </c>
      <c r="AC31" s="341">
        <f t="shared" si="10"/>
        <v>1.8609201845487967E-2</v>
      </c>
      <c r="AD31" s="80"/>
      <c r="AE31" s="130">
        <f t="shared" si="11"/>
        <v>3580714.2784192828</v>
      </c>
      <c r="AF31" s="131">
        <f t="shared" si="12"/>
        <v>31300232.875468139</v>
      </c>
      <c r="AG31" s="131">
        <f t="shared" si="13"/>
        <v>37719567.775684737</v>
      </c>
      <c r="AH31" s="131">
        <f t="shared" si="19"/>
        <v>72600514.929572165</v>
      </c>
      <c r="AI31" s="377">
        <f t="shared" si="20"/>
        <v>8.9544877902981539E-3</v>
      </c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>
      <c r="A32" s="73" t="s">
        <v>25</v>
      </c>
      <c r="B32" s="165">
        <v>542535324</v>
      </c>
      <c r="C32" s="165">
        <v>215375991.11000001</v>
      </c>
      <c r="D32" s="166">
        <f t="shared" si="0"/>
        <v>0.39698058648435586</v>
      </c>
      <c r="E32" s="167">
        <f t="shared" si="14"/>
        <v>85500087.265497223</v>
      </c>
      <c r="F32" s="341">
        <f t="shared" si="1"/>
        <v>5.3690875403348902E-2</v>
      </c>
      <c r="G32" s="129">
        <f>+'CENSO POB 2020'!C28</f>
        <v>643143</v>
      </c>
      <c r="H32" s="168">
        <f t="shared" si="2"/>
        <v>0.11118496823029775</v>
      </c>
      <c r="I32" s="169">
        <f t="shared" si="15"/>
        <v>9.4507222995753079E-2</v>
      </c>
      <c r="J32" s="165">
        <v>117.79</v>
      </c>
      <c r="K32" s="170">
        <f t="shared" si="3"/>
        <v>1.8341598134167874E-3</v>
      </c>
      <c r="L32" s="171">
        <f t="shared" si="16"/>
        <v>2.7512397201251811E-4</v>
      </c>
      <c r="M32" s="341">
        <f t="shared" si="17"/>
        <v>9.4782346967765593E-2</v>
      </c>
      <c r="N32" s="172">
        <v>69698</v>
      </c>
      <c r="O32" s="173">
        <v>9468</v>
      </c>
      <c r="P32" s="173">
        <v>3881</v>
      </c>
      <c r="Q32" s="173">
        <v>299</v>
      </c>
      <c r="R32" s="174">
        <f t="shared" si="4"/>
        <v>8.640218657214932E-2</v>
      </c>
      <c r="S32" s="381">
        <v>32770</v>
      </c>
      <c r="T32" s="381">
        <v>7194</v>
      </c>
      <c r="U32" s="381">
        <v>736</v>
      </c>
      <c r="V32" s="381">
        <v>247</v>
      </c>
      <c r="W32" s="174">
        <f t="shared" si="5"/>
        <v>6.7373865202075001E-2</v>
      </c>
      <c r="X32" s="175">
        <f t="shared" si="6"/>
        <v>5.7267785421763751E-2</v>
      </c>
      <c r="Y32" s="176">
        <f t="shared" si="7"/>
        <v>-0.22022962757065068</v>
      </c>
      <c r="Z32" s="176">
        <f t="shared" si="8"/>
        <v>-0.22022962757065068</v>
      </c>
      <c r="AA32" s="169">
        <f t="shared" si="18"/>
        <v>2.7933558954977917E-2</v>
      </c>
      <c r="AB32" s="169">
        <f t="shared" si="9"/>
        <v>4.190033843246687E-3</v>
      </c>
      <c r="AC32" s="341">
        <f t="shared" si="10"/>
        <v>6.1457819265010441E-2</v>
      </c>
      <c r="AD32" s="80"/>
      <c r="AE32" s="130">
        <f t="shared" si="11"/>
        <v>217655397.63904467</v>
      </c>
      <c r="AF32" s="131">
        <f t="shared" si="12"/>
        <v>192117275.63995126</v>
      </c>
      <c r="AG32" s="131">
        <f t="shared" si="13"/>
        <v>124570757.97017118</v>
      </c>
      <c r="AH32" s="131">
        <f t="shared" si="19"/>
        <v>534343431.24916708</v>
      </c>
      <c r="AI32" s="377">
        <f t="shared" si="20"/>
        <v>6.5905479259868449E-2</v>
      </c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>
      <c r="A33" s="73" t="s">
        <v>26</v>
      </c>
      <c r="B33" s="165">
        <v>1019354</v>
      </c>
      <c r="C33" s="165">
        <v>288216.5</v>
      </c>
      <c r="D33" s="166">
        <f t="shared" si="0"/>
        <v>0.282744267447815</v>
      </c>
      <c r="E33" s="167">
        <f t="shared" si="14"/>
        <v>81491.563158873178</v>
      </c>
      <c r="F33" s="341">
        <f t="shared" si="1"/>
        <v>5.1173671325044735E-5</v>
      </c>
      <c r="G33" s="129">
        <f>+'CENSO POB 2020'!C37</f>
        <v>1959</v>
      </c>
      <c r="H33" s="168">
        <f t="shared" si="2"/>
        <v>3.3866706589849116E-4</v>
      </c>
      <c r="I33" s="169">
        <f t="shared" si="15"/>
        <v>2.8786700601371749E-4</v>
      </c>
      <c r="J33" s="165">
        <v>497.27</v>
      </c>
      <c r="K33" s="170">
        <f t="shared" si="3"/>
        <v>7.743209528973307E-3</v>
      </c>
      <c r="L33" s="171">
        <f t="shared" si="16"/>
        <v>1.1614814293459961E-3</v>
      </c>
      <c r="M33" s="341">
        <f t="shared" si="17"/>
        <v>1.4493484353597136E-3</v>
      </c>
      <c r="N33" s="172">
        <v>525</v>
      </c>
      <c r="O33" s="173">
        <v>98</v>
      </c>
      <c r="P33" s="173">
        <v>163</v>
      </c>
      <c r="Q33" s="173">
        <v>24</v>
      </c>
      <c r="R33" s="174">
        <f t="shared" si="4"/>
        <v>1.4096324493135357E-3</v>
      </c>
      <c r="S33" s="381">
        <v>375</v>
      </c>
      <c r="T33" s="381">
        <v>59</v>
      </c>
      <c r="U33" s="381">
        <v>60</v>
      </c>
      <c r="V33" s="381">
        <v>19</v>
      </c>
      <c r="W33" s="174">
        <f t="shared" si="5"/>
        <v>1.5801406149704073E-3</v>
      </c>
      <c r="X33" s="175">
        <f t="shared" si="6"/>
        <v>1.3431195227248463E-3</v>
      </c>
      <c r="Y33" s="176">
        <f t="shared" si="7"/>
        <v>0.12095930803799666</v>
      </c>
      <c r="Z33" s="176">
        <f t="shared" si="8"/>
        <v>0</v>
      </c>
      <c r="AA33" s="169">
        <f t="shared" si="18"/>
        <v>0</v>
      </c>
      <c r="AB33" s="169">
        <f t="shared" si="9"/>
        <v>0</v>
      </c>
      <c r="AC33" s="341">
        <f t="shared" si="10"/>
        <v>1.3431195227248463E-3</v>
      </c>
      <c r="AD33" s="80"/>
      <c r="AE33" s="130">
        <f t="shared" si="11"/>
        <v>207450.9997690903</v>
      </c>
      <c r="AF33" s="131">
        <f t="shared" si="12"/>
        <v>2937729.2477156124</v>
      </c>
      <c r="AG33" s="131">
        <f t="shared" si="13"/>
        <v>2722410.5734845786</v>
      </c>
      <c r="AH33" s="131">
        <f t="shared" si="19"/>
        <v>5867590.8209692817</v>
      </c>
      <c r="AI33" s="377">
        <f t="shared" si="20"/>
        <v>7.2370382518366231E-4</v>
      </c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>
      <c r="A34" s="73" t="s">
        <v>27</v>
      </c>
      <c r="B34" s="165">
        <v>2430155</v>
      </c>
      <c r="C34" s="165">
        <v>518824</v>
      </c>
      <c r="D34" s="166">
        <f t="shared" si="0"/>
        <v>0.21349420098717983</v>
      </c>
      <c r="E34" s="167">
        <f t="shared" si="14"/>
        <v>110765.9153329726</v>
      </c>
      <c r="F34" s="341">
        <f t="shared" si="1"/>
        <v>6.95568758966686E-5</v>
      </c>
      <c r="G34" s="129">
        <f>+'CENSO POB 2020'!C29</f>
        <v>16086</v>
      </c>
      <c r="H34" s="168">
        <f t="shared" si="2"/>
        <v>2.7809078213594327E-3</v>
      </c>
      <c r="I34" s="169">
        <f t="shared" si="15"/>
        <v>2.3637716481555177E-3</v>
      </c>
      <c r="J34" s="165">
        <v>170.12</v>
      </c>
      <c r="K34" s="170">
        <f t="shared" si="3"/>
        <v>2.6490132223318096E-3</v>
      </c>
      <c r="L34" s="171">
        <f t="shared" si="16"/>
        <v>3.9735198334977145E-4</v>
      </c>
      <c r="M34" s="341">
        <f t="shared" si="17"/>
        <v>2.7611236315052893E-3</v>
      </c>
      <c r="N34" s="172">
        <v>1777</v>
      </c>
      <c r="O34" s="173">
        <v>349</v>
      </c>
      <c r="P34" s="173">
        <v>145</v>
      </c>
      <c r="Q34" s="173">
        <v>79</v>
      </c>
      <c r="R34" s="174">
        <f t="shared" si="4"/>
        <v>3.9637238245243383E-3</v>
      </c>
      <c r="S34" s="381">
        <v>888</v>
      </c>
      <c r="T34" s="381">
        <v>347</v>
      </c>
      <c r="U34" s="381">
        <v>71</v>
      </c>
      <c r="V34" s="381">
        <v>43</v>
      </c>
      <c r="W34" s="174">
        <f t="shared" si="5"/>
        <v>4.1176242869017015E-3</v>
      </c>
      <c r="X34" s="175">
        <f t="shared" si="6"/>
        <v>3.499980643866446E-3</v>
      </c>
      <c r="Y34" s="176">
        <f t="shared" si="7"/>
        <v>3.8827241551278313E-2</v>
      </c>
      <c r="Z34" s="176">
        <f t="shared" si="8"/>
        <v>0</v>
      </c>
      <c r="AA34" s="169">
        <f t="shared" si="18"/>
        <v>0</v>
      </c>
      <c r="AB34" s="169">
        <f t="shared" si="9"/>
        <v>0</v>
      </c>
      <c r="AC34" s="341">
        <f t="shared" si="10"/>
        <v>3.499980643866446E-3</v>
      </c>
      <c r="AD34" s="80"/>
      <c r="AE34" s="130">
        <f t="shared" si="11"/>
        <v>281973.97356785845</v>
      </c>
      <c r="AF34" s="131">
        <f t="shared" si="12"/>
        <v>5596607.0345387012</v>
      </c>
      <c r="AG34" s="131">
        <f t="shared" si="13"/>
        <v>7094219.2043510173</v>
      </c>
      <c r="AH34" s="131">
        <f t="shared" si="19"/>
        <v>12972800.212457577</v>
      </c>
      <c r="AI34" s="377">
        <f t="shared" si="20"/>
        <v>1.6000545067912679E-3</v>
      </c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>
      <c r="A35" s="73" t="s">
        <v>28</v>
      </c>
      <c r="B35" s="165">
        <v>721085</v>
      </c>
      <c r="C35" s="165">
        <v>336929</v>
      </c>
      <c r="D35" s="166">
        <f t="shared" si="0"/>
        <v>0.46725282040258775</v>
      </c>
      <c r="E35" s="167">
        <f t="shared" si="14"/>
        <v>157431.02552542349</v>
      </c>
      <c r="F35" s="341">
        <f t="shared" si="1"/>
        <v>9.886082981248519E-5</v>
      </c>
      <c r="G35" s="129">
        <f>+'CENSO POB 2020'!C30</f>
        <v>1386</v>
      </c>
      <c r="H35" s="168">
        <f t="shared" si="2"/>
        <v>2.3960824570459864E-4</v>
      </c>
      <c r="I35" s="169">
        <f t="shared" si="15"/>
        <v>2.0366700884890884E-4</v>
      </c>
      <c r="J35" s="165">
        <v>444.11</v>
      </c>
      <c r="K35" s="170">
        <f t="shared" si="3"/>
        <v>6.9154318255924057E-3</v>
      </c>
      <c r="L35" s="171">
        <f t="shared" si="16"/>
        <v>1.0373147738388607E-3</v>
      </c>
      <c r="M35" s="341">
        <f t="shared" si="17"/>
        <v>1.2409817826877696E-3</v>
      </c>
      <c r="N35" s="172">
        <v>236</v>
      </c>
      <c r="O35" s="173">
        <v>60</v>
      </c>
      <c r="P35" s="173">
        <v>117</v>
      </c>
      <c r="Q35" s="173">
        <v>25</v>
      </c>
      <c r="R35" s="174">
        <f t="shared" si="4"/>
        <v>1.0357297174192843E-3</v>
      </c>
      <c r="S35" s="381">
        <v>156</v>
      </c>
      <c r="T35" s="381">
        <v>44</v>
      </c>
      <c r="U35" s="381">
        <v>20</v>
      </c>
      <c r="V35" s="381">
        <v>31</v>
      </c>
      <c r="W35" s="174">
        <f t="shared" si="5"/>
        <v>1.6264120738269385E-3</v>
      </c>
      <c r="X35" s="175">
        <f t="shared" si="6"/>
        <v>1.3824502627528977E-3</v>
      </c>
      <c r="Y35" s="176">
        <f t="shared" si="7"/>
        <v>0.57030550197927166</v>
      </c>
      <c r="Z35" s="176">
        <f t="shared" si="8"/>
        <v>0</v>
      </c>
      <c r="AA35" s="169">
        <f t="shared" si="18"/>
        <v>0</v>
      </c>
      <c r="AB35" s="169">
        <f t="shared" si="9"/>
        <v>0</v>
      </c>
      <c r="AC35" s="341">
        <f t="shared" si="10"/>
        <v>1.3824502627528977E-3</v>
      </c>
      <c r="AD35" s="80"/>
      <c r="AE35" s="130">
        <f t="shared" si="11"/>
        <v>400768.15775703022</v>
      </c>
      <c r="AF35" s="131">
        <f t="shared" si="12"/>
        <v>2515384.4237457658</v>
      </c>
      <c r="AG35" s="131">
        <f t="shared" si="13"/>
        <v>2802131.269002513</v>
      </c>
      <c r="AH35" s="131">
        <f t="shared" si="19"/>
        <v>5718283.8505053092</v>
      </c>
      <c r="AI35" s="377">
        <f t="shared" si="20"/>
        <v>7.0528842626640931E-4</v>
      </c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>
      <c r="A36" s="73" t="s">
        <v>29</v>
      </c>
      <c r="B36" s="165">
        <v>1890448</v>
      </c>
      <c r="C36" s="165">
        <v>629171</v>
      </c>
      <c r="D36" s="166">
        <f t="shared" si="0"/>
        <v>0.33281581931901855</v>
      </c>
      <c r="E36" s="167">
        <f t="shared" si="14"/>
        <v>209398.06185676623</v>
      </c>
      <c r="F36" s="341">
        <f t="shared" si="1"/>
        <v>1.3149419618652597E-4</v>
      </c>
      <c r="G36" s="129">
        <f>+'CENSO POB 2020'!C31</f>
        <v>7026</v>
      </c>
      <c r="H36" s="168">
        <f t="shared" si="2"/>
        <v>1.2146374706497186E-3</v>
      </c>
      <c r="I36" s="169">
        <f t="shared" si="15"/>
        <v>1.0324418500522608E-3</v>
      </c>
      <c r="J36" s="165">
        <v>127.8</v>
      </c>
      <c r="K36" s="170">
        <f t="shared" si="3"/>
        <v>1.990029918963116E-3</v>
      </c>
      <c r="L36" s="171">
        <f t="shared" si="16"/>
        <v>2.9850448784446741E-4</v>
      </c>
      <c r="M36" s="341">
        <f t="shared" si="17"/>
        <v>1.3309463378967283E-3</v>
      </c>
      <c r="N36" s="172">
        <v>1201</v>
      </c>
      <c r="O36" s="173">
        <v>185</v>
      </c>
      <c r="P36" s="173">
        <v>941</v>
      </c>
      <c r="Q36" s="173">
        <v>42</v>
      </c>
      <c r="R36" s="174">
        <f t="shared" si="4"/>
        <v>4.0095605509974496E-3</v>
      </c>
      <c r="S36" s="381">
        <v>650</v>
      </c>
      <c r="T36" s="381">
        <v>163</v>
      </c>
      <c r="U36" s="381">
        <v>395</v>
      </c>
      <c r="V36" s="381">
        <v>10</v>
      </c>
      <c r="W36" s="174">
        <f t="shared" si="5"/>
        <v>3.5180673320510843E-3</v>
      </c>
      <c r="X36" s="175">
        <f t="shared" si="6"/>
        <v>2.9903572322434215E-3</v>
      </c>
      <c r="Y36" s="176">
        <f t="shared" si="7"/>
        <v>-0.12258032088431678</v>
      </c>
      <c r="Z36" s="176">
        <f t="shared" si="8"/>
        <v>-0.12258032088431678</v>
      </c>
      <c r="AA36" s="169">
        <f t="shared" si="18"/>
        <v>1.5547883624530514E-2</v>
      </c>
      <c r="AB36" s="169">
        <f t="shared" si="9"/>
        <v>2.332182543679577E-3</v>
      </c>
      <c r="AC36" s="341">
        <f t="shared" si="10"/>
        <v>5.3225397759229989E-3</v>
      </c>
      <c r="AD36" s="80"/>
      <c r="AE36" s="130">
        <f t="shared" si="11"/>
        <v>533059.32047477283</v>
      </c>
      <c r="AF36" s="131">
        <f t="shared" si="12"/>
        <v>2697736.3680037316</v>
      </c>
      <c r="AG36" s="131">
        <f t="shared" si="13"/>
        <v>10788420.776110994</v>
      </c>
      <c r="AH36" s="131">
        <f t="shared" si="19"/>
        <v>14019216.464589499</v>
      </c>
      <c r="AI36" s="377">
        <f t="shared" si="20"/>
        <v>1.7291186265481948E-3</v>
      </c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>
      <c r="A37" s="73" t="s">
        <v>30</v>
      </c>
      <c r="B37" s="165">
        <v>574456</v>
      </c>
      <c r="C37" s="165">
        <v>112915</v>
      </c>
      <c r="D37" s="166">
        <f t="shared" si="0"/>
        <v>0.19655987577812747</v>
      </c>
      <c r="E37" s="167">
        <f t="shared" si="14"/>
        <v>22194.558373487263</v>
      </c>
      <c r="F37" s="341">
        <f t="shared" si="1"/>
        <v>1.3937357333483521E-5</v>
      </c>
      <c r="G37" s="129">
        <f>+'CENSO POB 2020'!C32</f>
        <v>3298</v>
      </c>
      <c r="H37" s="168">
        <f t="shared" si="2"/>
        <v>5.7015006806188052E-4</v>
      </c>
      <c r="I37" s="169">
        <f t="shared" si="15"/>
        <v>4.8462755785259843E-4</v>
      </c>
      <c r="J37" s="165">
        <v>561.88</v>
      </c>
      <c r="K37" s="170">
        <f t="shared" si="3"/>
        <v>8.7492802102268827E-3</v>
      </c>
      <c r="L37" s="171">
        <f t="shared" si="16"/>
        <v>1.3123920315340324E-3</v>
      </c>
      <c r="M37" s="341">
        <f t="shared" si="17"/>
        <v>1.7970195893866308E-3</v>
      </c>
      <c r="N37" s="172">
        <v>779</v>
      </c>
      <c r="O37" s="173">
        <v>188</v>
      </c>
      <c r="P37" s="173">
        <v>1437</v>
      </c>
      <c r="Q37" s="173">
        <v>355</v>
      </c>
      <c r="R37" s="174">
        <f t="shared" si="4"/>
        <v>1.0481063203940282E-2</v>
      </c>
      <c r="S37" s="381">
        <v>672</v>
      </c>
      <c r="T37" s="381">
        <v>134</v>
      </c>
      <c r="U37" s="381">
        <v>300</v>
      </c>
      <c r="V37" s="381">
        <v>75</v>
      </c>
      <c r="W37" s="174">
        <f t="shared" si="5"/>
        <v>5.5306963347501788E-3</v>
      </c>
      <c r="X37" s="175">
        <f t="shared" si="6"/>
        <v>4.7010918845376516E-3</v>
      </c>
      <c r="Y37" s="176">
        <f t="shared" si="7"/>
        <v>-0.47231533412841625</v>
      </c>
      <c r="Z37" s="176">
        <f t="shared" si="8"/>
        <v>-0.47231533412841625</v>
      </c>
      <c r="AA37" s="169">
        <f t="shared" si="18"/>
        <v>5.990768988147923E-2</v>
      </c>
      <c r="AB37" s="169">
        <f t="shared" si="9"/>
        <v>8.9861534822218841E-3</v>
      </c>
      <c r="AC37" s="341">
        <f t="shared" si="10"/>
        <v>1.3687245366759537E-2</v>
      </c>
      <c r="AD37" s="80"/>
      <c r="AE37" s="130">
        <f t="shared" si="11"/>
        <v>56500.122780035686</v>
      </c>
      <c r="AF37" s="131">
        <f t="shared" si="12"/>
        <v>3642434.6814496489</v>
      </c>
      <c r="AG37" s="131">
        <f t="shared" si="13"/>
        <v>27743101.695631888</v>
      </c>
      <c r="AH37" s="131">
        <f t="shared" si="19"/>
        <v>31442036.499861572</v>
      </c>
      <c r="AI37" s="377">
        <f t="shared" si="20"/>
        <v>3.878034917703283E-3</v>
      </c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>
      <c r="A38" s="73" t="s">
        <v>31</v>
      </c>
      <c r="B38" s="165">
        <v>369239404</v>
      </c>
      <c r="C38" s="165">
        <v>99086847.890000001</v>
      </c>
      <c r="D38" s="166">
        <f t="shared" si="0"/>
        <v>0.26835393735496332</v>
      </c>
      <c r="E38" s="167">
        <f t="shared" si="14"/>
        <v>26590345.771373838</v>
      </c>
      <c r="F38" s="341">
        <f t="shared" si="1"/>
        <v>1.669774835795889E-2</v>
      </c>
      <c r="G38" s="129">
        <f>+'CENSO POB 2020'!C33</f>
        <v>471523</v>
      </c>
      <c r="H38" s="168">
        <f t="shared" si="2"/>
        <v>8.1515727878332944E-2</v>
      </c>
      <c r="I38" s="169">
        <f t="shared" si="15"/>
        <v>6.9288368696583003E-2</v>
      </c>
      <c r="J38" s="165">
        <v>247</v>
      </c>
      <c r="K38" s="170">
        <f t="shared" si="3"/>
        <v>3.8461454615327825E-3</v>
      </c>
      <c r="L38" s="171">
        <f t="shared" si="16"/>
        <v>5.769218192299174E-4</v>
      </c>
      <c r="M38" s="341">
        <f t="shared" si="17"/>
        <v>6.9865290515812917E-2</v>
      </c>
      <c r="N38" s="172">
        <v>7826</v>
      </c>
      <c r="O38" s="173">
        <v>2619</v>
      </c>
      <c r="P38" s="173">
        <v>3702</v>
      </c>
      <c r="Q38" s="173">
        <v>260</v>
      </c>
      <c r="R38" s="174">
        <f t="shared" si="4"/>
        <v>2.5768872466013677E-2</v>
      </c>
      <c r="S38" s="381">
        <v>16068</v>
      </c>
      <c r="T38" s="381">
        <v>3566</v>
      </c>
      <c r="U38" s="381">
        <v>735</v>
      </c>
      <c r="V38" s="381">
        <v>271</v>
      </c>
      <c r="W38" s="174">
        <f t="shared" si="5"/>
        <v>4.1010767175422999E-2</v>
      </c>
      <c r="X38" s="175">
        <f t="shared" si="6"/>
        <v>3.4859152099109551E-2</v>
      </c>
      <c r="Y38" s="176">
        <f t="shared" si="7"/>
        <v>0.59148473529494594</v>
      </c>
      <c r="Z38" s="176">
        <f t="shared" si="8"/>
        <v>0</v>
      </c>
      <c r="AA38" s="169">
        <f t="shared" si="18"/>
        <v>0</v>
      </c>
      <c r="AB38" s="169">
        <f t="shared" si="9"/>
        <v>0</v>
      </c>
      <c r="AC38" s="341">
        <f t="shared" si="10"/>
        <v>3.4859152099109551E-2</v>
      </c>
      <c r="AD38" s="80"/>
      <c r="AE38" s="130">
        <f t="shared" si="11"/>
        <v>67690366.961339563</v>
      </c>
      <c r="AF38" s="131">
        <f t="shared" si="12"/>
        <v>141612121.93085369</v>
      </c>
      <c r="AG38" s="131">
        <f t="shared" si="13"/>
        <v>70657095.404877499</v>
      </c>
      <c r="AH38" s="131">
        <f t="shared" si="19"/>
        <v>279959584.29707074</v>
      </c>
      <c r="AI38" s="377">
        <f t="shared" si="20"/>
        <v>3.452998483271006E-2</v>
      </c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>
      <c r="A39" s="73" t="s">
        <v>32</v>
      </c>
      <c r="B39" s="165">
        <v>3808697</v>
      </c>
      <c r="C39" s="165">
        <v>1194083</v>
      </c>
      <c r="D39" s="166">
        <f t="shared" si="0"/>
        <v>0.31351483197534485</v>
      </c>
      <c r="E39" s="167">
        <f t="shared" si="14"/>
        <v>374362.73110961571</v>
      </c>
      <c r="F39" s="341">
        <f t="shared" si="1"/>
        <v>2.3508587411436363E-4</v>
      </c>
      <c r="G39" s="129">
        <f>+'CENSO POB 2020'!C34</f>
        <v>5351</v>
      </c>
      <c r="H39" s="168">
        <f t="shared" si="2"/>
        <v>9.2506762104279034E-4</v>
      </c>
      <c r="I39" s="169">
        <f t="shared" si="15"/>
        <v>7.8630747788637173E-4</v>
      </c>
      <c r="J39" s="165">
        <v>3428.68</v>
      </c>
      <c r="K39" s="170">
        <f t="shared" si="3"/>
        <v>5.3389481866591988E-2</v>
      </c>
      <c r="L39" s="171">
        <f t="shared" si="16"/>
        <v>8.0084222799887972E-3</v>
      </c>
      <c r="M39" s="341">
        <f t="shared" si="17"/>
        <v>8.7947297578751683E-3</v>
      </c>
      <c r="N39" s="172">
        <v>900</v>
      </c>
      <c r="O39" s="173">
        <v>170</v>
      </c>
      <c r="P39" s="173">
        <v>749</v>
      </c>
      <c r="Q39" s="173">
        <v>32</v>
      </c>
      <c r="R39" s="174">
        <f t="shared" si="4"/>
        <v>3.2103292508626068E-3</v>
      </c>
      <c r="S39" s="381">
        <v>712</v>
      </c>
      <c r="T39" s="381">
        <v>165</v>
      </c>
      <c r="U39" s="381">
        <v>176</v>
      </c>
      <c r="V39" s="381">
        <v>26</v>
      </c>
      <c r="W39" s="174">
        <f t="shared" si="5"/>
        <v>3.1168281999986646E-3</v>
      </c>
      <c r="X39" s="175">
        <f t="shared" si="6"/>
        <v>2.6493039699988651E-3</v>
      </c>
      <c r="Y39" s="176">
        <f t="shared" si="7"/>
        <v>-2.9125065860088544E-2</v>
      </c>
      <c r="Z39" s="176">
        <f t="shared" si="8"/>
        <v>-2.9125065860088544E-2</v>
      </c>
      <c r="AA39" s="169">
        <f t="shared" si="18"/>
        <v>3.6941748176430168E-3</v>
      </c>
      <c r="AB39" s="169">
        <f t="shared" si="9"/>
        <v>5.5412622264645254E-4</v>
      </c>
      <c r="AC39" s="341">
        <f t="shared" si="10"/>
        <v>3.2034301926453174E-3</v>
      </c>
      <c r="AD39" s="80"/>
      <c r="AE39" s="130">
        <f t="shared" si="11"/>
        <v>953005.68346651865</v>
      </c>
      <c r="AF39" s="131">
        <f t="shared" si="12"/>
        <v>17826310.226810548</v>
      </c>
      <c r="AG39" s="131">
        <f t="shared" si="13"/>
        <v>6493131.9069687612</v>
      </c>
      <c r="AH39" s="131">
        <f t="shared" si="19"/>
        <v>25272447.81724583</v>
      </c>
      <c r="AI39" s="377">
        <f t="shared" si="20"/>
        <v>3.1170829246873035E-3</v>
      </c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>
      <c r="A40" s="73" t="s">
        <v>33</v>
      </c>
      <c r="B40" s="165">
        <v>39439786</v>
      </c>
      <c r="C40" s="165">
        <v>10280239</v>
      </c>
      <c r="D40" s="166">
        <f t="shared" ref="D40:D59" si="21">+C40/B40</f>
        <v>0.26065656137180865</v>
      </c>
      <c r="E40" s="167">
        <f t="shared" si="14"/>
        <v>2679611.7478203606</v>
      </c>
      <c r="F40" s="341">
        <f t="shared" ref="F40:F58" si="22">+E40/E$59</f>
        <v>1.6826965338037809E-3</v>
      </c>
      <c r="G40" s="129">
        <f>+'CENSO POB 2020'!C35</f>
        <v>84666</v>
      </c>
      <c r="H40" s="168">
        <f t="shared" ref="H40:H58" si="23">+G40/$G$59</f>
        <v>1.4636848290638924E-2</v>
      </c>
      <c r="I40" s="169">
        <f t="shared" si="15"/>
        <v>1.2441321047043085E-2</v>
      </c>
      <c r="J40" s="165">
        <v>2539.67</v>
      </c>
      <c r="K40" s="170">
        <f t="shared" ref="K40:K59" si="24">+J40/$J$59</f>
        <v>3.9546316778505917E-2</v>
      </c>
      <c r="L40" s="171">
        <f t="shared" si="16"/>
        <v>5.9319475167758876E-3</v>
      </c>
      <c r="M40" s="341">
        <f t="shared" si="17"/>
        <v>1.8373268563818972E-2</v>
      </c>
      <c r="N40" s="172">
        <v>12929</v>
      </c>
      <c r="O40" s="173">
        <v>1702</v>
      </c>
      <c r="P40" s="173">
        <v>11424</v>
      </c>
      <c r="Q40" s="173">
        <v>888</v>
      </c>
      <c r="R40" s="174">
        <f t="shared" ref="R40:R58" si="25">(0.25*(N40/N$59))+(0.25*(O40/O$59))+(0.25*(P40/P$59))+(0.25*(Q40/Q$59))</f>
        <v>5.2741452105129996E-2</v>
      </c>
      <c r="S40" s="381">
        <v>10672</v>
      </c>
      <c r="T40" s="381">
        <v>1334</v>
      </c>
      <c r="U40" s="381">
        <v>4922</v>
      </c>
      <c r="V40" s="381">
        <v>346</v>
      </c>
      <c r="W40" s="174">
        <f t="shared" ref="W40:W58" si="26">(0.25*(S40/S$59))+(0.25*(T40/T$59))+(0.25*(U40/U$59))+(0.25*(V40/V$59))</f>
        <v>5.1935046247102948E-2</v>
      </c>
      <c r="X40" s="175">
        <f t="shared" ref="X40:X58" si="27">+W40*X$4</f>
        <v>4.4144789310037506E-2</v>
      </c>
      <c r="Y40" s="176">
        <f t="shared" ref="Y40:Y58" si="28">+(W40-R40)/R40</f>
        <v>-1.5289792484659552E-2</v>
      </c>
      <c r="Z40" s="176">
        <f t="shared" si="8"/>
        <v>-1.5289792484659552E-2</v>
      </c>
      <c r="AA40" s="169">
        <f t="shared" si="18"/>
        <v>1.9393317987726278E-3</v>
      </c>
      <c r="AB40" s="169">
        <f t="shared" ref="AB40:AB58" si="29">+AA40*AB$4</f>
        <v>2.9089976981589414E-4</v>
      </c>
      <c r="AC40" s="341">
        <f t="shared" si="10"/>
        <v>4.4435689079853402E-2</v>
      </c>
      <c r="AD40" s="80"/>
      <c r="AE40" s="130">
        <f t="shared" ref="AE40:AE58" si="30">+F40*AE$6</f>
        <v>6821419.4762050733</v>
      </c>
      <c r="AF40" s="131">
        <f t="shared" ref="AF40:AF58" si="31">+M40*AF$6</f>
        <v>37241347.297324397</v>
      </c>
      <c r="AG40" s="131">
        <f t="shared" ref="AG40:AG58" si="32">+AC40*AG$6</f>
        <v>90068074.91387251</v>
      </c>
      <c r="AH40" s="131">
        <f t="shared" si="19"/>
        <v>134130841.68740198</v>
      </c>
      <c r="AI40" s="377">
        <f t="shared" si="20"/>
        <v>1.6543587677819983E-2</v>
      </c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>
      <c r="A41" s="73" t="s">
        <v>34</v>
      </c>
      <c r="B41" s="165">
        <v>2142351</v>
      </c>
      <c r="C41" s="165">
        <v>940947</v>
      </c>
      <c r="D41" s="166">
        <f t="shared" si="21"/>
        <v>0.43921234195516984</v>
      </c>
      <c r="E41" s="167">
        <f t="shared" si="14"/>
        <v>413275.53552569117</v>
      </c>
      <c r="F41" s="341">
        <f t="shared" si="22"/>
        <v>2.5952166827923688E-4</v>
      </c>
      <c r="G41" s="129">
        <f>+'CENSO POB 2020'!C39</f>
        <v>5119</v>
      </c>
      <c r="H41" s="168">
        <f t="shared" si="23"/>
        <v>8.8496003590320376E-4</v>
      </c>
      <c r="I41" s="169">
        <f t="shared" si="15"/>
        <v>7.5221603051772322E-4</v>
      </c>
      <c r="J41" s="165">
        <v>264.23</v>
      </c>
      <c r="K41" s="170">
        <f t="shared" si="24"/>
        <v>4.114441357493147E-3</v>
      </c>
      <c r="L41" s="171">
        <f t="shared" si="16"/>
        <v>6.1716620362397201E-4</v>
      </c>
      <c r="M41" s="341">
        <f t="shared" si="17"/>
        <v>1.3693822341416953E-3</v>
      </c>
      <c r="N41" s="172">
        <v>549</v>
      </c>
      <c r="O41" s="173">
        <v>118</v>
      </c>
      <c r="P41" s="173">
        <v>143</v>
      </c>
      <c r="Q41" s="173">
        <v>8</v>
      </c>
      <c r="R41" s="174">
        <f t="shared" si="25"/>
        <v>1.1599041643378795E-3</v>
      </c>
      <c r="S41" s="381">
        <v>274</v>
      </c>
      <c r="T41" s="381">
        <v>106</v>
      </c>
      <c r="U41" s="381">
        <v>22</v>
      </c>
      <c r="V41" s="381">
        <v>0</v>
      </c>
      <c r="W41" s="174">
        <f t="shared" si="26"/>
        <v>7.3954718176878851E-4</v>
      </c>
      <c r="X41" s="175">
        <f t="shared" si="27"/>
        <v>6.2861510450347023E-4</v>
      </c>
      <c r="Y41" s="176">
        <f t="shared" si="28"/>
        <v>-0.36240665004340927</v>
      </c>
      <c r="Z41" s="176">
        <f t="shared" si="8"/>
        <v>-0.36240665004340927</v>
      </c>
      <c r="AA41" s="169">
        <f t="shared" si="18"/>
        <v>4.5967055551669675E-2</v>
      </c>
      <c r="AB41" s="169">
        <f t="shared" si="29"/>
        <v>6.8950583327504512E-3</v>
      </c>
      <c r="AC41" s="341">
        <f t="shared" si="10"/>
        <v>7.5236734372539213E-3</v>
      </c>
      <c r="AD41" s="80"/>
      <c r="AE41" s="130">
        <f t="shared" si="30"/>
        <v>1052065.0200041679</v>
      </c>
      <c r="AF41" s="131">
        <f t="shared" si="31"/>
        <v>2775643.2769334521</v>
      </c>
      <c r="AG41" s="131">
        <f t="shared" si="32"/>
        <v>15249966.790350366</v>
      </c>
      <c r="AH41" s="131">
        <f t="shared" si="19"/>
        <v>19077675.087287985</v>
      </c>
      <c r="AI41" s="377">
        <f t="shared" si="20"/>
        <v>2.3530247519885222E-3</v>
      </c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>
      <c r="A42" s="73" t="s">
        <v>35</v>
      </c>
      <c r="B42" s="165">
        <v>758867</v>
      </c>
      <c r="C42" s="165">
        <v>301669</v>
      </c>
      <c r="D42" s="166">
        <f t="shared" si="21"/>
        <v>0.39752552159996418</v>
      </c>
      <c r="E42" s="167">
        <f t="shared" si="14"/>
        <v>119921.1265755396</v>
      </c>
      <c r="F42" s="341">
        <f t="shared" si="22"/>
        <v>7.5306008112050149E-5</v>
      </c>
      <c r="G42" s="129">
        <f>+'CENSO POB 2020'!C40</f>
        <v>1483</v>
      </c>
      <c r="H42" s="168">
        <f t="shared" si="23"/>
        <v>2.5637736535347747E-4</v>
      </c>
      <c r="I42" s="169">
        <f t="shared" si="15"/>
        <v>2.1792076055045584E-4</v>
      </c>
      <c r="J42" s="165">
        <v>207.92</v>
      </c>
      <c r="K42" s="170">
        <f t="shared" si="24"/>
        <v>3.2376136208983647E-3</v>
      </c>
      <c r="L42" s="171">
        <f t="shared" si="16"/>
        <v>4.8564204313475466E-4</v>
      </c>
      <c r="M42" s="341">
        <f t="shared" si="17"/>
        <v>7.0356280368521053E-4</v>
      </c>
      <c r="N42" s="172">
        <v>166</v>
      </c>
      <c r="O42" s="173">
        <v>28</v>
      </c>
      <c r="P42" s="173">
        <v>16</v>
      </c>
      <c r="Q42" s="173">
        <v>3</v>
      </c>
      <c r="R42" s="174">
        <f t="shared" si="25"/>
        <v>2.7977761574675224E-4</v>
      </c>
      <c r="S42" s="381">
        <v>122</v>
      </c>
      <c r="T42" s="381">
        <v>17</v>
      </c>
      <c r="U42" s="381">
        <v>14</v>
      </c>
      <c r="V42" s="381">
        <v>3</v>
      </c>
      <c r="W42" s="174">
        <f t="shared" si="26"/>
        <v>3.5150700653175136E-4</v>
      </c>
      <c r="X42" s="175">
        <f t="shared" si="27"/>
        <v>2.9878095555198867E-4</v>
      </c>
      <c r="Y42" s="176">
        <f t="shared" si="28"/>
        <v>0.25638002022980561</v>
      </c>
      <c r="Z42" s="176">
        <f t="shared" si="8"/>
        <v>0</v>
      </c>
      <c r="AA42" s="169">
        <f t="shared" si="18"/>
        <v>0</v>
      </c>
      <c r="AB42" s="169">
        <f t="shared" si="29"/>
        <v>0</v>
      </c>
      <c r="AC42" s="341">
        <f t="shared" si="10"/>
        <v>2.9878095555198867E-4</v>
      </c>
      <c r="AD42" s="80"/>
      <c r="AE42" s="130">
        <f t="shared" si="30"/>
        <v>305280.1619847503</v>
      </c>
      <c r="AF42" s="131">
        <f t="shared" si="31"/>
        <v>1426073.2447528138</v>
      </c>
      <c r="AG42" s="131">
        <f t="shared" si="32"/>
        <v>605608.37571653351</v>
      </c>
      <c r="AH42" s="131">
        <f t="shared" si="19"/>
        <v>2336961.7824540976</v>
      </c>
      <c r="AI42" s="377">
        <f t="shared" si="20"/>
        <v>2.8823894386532483E-4</v>
      </c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>
      <c r="A43" s="73" t="s">
        <v>36</v>
      </c>
      <c r="B43" s="165">
        <v>746282</v>
      </c>
      <c r="C43" s="165">
        <v>64774</v>
      </c>
      <c r="D43" s="166">
        <f t="shared" si="21"/>
        <v>8.6795608094527271E-2</v>
      </c>
      <c r="E43" s="167">
        <f t="shared" si="14"/>
        <v>5622.0987187149094</v>
      </c>
      <c r="F43" s="341">
        <f t="shared" si="22"/>
        <v>3.5304689324412032E-6</v>
      </c>
      <c r="G43" s="129">
        <f>+'CENSO POB 2020'!C41</f>
        <v>7652</v>
      </c>
      <c r="H43" s="168">
        <f t="shared" si="23"/>
        <v>1.322858799517741E-3</v>
      </c>
      <c r="I43" s="169">
        <f t="shared" si="15"/>
        <v>1.1244299795900798E-3</v>
      </c>
      <c r="J43" s="165">
        <v>1006.78</v>
      </c>
      <c r="K43" s="170">
        <f t="shared" si="24"/>
        <v>1.5677013472720547E-2</v>
      </c>
      <c r="L43" s="171">
        <f t="shared" si="16"/>
        <v>2.3515520209080819E-3</v>
      </c>
      <c r="M43" s="341">
        <f t="shared" si="17"/>
        <v>3.4759820004981617E-3</v>
      </c>
      <c r="N43" s="172">
        <v>1457</v>
      </c>
      <c r="O43" s="173">
        <v>656</v>
      </c>
      <c r="P43" s="173">
        <v>3161</v>
      </c>
      <c r="Q43" s="173">
        <v>242</v>
      </c>
      <c r="R43" s="174">
        <f t="shared" si="25"/>
        <v>1.3917613986608209E-2</v>
      </c>
      <c r="S43" s="381">
        <v>1104</v>
      </c>
      <c r="T43" s="381">
        <v>595</v>
      </c>
      <c r="U43" s="381">
        <v>4358</v>
      </c>
      <c r="V43" s="381">
        <v>125</v>
      </c>
      <c r="W43" s="174">
        <f t="shared" si="26"/>
        <v>2.992363055734365E-2</v>
      </c>
      <c r="X43" s="175">
        <f t="shared" si="27"/>
        <v>2.54350859737421E-2</v>
      </c>
      <c r="Y43" s="176">
        <f t="shared" si="28"/>
        <v>1.1500546419908424</v>
      </c>
      <c r="Z43" s="176">
        <f t="shared" si="8"/>
        <v>0</v>
      </c>
      <c r="AA43" s="169">
        <f t="shared" si="18"/>
        <v>0</v>
      </c>
      <c r="AB43" s="169">
        <f t="shared" si="29"/>
        <v>0</v>
      </c>
      <c r="AC43" s="341">
        <f t="shared" si="10"/>
        <v>2.54350859737421E-2</v>
      </c>
      <c r="AD43" s="80"/>
      <c r="AE43" s="130">
        <f t="shared" si="30"/>
        <v>14312.03372211834</v>
      </c>
      <c r="AF43" s="131">
        <f t="shared" si="31"/>
        <v>7045575.6105757169</v>
      </c>
      <c r="AG43" s="131">
        <f t="shared" si="32"/>
        <v>51555163.796536066</v>
      </c>
      <c r="AH43" s="131">
        <f t="shared" si="19"/>
        <v>58615051.440833904</v>
      </c>
      <c r="AI43" s="377">
        <f t="shared" si="20"/>
        <v>7.2295322280262857E-3</v>
      </c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>
      <c r="A44" s="73" t="s">
        <v>37</v>
      </c>
      <c r="B44" s="165">
        <v>4564482</v>
      </c>
      <c r="C44" s="165">
        <v>1105076</v>
      </c>
      <c r="D44" s="166">
        <f t="shared" si="21"/>
        <v>0.24210326604420832</v>
      </c>
      <c r="E44" s="167">
        <f t="shared" si="14"/>
        <v>267542.50882706954</v>
      </c>
      <c r="F44" s="341">
        <f t="shared" si="22"/>
        <v>1.680067467291377E-4</v>
      </c>
      <c r="G44" s="129">
        <f>+'CENSO POB 2020'!C42</f>
        <v>6048</v>
      </c>
      <c r="H44" s="168">
        <f t="shared" si="23"/>
        <v>1.0455632539837032E-3</v>
      </c>
      <c r="I44" s="169">
        <f t="shared" si="15"/>
        <v>8.8872876588614767E-4</v>
      </c>
      <c r="J44" s="165">
        <v>3872.26</v>
      </c>
      <c r="K44" s="170">
        <f t="shared" si="24"/>
        <v>6.0296660829453175E-2</v>
      </c>
      <c r="L44" s="171">
        <f t="shared" si="16"/>
        <v>9.0444991244179752E-3</v>
      </c>
      <c r="M44" s="341">
        <f t="shared" si="17"/>
        <v>9.9332278903041232E-3</v>
      </c>
      <c r="N44" s="172">
        <v>871</v>
      </c>
      <c r="O44" s="173">
        <v>247</v>
      </c>
      <c r="P44" s="173">
        <v>493</v>
      </c>
      <c r="Q44" s="173">
        <v>128</v>
      </c>
      <c r="R44" s="174">
        <f t="shared" si="25"/>
        <v>4.6848694940444004E-3</v>
      </c>
      <c r="S44" s="381">
        <v>542</v>
      </c>
      <c r="T44" s="381">
        <v>203</v>
      </c>
      <c r="U44" s="381">
        <v>151</v>
      </c>
      <c r="V44" s="381">
        <v>39</v>
      </c>
      <c r="W44" s="174">
        <f t="shared" si="26"/>
        <v>3.5233788487838008E-3</v>
      </c>
      <c r="X44" s="175">
        <f t="shared" si="27"/>
        <v>2.9948720214662307E-3</v>
      </c>
      <c r="Y44" s="176">
        <f t="shared" si="28"/>
        <v>-0.24792379952891633</v>
      </c>
      <c r="Z44" s="176">
        <f t="shared" si="8"/>
        <v>-0.24792379952891633</v>
      </c>
      <c r="AA44" s="169">
        <f t="shared" si="18"/>
        <v>3.144624157465558E-2</v>
      </c>
      <c r="AB44" s="169">
        <f t="shared" si="29"/>
        <v>4.7169362361983366E-3</v>
      </c>
      <c r="AC44" s="341">
        <f t="shared" si="10"/>
        <v>7.7118082576645673E-3</v>
      </c>
      <c r="AD44" s="80"/>
      <c r="AE44" s="130">
        <f t="shared" si="30"/>
        <v>681076.16034682642</v>
      </c>
      <c r="AF44" s="131">
        <f t="shared" si="31"/>
        <v>20133967.364671979</v>
      </c>
      <c r="AG44" s="131">
        <f t="shared" si="32"/>
        <v>15631303.086681971</v>
      </c>
      <c r="AH44" s="131">
        <f t="shared" si="19"/>
        <v>36446346.611700773</v>
      </c>
      <c r="AI44" s="377">
        <f t="shared" si="20"/>
        <v>4.4952624103567406E-3</v>
      </c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>
      <c r="A45" s="73" t="s">
        <v>38</v>
      </c>
      <c r="B45" s="165">
        <v>56486259</v>
      </c>
      <c r="C45" s="165">
        <v>16891683.199999999</v>
      </c>
      <c r="D45" s="166">
        <f t="shared" si="21"/>
        <v>0.29904057197344225</v>
      </c>
      <c r="E45" s="167">
        <f t="shared" si="14"/>
        <v>5051298.6057221852</v>
      </c>
      <c r="F45" s="341">
        <f t="shared" si="22"/>
        <v>3.1720276872089655E-3</v>
      </c>
      <c r="G45" s="129">
        <f>+'CENSO POB 2020'!C43</f>
        <v>67428</v>
      </c>
      <c r="H45" s="168">
        <f t="shared" si="23"/>
        <v>1.1656785563758786E-2</v>
      </c>
      <c r="I45" s="169">
        <f t="shared" si="15"/>
        <v>9.9082677291949667E-3</v>
      </c>
      <c r="J45" s="165">
        <v>1869.3</v>
      </c>
      <c r="K45" s="170">
        <f t="shared" si="24"/>
        <v>2.9107691138636562E-2</v>
      </c>
      <c r="L45" s="171">
        <f t="shared" si="16"/>
        <v>4.3661536707954845E-3</v>
      </c>
      <c r="M45" s="341">
        <f t="shared" si="17"/>
        <v>1.4274421399990451E-2</v>
      </c>
      <c r="N45" s="172">
        <v>9097</v>
      </c>
      <c r="O45" s="173">
        <v>1434</v>
      </c>
      <c r="P45" s="173">
        <v>7372</v>
      </c>
      <c r="Q45" s="173">
        <v>494</v>
      </c>
      <c r="R45" s="174">
        <f t="shared" si="25"/>
        <v>3.4181623783210227E-2</v>
      </c>
      <c r="S45" s="381">
        <v>5868</v>
      </c>
      <c r="T45" s="381">
        <v>977</v>
      </c>
      <c r="U45" s="381">
        <v>2574</v>
      </c>
      <c r="V45" s="381">
        <v>206</v>
      </c>
      <c r="W45" s="174">
        <f t="shared" si="26"/>
        <v>2.9472936173387289E-2</v>
      </c>
      <c r="X45" s="175">
        <f t="shared" si="27"/>
        <v>2.5051995747379194E-2</v>
      </c>
      <c r="Y45" s="176">
        <f t="shared" si="28"/>
        <v>-0.13775494223699847</v>
      </c>
      <c r="Z45" s="176">
        <f t="shared" si="8"/>
        <v>-0.13775494223699847</v>
      </c>
      <c r="AA45" s="169">
        <f t="shared" si="18"/>
        <v>1.7472607308852313E-2</v>
      </c>
      <c r="AB45" s="169">
        <f t="shared" si="29"/>
        <v>2.6208910963278469E-3</v>
      </c>
      <c r="AC45" s="341">
        <f t="shared" si="10"/>
        <v>2.7672886843707042E-2</v>
      </c>
      <c r="AD45" s="80"/>
      <c r="AE45" s="130">
        <f t="shared" si="30"/>
        <v>12858962.391558681</v>
      </c>
      <c r="AF45" s="131">
        <f t="shared" si="31"/>
        <v>28933266.98942611</v>
      </c>
      <c r="AG45" s="131">
        <f t="shared" si="32"/>
        <v>56091031.711988598</v>
      </c>
      <c r="AH45" s="131">
        <f t="shared" si="19"/>
        <v>97883261.092973381</v>
      </c>
      <c r="AI45" s="377">
        <f t="shared" si="20"/>
        <v>1.2072840904528854E-2</v>
      </c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>
      <c r="A46" s="73" t="s">
        <v>39</v>
      </c>
      <c r="B46" s="165">
        <v>2430413136</v>
      </c>
      <c r="C46" s="165">
        <v>1205887491.6800001</v>
      </c>
      <c r="D46" s="166">
        <f t="shared" si="21"/>
        <v>0.49616564106654831</v>
      </c>
      <c r="E46" s="167">
        <f t="shared" si="14"/>
        <v>598319940.36353922</v>
      </c>
      <c r="F46" s="341">
        <f t="shared" si="22"/>
        <v>0.37572267347101768</v>
      </c>
      <c r="G46" s="129">
        <f>+'CENSO POB 2020'!C44</f>
        <v>1142994</v>
      </c>
      <c r="H46" s="168">
        <f t="shared" si="23"/>
        <v>0.19759797055619194</v>
      </c>
      <c r="I46" s="169">
        <f t="shared" si="15"/>
        <v>0.16795827497276314</v>
      </c>
      <c r="J46" s="165">
        <v>323.60000000000002</v>
      </c>
      <c r="K46" s="170">
        <f t="shared" si="24"/>
        <v>5.0389176977814112E-3</v>
      </c>
      <c r="L46" s="171">
        <f t="shared" si="16"/>
        <v>7.558376546672117E-4</v>
      </c>
      <c r="M46" s="341">
        <f t="shared" si="17"/>
        <v>0.16871411262743036</v>
      </c>
      <c r="N46" s="172">
        <v>123398</v>
      </c>
      <c r="O46" s="173">
        <v>19246</v>
      </c>
      <c r="P46" s="173">
        <v>4982</v>
      </c>
      <c r="Q46" s="173">
        <v>694</v>
      </c>
      <c r="R46" s="174">
        <f t="shared" si="25"/>
        <v>0.16061061815025374</v>
      </c>
      <c r="S46" s="381">
        <v>88874</v>
      </c>
      <c r="T46" s="381">
        <v>14067</v>
      </c>
      <c r="U46" s="381">
        <v>2251</v>
      </c>
      <c r="V46" s="381">
        <v>390</v>
      </c>
      <c r="W46" s="174">
        <f t="shared" si="26"/>
        <v>0.15160210020364842</v>
      </c>
      <c r="X46" s="175">
        <f t="shared" si="27"/>
        <v>0.12886178517310115</v>
      </c>
      <c r="Y46" s="176">
        <f t="shared" si="28"/>
        <v>-5.6089180468614511E-2</v>
      </c>
      <c r="Z46" s="176">
        <f t="shared" si="8"/>
        <v>-5.6089180468614511E-2</v>
      </c>
      <c r="AA46" s="169">
        <f t="shared" si="18"/>
        <v>7.1142581796984246E-3</v>
      </c>
      <c r="AB46" s="169">
        <f t="shared" si="29"/>
        <v>1.0671387269547636E-3</v>
      </c>
      <c r="AC46" s="341">
        <f t="shared" si="10"/>
        <v>0.12992892390005592</v>
      </c>
      <c r="AD46" s="80"/>
      <c r="AE46" s="130">
        <f t="shared" si="30"/>
        <v>1523127855.1893098</v>
      </c>
      <c r="AF46" s="131">
        <f t="shared" si="31"/>
        <v>341971862.0284543</v>
      </c>
      <c r="AG46" s="131">
        <f t="shared" si="32"/>
        <v>263356961.34427276</v>
      </c>
      <c r="AH46" s="131">
        <f t="shared" si="19"/>
        <v>2128456678.562037</v>
      </c>
      <c r="AI46" s="377">
        <f t="shared" si="20"/>
        <v>0.2625220958673804</v>
      </c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>
      <c r="A47" s="73" t="s">
        <v>40</v>
      </c>
      <c r="B47" s="165">
        <v>1354101</v>
      </c>
      <c r="C47" s="165">
        <v>451420</v>
      </c>
      <c r="D47" s="166">
        <f t="shared" si="21"/>
        <v>0.33337247369287815</v>
      </c>
      <c r="E47" s="167">
        <f t="shared" si="14"/>
        <v>150491.00207443905</v>
      </c>
      <c r="F47" s="341">
        <f t="shared" si="22"/>
        <v>9.4502753156422046E-5</v>
      </c>
      <c r="G47" s="129">
        <f>+'CENSO POB 2020'!C45</f>
        <v>906</v>
      </c>
      <c r="H47" s="168">
        <f t="shared" si="23"/>
        <v>1.5662703507097141E-4</v>
      </c>
      <c r="I47" s="169">
        <f t="shared" si="15"/>
        <v>1.331329798103257E-4</v>
      </c>
      <c r="J47" s="165">
        <v>1172.6600000000001</v>
      </c>
      <c r="K47" s="170">
        <f t="shared" si="24"/>
        <v>1.8260003793202563E-2</v>
      </c>
      <c r="L47" s="171">
        <f t="shared" si="16"/>
        <v>2.7390005689803842E-3</v>
      </c>
      <c r="M47" s="341">
        <f t="shared" si="17"/>
        <v>2.8721335487907097E-3</v>
      </c>
      <c r="N47" s="172">
        <v>244</v>
      </c>
      <c r="O47" s="173">
        <v>43</v>
      </c>
      <c r="P47" s="173">
        <v>84</v>
      </c>
      <c r="Q47" s="173">
        <v>27</v>
      </c>
      <c r="R47" s="174">
        <f t="shared" si="25"/>
        <v>9.5179838848569989E-4</v>
      </c>
      <c r="S47" s="381">
        <v>96</v>
      </c>
      <c r="T47" s="381">
        <v>31</v>
      </c>
      <c r="U47" s="381">
        <v>6</v>
      </c>
      <c r="V47" s="381">
        <v>9</v>
      </c>
      <c r="W47" s="174">
        <f t="shared" si="26"/>
        <v>5.8424890460386024E-4</v>
      </c>
      <c r="X47" s="175">
        <f t="shared" si="27"/>
        <v>4.9661156891328117E-4</v>
      </c>
      <c r="Y47" s="176">
        <f t="shared" si="28"/>
        <v>-0.38616317103310777</v>
      </c>
      <c r="Z47" s="176">
        <f t="shared" si="8"/>
        <v>-0.38616317103310777</v>
      </c>
      <c r="AA47" s="169">
        <f t="shared" si="18"/>
        <v>4.8980293084471778E-2</v>
      </c>
      <c r="AB47" s="169">
        <f t="shared" si="29"/>
        <v>7.3470439626707662E-3</v>
      </c>
      <c r="AC47" s="341">
        <f t="shared" si="10"/>
        <v>7.8436555315840473E-3</v>
      </c>
      <c r="AD47" s="80"/>
      <c r="AE47" s="130">
        <f t="shared" si="30"/>
        <v>383101.11656258366</v>
      </c>
      <c r="AF47" s="131">
        <f t="shared" si="31"/>
        <v>5821616.4752222532</v>
      </c>
      <c r="AG47" s="131">
        <f t="shared" si="32"/>
        <v>15898548.411115427</v>
      </c>
      <c r="AH47" s="131">
        <f t="shared" si="19"/>
        <v>22103266.002900265</v>
      </c>
      <c r="AI47" s="377">
        <f t="shared" si="20"/>
        <v>2.7261986466719E-3</v>
      </c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>
      <c r="A48" s="73" t="s">
        <v>41</v>
      </c>
      <c r="B48" s="165">
        <v>81632998</v>
      </c>
      <c r="C48" s="165">
        <v>17252658</v>
      </c>
      <c r="D48" s="166">
        <f t="shared" si="21"/>
        <v>0.21134416746522039</v>
      </c>
      <c r="E48" s="167">
        <f t="shared" si="14"/>
        <v>3646248.6415721742</v>
      </c>
      <c r="F48" s="341">
        <f t="shared" si="22"/>
        <v>2.289708557797965E-3</v>
      </c>
      <c r="G48" s="129">
        <f>+'CENSO POB 2020'!C46</f>
        <v>147624</v>
      </c>
      <c r="H48" s="168">
        <f t="shared" si="23"/>
        <v>2.5520871330372057E-2</v>
      </c>
      <c r="I48" s="169">
        <f t="shared" si="15"/>
        <v>2.1692740630816248E-2</v>
      </c>
      <c r="J48" s="165">
        <v>308.89</v>
      </c>
      <c r="K48" s="170">
        <f t="shared" si="24"/>
        <v>4.8098618283921504E-3</v>
      </c>
      <c r="L48" s="171">
        <f t="shared" si="16"/>
        <v>7.2147927425882249E-4</v>
      </c>
      <c r="M48" s="341">
        <f t="shared" si="17"/>
        <v>2.241421990507507E-2</v>
      </c>
      <c r="N48" s="172">
        <v>1423</v>
      </c>
      <c r="O48" s="173">
        <v>435</v>
      </c>
      <c r="P48" s="173">
        <v>1115</v>
      </c>
      <c r="Q48" s="173">
        <v>155</v>
      </c>
      <c r="R48" s="174">
        <f t="shared" si="25"/>
        <v>7.4041804496497816E-3</v>
      </c>
      <c r="S48" s="381">
        <v>503</v>
      </c>
      <c r="T48" s="381">
        <v>1210</v>
      </c>
      <c r="U48" s="381">
        <v>251</v>
      </c>
      <c r="V48" s="381">
        <v>178</v>
      </c>
      <c r="W48" s="174">
        <f t="shared" si="26"/>
        <v>1.3450674961734464E-2</v>
      </c>
      <c r="X48" s="175">
        <f t="shared" si="27"/>
        <v>1.1433073717474294E-2</v>
      </c>
      <c r="Y48" s="176">
        <f t="shared" si="28"/>
        <v>0.81663251634698908</v>
      </c>
      <c r="Z48" s="176">
        <f t="shared" si="8"/>
        <v>0</v>
      </c>
      <c r="AA48" s="169">
        <f t="shared" si="18"/>
        <v>0</v>
      </c>
      <c r="AB48" s="169">
        <f t="shared" si="29"/>
        <v>0</v>
      </c>
      <c r="AC48" s="341">
        <f t="shared" si="10"/>
        <v>1.1433073717474294E-2</v>
      </c>
      <c r="AD48" s="80"/>
      <c r="AE48" s="130">
        <f t="shared" si="30"/>
        <v>9282162.4322771709</v>
      </c>
      <c r="AF48" s="131">
        <f t="shared" si="31"/>
        <v>45432076.768707417</v>
      </c>
      <c r="AG48" s="131">
        <f t="shared" si="32"/>
        <v>23174051.340371355</v>
      </c>
      <c r="AH48" s="131">
        <f t="shared" si="19"/>
        <v>77888290.541355938</v>
      </c>
      <c r="AI48" s="377">
        <f t="shared" si="20"/>
        <v>9.606677684536321E-3</v>
      </c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>
      <c r="A49" s="73" t="s">
        <v>42</v>
      </c>
      <c r="B49" s="165">
        <v>7103115</v>
      </c>
      <c r="C49" s="165">
        <v>1075933</v>
      </c>
      <c r="D49" s="166">
        <f t="shared" si="21"/>
        <v>0.15147340286620728</v>
      </c>
      <c r="E49" s="167">
        <f t="shared" si="14"/>
        <v>162975.232766047</v>
      </c>
      <c r="F49" s="341">
        <f t="shared" si="22"/>
        <v>1.0234238579315125E-4</v>
      </c>
      <c r="G49" s="129">
        <f>+'CENSO POB 2020'!C38</f>
        <v>5389</v>
      </c>
      <c r="H49" s="168">
        <f t="shared" si="23"/>
        <v>9.3163696688461914E-4</v>
      </c>
      <c r="I49" s="169">
        <f t="shared" si="15"/>
        <v>7.918914218519263E-4</v>
      </c>
      <c r="J49" s="165">
        <v>1341.58</v>
      </c>
      <c r="K49" s="170">
        <f t="shared" si="24"/>
        <v>2.089033128859575E-2</v>
      </c>
      <c r="L49" s="171">
        <f t="shared" si="16"/>
        <v>3.1335496932893623E-3</v>
      </c>
      <c r="M49" s="341">
        <f t="shared" si="17"/>
        <v>3.9254411151412889E-3</v>
      </c>
      <c r="N49" s="172">
        <v>1104</v>
      </c>
      <c r="O49" s="173">
        <v>264</v>
      </c>
      <c r="P49" s="173">
        <v>999</v>
      </c>
      <c r="Q49" s="173">
        <v>49</v>
      </c>
      <c r="R49" s="174">
        <f t="shared" si="25"/>
        <v>4.4677612588684239E-3</v>
      </c>
      <c r="S49" s="381">
        <v>511</v>
      </c>
      <c r="T49" s="381">
        <v>185</v>
      </c>
      <c r="U49" s="381">
        <v>408</v>
      </c>
      <c r="V49" s="381">
        <v>13</v>
      </c>
      <c r="W49" s="174">
        <f t="shared" si="26"/>
        <v>3.6788504566851081E-3</v>
      </c>
      <c r="X49" s="175">
        <f t="shared" si="27"/>
        <v>3.127022888182342E-3</v>
      </c>
      <c r="Y49" s="176">
        <f t="shared" si="28"/>
        <v>-0.17657854940600112</v>
      </c>
      <c r="Z49" s="176">
        <f t="shared" si="8"/>
        <v>-0.17657854940600112</v>
      </c>
      <c r="AA49" s="169">
        <f t="shared" si="18"/>
        <v>2.2396928943789158E-2</v>
      </c>
      <c r="AB49" s="169">
        <f t="shared" si="29"/>
        <v>3.3595393415683738E-3</v>
      </c>
      <c r="AC49" s="341">
        <f t="shared" si="10"/>
        <v>6.4865622297507163E-3</v>
      </c>
      <c r="AD49" s="80"/>
      <c r="AE49" s="130">
        <f t="shared" si="30"/>
        <v>414881.90512437525</v>
      </c>
      <c r="AF49" s="131">
        <f t="shared" si="31"/>
        <v>7956598.2153034555</v>
      </c>
      <c r="AG49" s="131">
        <f t="shared" si="32"/>
        <v>13147813.951816652</v>
      </c>
      <c r="AH49" s="131">
        <f t="shared" si="19"/>
        <v>21519294.072244484</v>
      </c>
      <c r="AI49" s="377">
        <f t="shared" si="20"/>
        <v>2.6541720291195768E-3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>
      <c r="A50" s="73" t="s">
        <v>43</v>
      </c>
      <c r="B50" s="165">
        <v>939947</v>
      </c>
      <c r="C50" s="165">
        <v>222448</v>
      </c>
      <c r="D50" s="166">
        <f t="shared" si="21"/>
        <v>0.23666015211495967</v>
      </c>
      <c r="E50" s="167">
        <f t="shared" si="14"/>
        <v>52644.577517668549</v>
      </c>
      <c r="F50" s="341">
        <f t="shared" si="22"/>
        <v>3.3058837044061201E-5</v>
      </c>
      <c r="G50" s="129">
        <f>+'CENSO POB 2020'!C47</f>
        <v>2377</v>
      </c>
      <c r="H50" s="168">
        <f t="shared" si="23"/>
        <v>4.1092987015860824E-4</v>
      </c>
      <c r="I50" s="169">
        <f t="shared" si="15"/>
        <v>3.4929038963481702E-4</v>
      </c>
      <c r="J50" s="165">
        <v>673.76</v>
      </c>
      <c r="K50" s="170">
        <f t="shared" si="24"/>
        <v>1.0491412818470961E-2</v>
      </c>
      <c r="L50" s="171">
        <f t="shared" si="16"/>
        <v>1.5737119227706442E-3</v>
      </c>
      <c r="M50" s="341">
        <f t="shared" si="17"/>
        <v>1.9230023124054611E-3</v>
      </c>
      <c r="N50" s="172">
        <v>671</v>
      </c>
      <c r="O50" s="173">
        <v>212</v>
      </c>
      <c r="P50" s="173">
        <v>872</v>
      </c>
      <c r="Q50" s="173">
        <v>90</v>
      </c>
      <c r="R50" s="174">
        <f t="shared" si="25"/>
        <v>4.525928718865738E-3</v>
      </c>
      <c r="S50" s="381">
        <v>601</v>
      </c>
      <c r="T50" s="381">
        <v>181</v>
      </c>
      <c r="U50" s="381">
        <v>344</v>
      </c>
      <c r="V50" s="381">
        <v>35</v>
      </c>
      <c r="W50" s="174">
        <f t="shared" si="26"/>
        <v>4.2886635759769205E-3</v>
      </c>
      <c r="X50" s="175">
        <f t="shared" si="27"/>
        <v>3.6453640395803823E-3</v>
      </c>
      <c r="Y50" s="176">
        <f t="shared" si="28"/>
        <v>-5.242352622563607E-2</v>
      </c>
      <c r="Z50" s="176">
        <f t="shared" si="8"/>
        <v>-5.242352622563607E-2</v>
      </c>
      <c r="AA50" s="169">
        <f t="shared" si="18"/>
        <v>6.6493127042221312E-3</v>
      </c>
      <c r="AB50" s="169">
        <f t="shared" si="29"/>
        <v>9.9739690563331964E-4</v>
      </c>
      <c r="AC50" s="341">
        <f t="shared" si="10"/>
        <v>4.6427609452137017E-3</v>
      </c>
      <c r="AD50" s="80"/>
      <c r="AE50" s="130">
        <f t="shared" si="30"/>
        <v>134015.96208395431</v>
      </c>
      <c r="AF50" s="131">
        <f t="shared" si="31"/>
        <v>3897792.9659655574</v>
      </c>
      <c r="AG50" s="131">
        <f t="shared" si="32"/>
        <v>9410556.0030642096</v>
      </c>
      <c r="AH50" s="131">
        <f t="shared" si="19"/>
        <v>13442364.931113722</v>
      </c>
      <c r="AI50" s="377">
        <f t="shared" si="20"/>
        <v>1.6579702329268212E-3</v>
      </c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>
      <c r="A51" s="73" t="s">
        <v>44</v>
      </c>
      <c r="B51" s="165">
        <v>19089007</v>
      </c>
      <c r="C51" s="165">
        <v>7881801</v>
      </c>
      <c r="D51" s="166">
        <f t="shared" si="21"/>
        <v>0.41289738119955638</v>
      </c>
      <c r="E51" s="167">
        <f t="shared" si="14"/>
        <v>3254374.9920360446</v>
      </c>
      <c r="F51" s="341">
        <f t="shared" si="22"/>
        <v>2.0436264780713579E-3</v>
      </c>
      <c r="G51" s="129">
        <f>+'CENSO POB 2020'!C48</f>
        <v>34709</v>
      </c>
      <c r="H51" s="168">
        <f t="shared" si="23"/>
        <v>6.0004059164220159E-3</v>
      </c>
      <c r="I51" s="169">
        <f t="shared" si="15"/>
        <v>5.1003450289587131E-3</v>
      </c>
      <c r="J51" s="165">
        <v>1542.15</v>
      </c>
      <c r="K51" s="170">
        <f t="shared" si="24"/>
        <v>2.4013494831995066E-2</v>
      </c>
      <c r="L51" s="171">
        <f t="shared" si="16"/>
        <v>3.6020242247992596E-3</v>
      </c>
      <c r="M51" s="341">
        <f t="shared" si="17"/>
        <v>8.7023692537579727E-3</v>
      </c>
      <c r="N51" s="172">
        <v>4789</v>
      </c>
      <c r="O51" s="173">
        <v>841</v>
      </c>
      <c r="P51" s="173">
        <v>1534</v>
      </c>
      <c r="Q51" s="173">
        <v>182</v>
      </c>
      <c r="R51" s="174">
        <f t="shared" si="25"/>
        <v>1.2100958797318876E-2</v>
      </c>
      <c r="S51" s="381">
        <v>3480</v>
      </c>
      <c r="T51" s="381">
        <v>651</v>
      </c>
      <c r="U51" s="381">
        <v>448</v>
      </c>
      <c r="V51" s="381">
        <v>54</v>
      </c>
      <c r="W51" s="174">
        <f t="shared" si="26"/>
        <v>9.6638113247926177E-3</v>
      </c>
      <c r="X51" s="175">
        <f t="shared" si="27"/>
        <v>8.214239626073724E-3</v>
      </c>
      <c r="Y51" s="176">
        <f t="shared" si="28"/>
        <v>-0.20140118757087577</v>
      </c>
      <c r="Z51" s="176">
        <f t="shared" si="8"/>
        <v>-0.20140118757087577</v>
      </c>
      <c r="AA51" s="169">
        <f t="shared" si="18"/>
        <v>2.5545391002438238E-2</v>
      </c>
      <c r="AB51" s="169">
        <f t="shared" si="29"/>
        <v>3.8318086503657356E-3</v>
      </c>
      <c r="AC51" s="341">
        <f t="shared" si="10"/>
        <v>1.204604827643946E-2</v>
      </c>
      <c r="AD51" s="80"/>
      <c r="AE51" s="130">
        <f t="shared" si="30"/>
        <v>8284579.6491252128</v>
      </c>
      <c r="AF51" s="131">
        <f t="shared" si="31"/>
        <v>17639101.859478571</v>
      </c>
      <c r="AG51" s="131">
        <f t="shared" si="32"/>
        <v>24416508.465272874</v>
      </c>
      <c r="AH51" s="131">
        <f t="shared" si="19"/>
        <v>50340189.973876655</v>
      </c>
      <c r="AI51" s="377">
        <f t="shared" si="20"/>
        <v>6.2089176215850356E-3</v>
      </c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>
      <c r="A52" s="73" t="s">
        <v>45</v>
      </c>
      <c r="B52" s="165">
        <v>119215481</v>
      </c>
      <c r="C52" s="165">
        <v>19038713.890000001</v>
      </c>
      <c r="D52" s="166">
        <f t="shared" si="21"/>
        <v>0.15970001320549973</v>
      </c>
      <c r="E52" s="167">
        <f t="shared" si="14"/>
        <v>3040482.8596487311</v>
      </c>
      <c r="F52" s="341">
        <f t="shared" si="22"/>
        <v>1.9093101727077942E-3</v>
      </c>
      <c r="G52" s="129">
        <f>+'CENSO POB 2020'!C49</f>
        <v>86766</v>
      </c>
      <c r="H52" s="168">
        <f t="shared" si="23"/>
        <v>1.4999891087161044E-2</v>
      </c>
      <c r="I52" s="169">
        <f t="shared" si="15"/>
        <v>1.2749907424086887E-2</v>
      </c>
      <c r="J52" s="165">
        <v>1658.08</v>
      </c>
      <c r="K52" s="170">
        <f t="shared" si="24"/>
        <v>2.5818691768656987E-2</v>
      </c>
      <c r="L52" s="171">
        <f t="shared" si="16"/>
        <v>3.8728037652985478E-3</v>
      </c>
      <c r="M52" s="341">
        <f t="shared" si="17"/>
        <v>1.6622711189385436E-2</v>
      </c>
      <c r="N52" s="172">
        <v>2382</v>
      </c>
      <c r="O52" s="173">
        <v>775</v>
      </c>
      <c r="P52" s="173">
        <v>2276</v>
      </c>
      <c r="Q52" s="173">
        <v>675</v>
      </c>
      <c r="R52" s="174">
        <f t="shared" si="25"/>
        <v>2.0954130559288194E-2</v>
      </c>
      <c r="S52" s="381">
        <v>1796</v>
      </c>
      <c r="T52" s="381">
        <v>951</v>
      </c>
      <c r="U52" s="381">
        <v>379</v>
      </c>
      <c r="V52" s="381">
        <v>86</v>
      </c>
      <c r="W52" s="174">
        <f t="shared" si="26"/>
        <v>1.0438730367327814E-2</v>
      </c>
      <c r="X52" s="175">
        <f t="shared" si="27"/>
        <v>8.8729208122286414E-3</v>
      </c>
      <c r="Y52" s="176">
        <f t="shared" si="28"/>
        <v>-0.50182946804725759</v>
      </c>
      <c r="Z52" s="176">
        <f t="shared" si="8"/>
        <v>-0.50182946804725759</v>
      </c>
      <c r="AA52" s="169">
        <f t="shared" si="18"/>
        <v>6.3651213443324167E-2</v>
      </c>
      <c r="AB52" s="169">
        <f t="shared" si="29"/>
        <v>9.5476820164986254E-3</v>
      </c>
      <c r="AC52" s="341">
        <f t="shared" si="10"/>
        <v>1.8420602828727269E-2</v>
      </c>
      <c r="AD52" s="80"/>
      <c r="AE52" s="130">
        <f t="shared" si="30"/>
        <v>7740079.8875979446</v>
      </c>
      <c r="AF52" s="131">
        <f t="shared" si="31"/>
        <v>33693088.318867438</v>
      </c>
      <c r="AG52" s="131">
        <f t="shared" si="32"/>
        <v>37337290.585389361</v>
      </c>
      <c r="AH52" s="131">
        <f t="shared" si="19"/>
        <v>78770458.791854739</v>
      </c>
      <c r="AI52" s="377">
        <f t="shared" si="20"/>
        <v>9.7154835908820712E-3</v>
      </c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>
      <c r="A53" s="73" t="s">
        <v>46</v>
      </c>
      <c r="B53" s="165">
        <v>642295900</v>
      </c>
      <c r="C53" s="165">
        <v>306694612.58999997</v>
      </c>
      <c r="D53" s="166">
        <f t="shared" si="21"/>
        <v>0.47749738491246785</v>
      </c>
      <c r="E53" s="167">
        <f t="shared" si="14"/>
        <v>146445875.47846743</v>
      </c>
      <c r="F53" s="341">
        <f t="shared" si="22"/>
        <v>9.1962564075904835E-2</v>
      </c>
      <c r="G53" s="129">
        <f>+'CENSO POB 2020'!C50</f>
        <v>412199</v>
      </c>
      <c r="H53" s="168">
        <f t="shared" si="23"/>
        <v>7.125994175410523E-2</v>
      </c>
      <c r="I53" s="169">
        <f t="shared" si="15"/>
        <v>6.0570950490989442E-2</v>
      </c>
      <c r="J53" s="165">
        <v>60.1</v>
      </c>
      <c r="K53" s="170">
        <f t="shared" si="24"/>
        <v>9.3584349084259205E-4</v>
      </c>
      <c r="L53" s="171">
        <f t="shared" si="16"/>
        <v>1.403765236263888E-4</v>
      </c>
      <c r="M53" s="341">
        <f t="shared" si="17"/>
        <v>6.0711327014615832E-2</v>
      </c>
      <c r="N53" s="172">
        <v>40580</v>
      </c>
      <c r="O53" s="173">
        <v>4217</v>
      </c>
      <c r="P53" s="173">
        <v>161</v>
      </c>
      <c r="Q53" s="173">
        <v>91</v>
      </c>
      <c r="R53" s="174">
        <f t="shared" si="25"/>
        <v>4.0108812949691139E-2</v>
      </c>
      <c r="S53" s="381">
        <v>18156</v>
      </c>
      <c r="T53" s="381">
        <v>3293</v>
      </c>
      <c r="U53" s="381">
        <v>78</v>
      </c>
      <c r="V53" s="381">
        <v>74</v>
      </c>
      <c r="W53" s="174">
        <f t="shared" si="26"/>
        <v>3.0476591266939624E-2</v>
      </c>
      <c r="X53" s="175">
        <f t="shared" si="27"/>
        <v>2.5905102576898681E-2</v>
      </c>
      <c r="Y53" s="176">
        <f t="shared" si="28"/>
        <v>-0.24015225020080502</v>
      </c>
      <c r="Z53" s="176">
        <f t="shared" si="8"/>
        <v>-0.24015225020080502</v>
      </c>
      <c r="AA53" s="169">
        <f t="shared" si="18"/>
        <v>3.0460511208932315E-2</v>
      </c>
      <c r="AB53" s="169">
        <f t="shared" si="29"/>
        <v>4.5690766813398474E-3</v>
      </c>
      <c r="AC53" s="341">
        <f t="shared" si="10"/>
        <v>3.0474179258238528E-2</v>
      </c>
      <c r="AD53" s="80"/>
      <c r="AE53" s="130">
        <f t="shared" si="30"/>
        <v>372803540.66640359</v>
      </c>
      <c r="AF53" s="131">
        <f t="shared" si="31"/>
        <v>123057669.69983196</v>
      </c>
      <c r="AG53" s="131">
        <f t="shared" si="32"/>
        <v>61769058.097362638</v>
      </c>
      <c r="AH53" s="131">
        <f t="shared" si="19"/>
        <v>557630268.46359825</v>
      </c>
      <c r="AI53" s="377">
        <f t="shared" si="20"/>
        <v>6.8777658606166012E-2</v>
      </c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>
      <c r="A54" s="73" t="s">
        <v>47</v>
      </c>
      <c r="B54" s="165">
        <v>1119704293</v>
      </c>
      <c r="C54" s="165">
        <v>671271036.40999997</v>
      </c>
      <c r="D54" s="166">
        <f t="shared" si="21"/>
        <v>0.5995074240641497</v>
      </c>
      <c r="E54" s="167">
        <f t="shared" si="14"/>
        <v>402431969.88703114</v>
      </c>
      <c r="F54" s="341">
        <f t="shared" si="22"/>
        <v>0.25271231228612001</v>
      </c>
      <c r="G54" s="129">
        <f>+'CENSO POB 2020'!C51</f>
        <v>132169</v>
      </c>
      <c r="H54" s="168">
        <f t="shared" si="23"/>
        <v>2.2849049225491413E-2</v>
      </c>
      <c r="I54" s="169">
        <f t="shared" si="15"/>
        <v>1.9421691841667702E-2</v>
      </c>
      <c r="J54" s="165">
        <v>72.010000000000005</v>
      </c>
      <c r="K54" s="170">
        <f t="shared" si="24"/>
        <v>1.1212993307084037E-3</v>
      </c>
      <c r="L54" s="171">
        <f t="shared" si="16"/>
        <v>1.6819489960626053E-4</v>
      </c>
      <c r="M54" s="341">
        <f t="shared" si="17"/>
        <v>1.9589886741273963E-2</v>
      </c>
      <c r="N54" s="172">
        <v>9903</v>
      </c>
      <c r="O54" s="173">
        <v>1283</v>
      </c>
      <c r="P54" s="173">
        <v>140</v>
      </c>
      <c r="Q54" s="173">
        <v>21</v>
      </c>
      <c r="R54" s="174">
        <f t="shared" si="25"/>
        <v>1.0837167470654441E-2</v>
      </c>
      <c r="S54" s="381">
        <v>4908</v>
      </c>
      <c r="T54" s="381">
        <v>1055</v>
      </c>
      <c r="U54" s="381">
        <v>49</v>
      </c>
      <c r="V54" s="381">
        <v>43</v>
      </c>
      <c r="W54" s="174">
        <f t="shared" si="26"/>
        <v>9.9358403416006779E-3</v>
      </c>
      <c r="X54" s="175">
        <f t="shared" si="27"/>
        <v>8.4454642903605756E-3</v>
      </c>
      <c r="Y54" s="176">
        <f t="shared" si="28"/>
        <v>-8.3169991743177615E-2</v>
      </c>
      <c r="Z54" s="176">
        <f t="shared" si="8"/>
        <v>-8.3169991743177615E-2</v>
      </c>
      <c r="AA54" s="169">
        <f t="shared" si="18"/>
        <v>1.0549143152402482E-2</v>
      </c>
      <c r="AB54" s="169">
        <f t="shared" si="29"/>
        <v>1.5823714728603721E-3</v>
      </c>
      <c r="AC54" s="341">
        <f t="shared" si="10"/>
        <v>1.0027835763220947E-2</v>
      </c>
      <c r="AD54" s="80"/>
      <c r="AE54" s="130">
        <f t="shared" si="30"/>
        <v>1024460830.7408425</v>
      </c>
      <c r="AF54" s="131">
        <f t="shared" si="31"/>
        <v>39707348.37478438</v>
      </c>
      <c r="AG54" s="131">
        <f t="shared" si="32"/>
        <v>20325730.993452478</v>
      </c>
      <c r="AH54" s="131">
        <f t="shared" si="19"/>
        <v>1084493910.1090794</v>
      </c>
      <c r="AI54" s="377">
        <f t="shared" si="20"/>
        <v>0.13376058676918373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>
      <c r="A55" s="73" t="s">
        <v>48</v>
      </c>
      <c r="B55" s="165">
        <v>274755070</v>
      </c>
      <c r="C55" s="165">
        <v>112141719.38</v>
      </c>
      <c r="D55" s="166">
        <f t="shared" si="21"/>
        <v>0.40815159254386096</v>
      </c>
      <c r="E55" s="167">
        <f t="shared" si="14"/>
        <v>45770821.355553754</v>
      </c>
      <c r="F55" s="341">
        <f t="shared" si="22"/>
        <v>2.8742373781198108E-2</v>
      </c>
      <c r="G55" s="129">
        <f>+'CENSO POB 2020'!C52</f>
        <v>306322</v>
      </c>
      <c r="H55" s="168">
        <f t="shared" si="23"/>
        <v>5.2956188341070756E-2</v>
      </c>
      <c r="I55" s="169">
        <f t="shared" si="15"/>
        <v>4.5012760089910141E-2</v>
      </c>
      <c r="J55" s="165">
        <v>885.01</v>
      </c>
      <c r="K55" s="170">
        <f t="shared" si="24"/>
        <v>1.3780879331624E-2</v>
      </c>
      <c r="L55" s="171">
        <f t="shared" si="16"/>
        <v>2.0671318997435998E-3</v>
      </c>
      <c r="M55" s="341">
        <f t="shared" si="17"/>
        <v>4.707989198965374E-2</v>
      </c>
      <c r="N55" s="172">
        <v>25924</v>
      </c>
      <c r="O55" s="173">
        <v>4306</v>
      </c>
      <c r="P55" s="173">
        <v>2328</v>
      </c>
      <c r="Q55" s="173">
        <v>359</v>
      </c>
      <c r="R55" s="174">
        <f t="shared" si="25"/>
        <v>4.1123629604477997E-2</v>
      </c>
      <c r="S55" s="381">
        <v>21053</v>
      </c>
      <c r="T55" s="381">
        <v>3591</v>
      </c>
      <c r="U55" s="381">
        <v>756</v>
      </c>
      <c r="V55" s="381">
        <v>199</v>
      </c>
      <c r="W55" s="174">
        <f t="shared" si="26"/>
        <v>4.2272622844400483E-2</v>
      </c>
      <c r="X55" s="175">
        <f t="shared" si="27"/>
        <v>3.5931729417740407E-2</v>
      </c>
      <c r="Y55" s="176">
        <f t="shared" si="28"/>
        <v>2.7939976382760009E-2</v>
      </c>
      <c r="Z55" s="176">
        <f t="shared" si="8"/>
        <v>0</v>
      </c>
      <c r="AA55" s="169">
        <f t="shared" si="18"/>
        <v>0</v>
      </c>
      <c r="AB55" s="169">
        <f t="shared" si="29"/>
        <v>0</v>
      </c>
      <c r="AC55" s="341">
        <f t="shared" si="10"/>
        <v>3.5931729417740407E-2</v>
      </c>
      <c r="AD55" s="80"/>
      <c r="AE55" s="130">
        <f t="shared" si="30"/>
        <v>116517615.84141576</v>
      </c>
      <c r="AF55" s="131">
        <f t="shared" si="31"/>
        <v>95427691.715119645</v>
      </c>
      <c r="AG55" s="131">
        <f t="shared" si="32"/>
        <v>72831135.602876008</v>
      </c>
      <c r="AH55" s="131">
        <f t="shared" si="19"/>
        <v>284776443.15941143</v>
      </c>
      <c r="AI55" s="377">
        <f t="shared" si="20"/>
        <v>3.5124092242447592E-2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>
      <c r="A56" s="73" t="s">
        <v>49</v>
      </c>
      <c r="B56" s="165">
        <v>175563518</v>
      </c>
      <c r="C56" s="165">
        <v>85362095.170000002</v>
      </c>
      <c r="D56" s="166">
        <f t="shared" si="21"/>
        <v>0.48621772987027978</v>
      </c>
      <c r="E56" s="167">
        <f t="shared" si="14"/>
        <v>41504564.130528174</v>
      </c>
      <c r="F56" s="341">
        <f t="shared" si="22"/>
        <v>2.606332288858083E-2</v>
      </c>
      <c r="G56" s="129">
        <f>+'CENSO POB 2020'!C53</f>
        <v>46784</v>
      </c>
      <c r="H56" s="168">
        <f t="shared" si="23"/>
        <v>8.0879019964242016E-3</v>
      </c>
      <c r="I56" s="169">
        <f t="shared" si="15"/>
        <v>6.8747166969605712E-3</v>
      </c>
      <c r="J56" s="165">
        <v>746.48</v>
      </c>
      <c r="K56" s="170">
        <f t="shared" si="24"/>
        <v>1.1623767870951384E-2</v>
      </c>
      <c r="L56" s="171">
        <f t="shared" si="16"/>
        <v>1.7435651806427075E-3</v>
      </c>
      <c r="M56" s="341">
        <f t="shared" si="17"/>
        <v>8.6182818776032784E-3</v>
      </c>
      <c r="N56" s="172">
        <v>4577</v>
      </c>
      <c r="O56" s="173">
        <v>666</v>
      </c>
      <c r="P56" s="173">
        <v>1225</v>
      </c>
      <c r="Q56" s="173">
        <v>325</v>
      </c>
      <c r="R56" s="174">
        <f t="shared" si="25"/>
        <v>1.3356739601046762E-2</v>
      </c>
      <c r="S56" s="381">
        <v>2792</v>
      </c>
      <c r="T56" s="381">
        <v>715</v>
      </c>
      <c r="U56" s="381">
        <v>322</v>
      </c>
      <c r="V56" s="381">
        <v>122</v>
      </c>
      <c r="W56" s="174">
        <f t="shared" si="26"/>
        <v>1.1445854704865716E-2</v>
      </c>
      <c r="X56" s="175">
        <f t="shared" si="27"/>
        <v>9.7289764991358579E-3</v>
      </c>
      <c r="Y56" s="176">
        <f t="shared" si="28"/>
        <v>-0.14306522049971615</v>
      </c>
      <c r="Z56" s="176">
        <f t="shared" si="8"/>
        <v>-0.14306522049971615</v>
      </c>
      <c r="AA56" s="169">
        <f t="shared" si="18"/>
        <v>1.8146154154275625E-2</v>
      </c>
      <c r="AB56" s="169">
        <f t="shared" si="29"/>
        <v>2.7219231231413437E-3</v>
      </c>
      <c r="AC56" s="341">
        <f t="shared" si="10"/>
        <v>1.2450899622277202E-2</v>
      </c>
      <c r="AD56" s="80"/>
      <c r="AE56" s="130">
        <f t="shared" si="30"/>
        <v>105657113.32683988</v>
      </c>
      <c r="AF56" s="131">
        <f t="shared" si="31"/>
        <v>17468662.551533964</v>
      </c>
      <c r="AG56" s="131">
        <f t="shared" si="32"/>
        <v>25237114.201359641</v>
      </c>
      <c r="AH56" s="131">
        <f t="shared" si="19"/>
        <v>148362890.07973349</v>
      </c>
      <c r="AI56" s="377">
        <f t="shared" si="20"/>
        <v>1.8298956819260533E-2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>
      <c r="A57" s="73" t="s">
        <v>50</v>
      </c>
      <c r="B57" s="165">
        <v>4524382</v>
      </c>
      <c r="C57" s="165">
        <v>1456869</v>
      </c>
      <c r="D57" s="166">
        <f t="shared" si="21"/>
        <v>0.32200397755980814</v>
      </c>
      <c r="E57" s="167">
        <f t="shared" si="14"/>
        <v>469117.61278358015</v>
      </c>
      <c r="F57" s="341">
        <f t="shared" si="22"/>
        <v>2.9458841625818778E-4</v>
      </c>
      <c r="G57" s="129">
        <f>+'CENSO POB 2020'!C54</f>
        <v>1552</v>
      </c>
      <c r="H57" s="168">
        <f t="shared" si="23"/>
        <v>2.6830591438206137E-4</v>
      </c>
      <c r="I57" s="169">
        <f t="shared" si="15"/>
        <v>2.2806002722475217E-4</v>
      </c>
      <c r="J57" s="165">
        <v>1766.28</v>
      </c>
      <c r="K57" s="170">
        <f t="shared" si="24"/>
        <v>2.7503521480955966E-2</v>
      </c>
      <c r="L57" s="171">
        <f t="shared" si="16"/>
        <v>4.1255282221433947E-3</v>
      </c>
      <c r="M57" s="341">
        <f t="shared" si="17"/>
        <v>4.353588249368147E-3</v>
      </c>
      <c r="N57" s="172">
        <v>477</v>
      </c>
      <c r="O57" s="173">
        <v>85</v>
      </c>
      <c r="P57" s="173">
        <v>641</v>
      </c>
      <c r="Q57" s="173">
        <v>46</v>
      </c>
      <c r="R57" s="174">
        <f t="shared" si="25"/>
        <v>2.7085182769833877E-3</v>
      </c>
      <c r="S57" s="381">
        <v>266</v>
      </c>
      <c r="T57" s="381">
        <v>57</v>
      </c>
      <c r="U57" s="381">
        <v>132</v>
      </c>
      <c r="V57" s="381">
        <v>7</v>
      </c>
      <c r="W57" s="174">
        <f t="shared" si="26"/>
        <v>1.3692833921481037E-3</v>
      </c>
      <c r="X57" s="175">
        <f t="shared" si="27"/>
        <v>1.163890883325888E-3</v>
      </c>
      <c r="Y57" s="176">
        <f t="shared" si="28"/>
        <v>-0.49445296205527434</v>
      </c>
      <c r="Z57" s="176">
        <f t="shared" si="8"/>
        <v>-0.49445296205527434</v>
      </c>
      <c r="AA57" s="169">
        <f t="shared" si="18"/>
        <v>6.2715589716027489E-2</v>
      </c>
      <c r="AB57" s="169">
        <f t="shared" si="29"/>
        <v>9.4073384574041227E-3</v>
      </c>
      <c r="AC57" s="341">
        <f t="shared" si="10"/>
        <v>1.0571229340730012E-2</v>
      </c>
      <c r="AD57" s="80"/>
      <c r="AE57" s="130">
        <f t="shared" si="30"/>
        <v>1194220.7758552013</v>
      </c>
      <c r="AF57" s="131">
        <f t="shared" si="31"/>
        <v>8824422.9066322148</v>
      </c>
      <c r="AG57" s="131">
        <f t="shared" si="32"/>
        <v>21427152.27126481</v>
      </c>
      <c r="AH57" s="131">
        <f t="shared" si="19"/>
        <v>31445795.953752227</v>
      </c>
      <c r="AI57" s="377">
        <f t="shared" si="20"/>
        <v>3.8784986056536333E-3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>
      <c r="A58" s="73" t="s">
        <v>51</v>
      </c>
      <c r="B58" s="165">
        <v>2896776</v>
      </c>
      <c r="C58" s="165">
        <v>668168</v>
      </c>
      <c r="D58" s="166">
        <f t="shared" si="21"/>
        <v>0.23065918800763333</v>
      </c>
      <c r="E58" s="167">
        <f t="shared" si="14"/>
        <v>154119.08833268433</v>
      </c>
      <c r="F58" s="341">
        <f t="shared" si="22"/>
        <v>9.6781056412875653E-5</v>
      </c>
      <c r="G58" s="129">
        <f>+'CENSO POB 2020'!C55</f>
        <v>3573</v>
      </c>
      <c r="H58" s="168">
        <f t="shared" si="23"/>
        <v>6.1769138665406279E-4</v>
      </c>
      <c r="I58" s="169">
        <f t="shared" si="15"/>
        <v>5.2503767865595338E-4</v>
      </c>
      <c r="J58" s="165">
        <v>879.68</v>
      </c>
      <c r="K58" s="170">
        <f t="shared" si="24"/>
        <v>1.3697883561138291E-2</v>
      </c>
      <c r="L58" s="171">
        <f t="shared" si="16"/>
        <v>2.0546825341707436E-3</v>
      </c>
      <c r="M58" s="341">
        <f t="shared" si="17"/>
        <v>2.579720212826697E-3</v>
      </c>
      <c r="N58" s="172">
        <v>765</v>
      </c>
      <c r="O58" s="173">
        <v>123</v>
      </c>
      <c r="P58" s="173">
        <v>468</v>
      </c>
      <c r="Q58" s="173">
        <v>34</v>
      </c>
      <c r="R58" s="174">
        <f t="shared" si="25"/>
        <v>2.4367839703679983E-3</v>
      </c>
      <c r="S58" s="381">
        <v>610</v>
      </c>
      <c r="T58" s="381">
        <v>85</v>
      </c>
      <c r="U58" s="381">
        <v>106</v>
      </c>
      <c r="V58" s="381">
        <v>11</v>
      </c>
      <c r="W58" s="174">
        <f t="shared" si="26"/>
        <v>1.7783548685816847E-3</v>
      </c>
      <c r="X58" s="175">
        <f t="shared" si="27"/>
        <v>1.5116016382944319E-3</v>
      </c>
      <c r="Y58" s="176">
        <f t="shared" si="28"/>
        <v>-0.27020413372420493</v>
      </c>
      <c r="Z58" s="176">
        <f t="shared" si="8"/>
        <v>-0.27020413372420493</v>
      </c>
      <c r="AA58" s="169">
        <f t="shared" si="18"/>
        <v>3.4272242034475847E-2</v>
      </c>
      <c r="AB58" s="169">
        <f t="shared" si="29"/>
        <v>5.1408363051713771E-3</v>
      </c>
      <c r="AC58" s="341">
        <f t="shared" si="10"/>
        <v>6.6524379434658087E-3</v>
      </c>
      <c r="AD58" s="80"/>
      <c r="AE58" s="130">
        <f t="shared" si="30"/>
        <v>392337.04347754712</v>
      </c>
      <c r="AF58" s="131">
        <f t="shared" si="31"/>
        <v>5228914.8249318115</v>
      </c>
      <c r="AG58" s="131">
        <f t="shared" si="32"/>
        <v>13484032.575149685</v>
      </c>
      <c r="AH58" s="131">
        <f t="shared" si="19"/>
        <v>19105284.443559043</v>
      </c>
      <c r="AI58" s="377">
        <f t="shared" si="20"/>
        <v>2.3564300672795639E-3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ht="13.5" thickBot="1">
      <c r="A59" s="97" t="s">
        <v>52</v>
      </c>
      <c r="B59" s="177">
        <f>SUM(B8:B58)</f>
        <v>7728371151</v>
      </c>
      <c r="C59" s="177">
        <f>SUM(C8:C58)</f>
        <v>3390132264.2400002</v>
      </c>
      <c r="D59" s="178">
        <f t="shared" si="21"/>
        <v>0.43866064375044145</v>
      </c>
      <c r="E59" s="179">
        <f t="shared" ref="E59:J59" si="33">SUM(E8:E58)</f>
        <v>1592450982.0930254</v>
      </c>
      <c r="F59" s="342">
        <f t="shared" si="33"/>
        <v>0.99999999999999989</v>
      </c>
      <c r="G59" s="132">
        <f t="shared" si="33"/>
        <v>5784442</v>
      </c>
      <c r="H59" s="180">
        <f t="shared" si="33"/>
        <v>1.0000000000000002</v>
      </c>
      <c r="I59" s="181">
        <f t="shared" si="33"/>
        <v>0.8500000000000002</v>
      </c>
      <c r="J59" s="182">
        <f t="shared" si="33"/>
        <v>64220.140000000021</v>
      </c>
      <c r="K59" s="183">
        <f t="shared" si="24"/>
        <v>1</v>
      </c>
      <c r="L59" s="184">
        <f t="shared" ref="L59:Q59" si="34">SUM(L8:L58)</f>
        <v>0.15</v>
      </c>
      <c r="M59" s="342">
        <f t="shared" si="34"/>
        <v>1</v>
      </c>
      <c r="N59" s="382">
        <f t="shared" si="34"/>
        <v>427511</v>
      </c>
      <c r="O59" s="382">
        <f t="shared" si="34"/>
        <v>73242</v>
      </c>
      <c r="P59" s="382">
        <f t="shared" si="34"/>
        <v>123116</v>
      </c>
      <c r="Q59" s="382">
        <f t="shared" si="34"/>
        <v>13726</v>
      </c>
      <c r="R59" s="185">
        <f t="shared" ref="R59:X59" si="35">SUM(R8:R58)</f>
        <v>1</v>
      </c>
      <c r="S59" s="382">
        <f t="shared" si="35"/>
        <v>317878</v>
      </c>
      <c r="T59" s="382">
        <f t="shared" si="35"/>
        <v>63980</v>
      </c>
      <c r="U59" s="382">
        <f t="shared" si="35"/>
        <v>50062</v>
      </c>
      <c r="V59" s="382">
        <f t="shared" si="35"/>
        <v>6291</v>
      </c>
      <c r="W59" s="185">
        <f t="shared" si="35"/>
        <v>1</v>
      </c>
      <c r="X59" s="186">
        <f t="shared" si="35"/>
        <v>0.84999999999999987</v>
      </c>
      <c r="Y59" s="187"/>
      <c r="Z59" s="188">
        <f>SUM(Z8:Z58)</f>
        <v>-7.8840518648413944</v>
      </c>
      <c r="AA59" s="189">
        <f>SUM(AA8:AA58)</f>
        <v>1</v>
      </c>
      <c r="AB59" s="181">
        <f>SUM(AB8:AB58)</f>
        <v>0.15</v>
      </c>
      <c r="AC59" s="342">
        <f>SUM(AC8:AC58)</f>
        <v>1</v>
      </c>
      <c r="AD59" s="80"/>
      <c r="AE59" s="133">
        <f>SUM(AE8:AE58)</f>
        <v>4053861964.5130363</v>
      </c>
      <c r="AF59" s="134">
        <f>SUM(AF8:AF58)</f>
        <v>2026930982.2565181</v>
      </c>
      <c r="AG59" s="134">
        <f>SUM(AG8:AG58)</f>
        <v>2026930982.2565186</v>
      </c>
      <c r="AH59" s="134">
        <f>SUM(AH8:AH58)</f>
        <v>8107723929.0260744</v>
      </c>
      <c r="AI59" s="342">
        <f>SUM(AI8:AI58)</f>
        <v>0.99999999999999978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ht="13.5" thickTop="1">
      <c r="A60" s="80"/>
      <c r="B60" s="80"/>
      <c r="C60" s="80"/>
      <c r="D60" s="80"/>
      <c r="E60" s="80"/>
      <c r="F60" s="80"/>
      <c r="G60" s="80"/>
      <c r="H60" s="80"/>
      <c r="I60" s="190"/>
      <c r="J60" s="80"/>
      <c r="K60" s="191"/>
      <c r="L60" s="190"/>
      <c r="M60" s="111"/>
      <c r="N60" s="80"/>
      <c r="O60" s="80"/>
      <c r="P60" s="80"/>
      <c r="Q60" s="80"/>
      <c r="R60" s="192"/>
      <c r="S60" s="80"/>
      <c r="T60" s="80"/>
      <c r="U60" s="80"/>
      <c r="V60" s="80"/>
      <c r="W60" s="80"/>
      <c r="X60" s="190"/>
      <c r="Y60" s="80"/>
      <c r="Z60" s="80"/>
      <c r="AA60" s="190"/>
      <c r="AB60" s="190"/>
      <c r="AC60" s="111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ht="86.45" customHeight="1">
      <c r="A61" s="80"/>
      <c r="B61" s="407" t="s">
        <v>309</v>
      </c>
      <c r="C61" s="407"/>
      <c r="D61" s="407"/>
      <c r="E61" s="407"/>
      <c r="F61" s="407"/>
      <c r="G61" s="80"/>
      <c r="H61" s="80"/>
      <c r="I61" s="190"/>
      <c r="J61" s="80"/>
      <c r="K61" s="191"/>
      <c r="L61" s="190"/>
      <c r="M61" s="111"/>
      <c r="N61" s="80"/>
      <c r="O61" s="80"/>
      <c r="P61" s="80"/>
      <c r="Q61" s="80"/>
      <c r="R61" s="192"/>
      <c r="S61" s="80"/>
      <c r="T61" s="80"/>
      <c r="U61" s="80"/>
      <c r="V61" s="80"/>
      <c r="W61" s="80"/>
      <c r="X61" s="190"/>
      <c r="Y61" s="80"/>
      <c r="Z61" s="80"/>
      <c r="AA61" s="190"/>
      <c r="AB61" s="190"/>
      <c r="AC61" s="111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1" customFormat="1">
      <c r="A62" s="80"/>
      <c r="B62" s="80"/>
      <c r="C62" s="80"/>
      <c r="D62" s="80"/>
      <c r="E62" s="80"/>
      <c r="F62" s="80"/>
      <c r="G62" s="80"/>
      <c r="H62" s="80"/>
      <c r="I62" s="190"/>
      <c r="J62" s="80"/>
      <c r="K62" s="80"/>
      <c r="L62" s="190"/>
      <c r="M62" s="111"/>
      <c r="N62" s="80"/>
      <c r="O62" s="80"/>
      <c r="P62" s="80"/>
      <c r="Q62" s="80"/>
      <c r="R62" s="192"/>
      <c r="S62" s="192"/>
      <c r="T62" s="80"/>
      <c r="U62" s="80"/>
      <c r="V62" s="80"/>
      <c r="W62" s="80"/>
      <c r="X62" s="190"/>
      <c r="Y62" s="80"/>
      <c r="Z62" s="80"/>
      <c r="AA62" s="190"/>
      <c r="AB62" s="190"/>
      <c r="AC62" s="111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>
      <c r="A63" s="80"/>
      <c r="B63" s="80"/>
      <c r="C63" s="80"/>
      <c r="D63" s="80"/>
      <c r="E63" s="80"/>
      <c r="F63" s="80"/>
      <c r="G63" s="80"/>
      <c r="H63" s="80"/>
      <c r="I63" s="190"/>
      <c r="J63" s="80"/>
      <c r="K63" s="80"/>
      <c r="L63" s="190"/>
      <c r="M63" s="111"/>
      <c r="N63" s="80"/>
      <c r="O63" s="80"/>
      <c r="P63" s="80"/>
      <c r="Q63" s="80"/>
      <c r="R63" s="192"/>
      <c r="S63" s="80"/>
      <c r="T63" s="80"/>
      <c r="U63" s="80"/>
      <c r="V63" s="80"/>
      <c r="W63" s="80"/>
      <c r="X63" s="190"/>
      <c r="Y63" s="80"/>
      <c r="Z63" s="80"/>
      <c r="AA63" s="190"/>
      <c r="AB63" s="190"/>
      <c r="AC63" s="111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>
      <c r="A64" s="80"/>
      <c r="B64" s="80"/>
      <c r="C64" s="80"/>
      <c r="D64" s="80"/>
      <c r="E64" s="80"/>
      <c r="F64" s="80"/>
      <c r="G64" s="80"/>
      <c r="H64" s="80"/>
      <c r="I64" s="190"/>
      <c r="J64" s="80"/>
      <c r="K64" s="80"/>
      <c r="L64" s="190"/>
      <c r="M64" s="111"/>
      <c r="N64" s="80"/>
      <c r="O64" s="80"/>
      <c r="P64" s="80"/>
      <c r="Q64" s="80"/>
      <c r="R64" s="192"/>
      <c r="S64" s="80"/>
      <c r="T64" s="80"/>
      <c r="U64" s="80"/>
      <c r="V64" s="80"/>
      <c r="W64" s="80"/>
      <c r="X64" s="190"/>
      <c r="Y64" s="80"/>
      <c r="Z64" s="80"/>
      <c r="AA64" s="190"/>
      <c r="AB64" s="190"/>
      <c r="AC64" s="111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>
      <c r="A65" s="80"/>
      <c r="B65" s="80"/>
      <c r="C65" s="80"/>
      <c r="D65" s="80"/>
      <c r="E65" s="80"/>
      <c r="F65" s="80"/>
      <c r="G65" s="80"/>
      <c r="H65" s="80"/>
      <c r="I65" s="190"/>
      <c r="J65" s="80"/>
      <c r="K65" s="80"/>
      <c r="L65" s="190"/>
      <c r="M65" s="111"/>
      <c r="N65" s="80"/>
      <c r="O65" s="80"/>
      <c r="P65" s="80"/>
      <c r="Q65" s="80"/>
      <c r="R65" s="192"/>
      <c r="S65" s="80"/>
      <c r="T65" s="80"/>
      <c r="U65" s="80"/>
      <c r="V65" s="80"/>
      <c r="W65" s="80"/>
      <c r="X65" s="190"/>
      <c r="Y65" s="80"/>
      <c r="Z65" s="80"/>
      <c r="AA65" s="190"/>
      <c r="AB65" s="190"/>
      <c r="AC65" s="111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192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192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192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192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192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192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192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192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192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192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192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192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192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192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192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192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192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192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192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192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192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192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192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>
      <c r="A89" s="80"/>
      <c r="B89" s="80"/>
      <c r="C89" s="80"/>
      <c r="D89" s="80"/>
      <c r="E89" s="80"/>
      <c r="F89" s="80"/>
      <c r="G89" s="80"/>
      <c r="H89" s="80"/>
      <c r="I89" s="190"/>
      <c r="J89" s="80"/>
      <c r="K89" s="80"/>
      <c r="L89" s="190"/>
      <c r="M89" s="111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90"/>
      <c r="Y89" s="80"/>
      <c r="Z89" s="80"/>
      <c r="AA89" s="190"/>
      <c r="AB89" s="190"/>
      <c r="AC89" s="111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>
      <c r="A90" s="80"/>
      <c r="B90" s="80"/>
      <c r="C90" s="80"/>
      <c r="D90" s="80"/>
      <c r="E90" s="80"/>
      <c r="F90" s="80"/>
      <c r="G90" s="80"/>
      <c r="H90" s="80"/>
      <c r="I90" s="190"/>
      <c r="J90" s="80"/>
      <c r="K90" s="80"/>
      <c r="L90" s="190"/>
      <c r="M90" s="111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90"/>
      <c r="Y90" s="80"/>
      <c r="Z90" s="80"/>
      <c r="AA90" s="190"/>
      <c r="AB90" s="190"/>
      <c r="AC90" s="111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>
      <c r="A91" s="80"/>
      <c r="B91" s="80"/>
      <c r="C91" s="80"/>
      <c r="D91" s="80"/>
      <c r="E91" s="80"/>
      <c r="F91" s="80"/>
      <c r="G91" s="80"/>
      <c r="H91" s="80"/>
      <c r="I91" s="190"/>
      <c r="J91" s="80"/>
      <c r="K91" s="80"/>
      <c r="L91" s="190"/>
      <c r="M91" s="111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90"/>
      <c r="Y91" s="80"/>
      <c r="Z91" s="80"/>
      <c r="AA91" s="190"/>
      <c r="AB91" s="190"/>
      <c r="AC91" s="111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>
      <c r="A92" s="80"/>
      <c r="B92" s="80"/>
      <c r="C92" s="80"/>
      <c r="D92" s="80"/>
      <c r="E92" s="80"/>
      <c r="F92" s="80"/>
      <c r="G92" s="80"/>
      <c r="H92" s="80"/>
      <c r="I92" s="190"/>
      <c r="J92" s="80"/>
      <c r="K92" s="80"/>
      <c r="L92" s="190"/>
      <c r="M92" s="111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90"/>
      <c r="Y92" s="80"/>
      <c r="Z92" s="80"/>
      <c r="AA92" s="190"/>
      <c r="AB92" s="190"/>
      <c r="AC92" s="111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>
      <c r="A93" s="80"/>
      <c r="B93" s="80"/>
      <c r="C93" s="80"/>
      <c r="D93" s="80"/>
      <c r="E93" s="80"/>
      <c r="F93" s="80"/>
      <c r="G93" s="80"/>
      <c r="H93" s="80"/>
      <c r="I93" s="190"/>
      <c r="J93" s="80"/>
      <c r="K93" s="80"/>
      <c r="L93" s="190"/>
      <c r="M93" s="111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90"/>
      <c r="Y93" s="80"/>
      <c r="Z93" s="80"/>
      <c r="AA93" s="190"/>
      <c r="AB93" s="190"/>
      <c r="AC93" s="111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>
      <c r="A94" s="80"/>
      <c r="B94" s="80"/>
      <c r="C94" s="80"/>
      <c r="D94" s="80"/>
      <c r="E94" s="80"/>
      <c r="F94" s="80"/>
      <c r="G94" s="80"/>
      <c r="H94" s="80"/>
      <c r="I94" s="190"/>
      <c r="J94" s="80"/>
      <c r="K94" s="80"/>
      <c r="L94" s="190"/>
      <c r="M94" s="111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90"/>
      <c r="Y94" s="80"/>
      <c r="Z94" s="80"/>
      <c r="AA94" s="190"/>
      <c r="AB94" s="190"/>
      <c r="AC94" s="111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>
      <c r="A95" s="80"/>
      <c r="B95" s="80"/>
      <c r="C95" s="80"/>
      <c r="D95" s="80"/>
      <c r="E95" s="80"/>
      <c r="F95" s="80"/>
      <c r="G95" s="80"/>
      <c r="H95" s="80"/>
      <c r="I95" s="190"/>
      <c r="J95" s="80"/>
      <c r="K95" s="80"/>
      <c r="L95" s="190"/>
      <c r="M95" s="111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90"/>
      <c r="Y95" s="80"/>
      <c r="Z95" s="80"/>
      <c r="AA95" s="190"/>
      <c r="AB95" s="190"/>
      <c r="AC95" s="111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>
      <c r="A96" s="80"/>
      <c r="B96" s="80"/>
      <c r="C96" s="80"/>
      <c r="D96" s="80"/>
      <c r="E96" s="80"/>
      <c r="F96" s="80"/>
      <c r="G96" s="80"/>
      <c r="H96" s="80"/>
      <c r="I96" s="190"/>
      <c r="J96" s="80"/>
      <c r="K96" s="80"/>
      <c r="L96" s="190"/>
      <c r="M96" s="111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90"/>
      <c r="Y96" s="80"/>
      <c r="Z96" s="80"/>
      <c r="AA96" s="190"/>
      <c r="AB96" s="190"/>
      <c r="AC96" s="111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>
      <c r="A97" s="80"/>
      <c r="B97" s="80"/>
      <c r="C97" s="80"/>
      <c r="D97" s="80"/>
      <c r="E97" s="80"/>
      <c r="F97" s="80"/>
      <c r="G97" s="80"/>
      <c r="H97" s="80"/>
      <c r="I97" s="190"/>
      <c r="J97" s="80"/>
      <c r="K97" s="80"/>
      <c r="L97" s="190"/>
      <c r="M97" s="111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190"/>
      <c r="Y97" s="80"/>
      <c r="Z97" s="80"/>
      <c r="AA97" s="190"/>
      <c r="AB97" s="190"/>
      <c r="AC97" s="111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>
      <c r="A98" s="80"/>
      <c r="B98" s="80"/>
      <c r="C98" s="80"/>
      <c r="D98" s="80"/>
      <c r="E98" s="80"/>
      <c r="F98" s="80"/>
      <c r="G98" s="80"/>
      <c r="H98" s="80"/>
      <c r="I98" s="190"/>
      <c r="J98" s="80"/>
      <c r="K98" s="80"/>
      <c r="L98" s="190"/>
      <c r="M98" s="111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190"/>
      <c r="Y98" s="80"/>
      <c r="Z98" s="80"/>
      <c r="AA98" s="190"/>
      <c r="AB98" s="190"/>
      <c r="AC98" s="111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>
      <c r="A99" s="80"/>
      <c r="B99" s="80"/>
      <c r="C99" s="80"/>
      <c r="D99" s="80"/>
      <c r="E99" s="80"/>
      <c r="F99" s="80"/>
      <c r="G99" s="80"/>
      <c r="H99" s="80"/>
      <c r="I99" s="190"/>
      <c r="J99" s="80"/>
      <c r="K99" s="80"/>
      <c r="L99" s="190"/>
      <c r="M99" s="111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190"/>
      <c r="Y99" s="80"/>
      <c r="Z99" s="80"/>
      <c r="AA99" s="190"/>
      <c r="AB99" s="190"/>
      <c r="AC99" s="111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>
      <c r="A100" s="80"/>
      <c r="B100" s="80"/>
      <c r="C100" s="80"/>
      <c r="D100" s="80"/>
      <c r="E100" s="80"/>
      <c r="F100" s="80"/>
      <c r="G100" s="80"/>
      <c r="H100" s="80"/>
      <c r="I100" s="190"/>
      <c r="J100" s="80"/>
      <c r="K100" s="80"/>
      <c r="L100" s="190"/>
      <c r="M100" s="111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190"/>
      <c r="Y100" s="80"/>
      <c r="Z100" s="80"/>
      <c r="AA100" s="190"/>
      <c r="AB100" s="190"/>
      <c r="AC100" s="111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>
      <c r="A101" s="80"/>
      <c r="B101" s="80"/>
      <c r="C101" s="80"/>
      <c r="D101" s="80"/>
      <c r="E101" s="80"/>
      <c r="F101" s="80"/>
      <c r="G101" s="80"/>
      <c r="H101" s="80"/>
      <c r="I101" s="190"/>
      <c r="J101" s="80"/>
      <c r="K101" s="80"/>
      <c r="L101" s="190"/>
      <c r="M101" s="111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190"/>
      <c r="Y101" s="80"/>
      <c r="Z101" s="80"/>
      <c r="AA101" s="190"/>
      <c r="AB101" s="190"/>
      <c r="AC101" s="111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>
      <c r="A102" s="80"/>
      <c r="B102" s="80"/>
      <c r="C102" s="80"/>
      <c r="D102" s="80"/>
      <c r="E102" s="80"/>
      <c r="F102" s="80"/>
      <c r="G102" s="80"/>
      <c r="H102" s="80"/>
      <c r="I102" s="190"/>
      <c r="J102" s="80"/>
      <c r="K102" s="80"/>
      <c r="L102" s="190"/>
      <c r="M102" s="111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190"/>
      <c r="Y102" s="80"/>
      <c r="Z102" s="80"/>
      <c r="AA102" s="190"/>
      <c r="AB102" s="190"/>
      <c r="AC102" s="111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>
      <c r="A103" s="80"/>
      <c r="B103" s="80"/>
      <c r="C103" s="80"/>
      <c r="D103" s="80"/>
      <c r="E103" s="80"/>
      <c r="F103" s="80"/>
      <c r="G103" s="80"/>
      <c r="H103" s="80"/>
      <c r="I103" s="190"/>
      <c r="J103" s="80"/>
      <c r="K103" s="80"/>
      <c r="L103" s="190"/>
      <c r="M103" s="111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190"/>
      <c r="Y103" s="80"/>
      <c r="Z103" s="80"/>
      <c r="AA103" s="190"/>
      <c r="AB103" s="190"/>
      <c r="AC103" s="111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>
      <c r="A104" s="80"/>
      <c r="B104" s="80"/>
      <c r="C104" s="80"/>
      <c r="D104" s="80"/>
      <c r="E104" s="80"/>
      <c r="F104" s="80"/>
      <c r="G104" s="80"/>
      <c r="H104" s="80"/>
      <c r="I104" s="190"/>
      <c r="J104" s="80"/>
      <c r="K104" s="80"/>
      <c r="L104" s="190"/>
      <c r="M104" s="111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190"/>
      <c r="Y104" s="80"/>
      <c r="Z104" s="80"/>
      <c r="AA104" s="190"/>
      <c r="AB104" s="190"/>
      <c r="AC104" s="111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>
      <c r="A105" s="80"/>
      <c r="B105" s="80"/>
      <c r="C105" s="80"/>
      <c r="D105" s="80"/>
      <c r="E105" s="80"/>
      <c r="F105" s="80"/>
      <c r="G105" s="80"/>
      <c r="H105" s="80"/>
      <c r="I105" s="190"/>
      <c r="J105" s="80"/>
      <c r="K105" s="80"/>
      <c r="L105" s="190"/>
      <c r="M105" s="111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190"/>
      <c r="Y105" s="80"/>
      <c r="Z105" s="80"/>
      <c r="AA105" s="190"/>
      <c r="AB105" s="190"/>
      <c r="AC105" s="111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>
      <c r="A106" s="80"/>
      <c r="B106" s="80"/>
      <c r="C106" s="80"/>
      <c r="D106" s="80"/>
      <c r="E106" s="80"/>
      <c r="F106" s="80"/>
      <c r="G106" s="80"/>
      <c r="H106" s="80"/>
      <c r="I106" s="190"/>
      <c r="J106" s="80"/>
      <c r="K106" s="80"/>
      <c r="L106" s="190"/>
      <c r="M106" s="111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190"/>
      <c r="Y106" s="80"/>
      <c r="Z106" s="80"/>
      <c r="AA106" s="190"/>
      <c r="AB106" s="190"/>
      <c r="AC106" s="111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>
      <c r="A107" s="80"/>
      <c r="B107" s="80"/>
      <c r="C107" s="80"/>
      <c r="D107" s="80"/>
      <c r="E107" s="80"/>
      <c r="F107" s="80"/>
      <c r="G107" s="80"/>
      <c r="H107" s="80"/>
      <c r="I107" s="190"/>
      <c r="J107" s="80"/>
      <c r="K107" s="80"/>
      <c r="L107" s="190"/>
      <c r="M107" s="111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190"/>
      <c r="Y107" s="80"/>
      <c r="Z107" s="80"/>
      <c r="AA107" s="190"/>
      <c r="AB107" s="190"/>
      <c r="AC107" s="111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>
      <c r="A108" s="80"/>
      <c r="B108" s="80"/>
      <c r="C108" s="80"/>
      <c r="D108" s="80"/>
      <c r="E108" s="80"/>
      <c r="F108" s="80"/>
      <c r="G108" s="80"/>
      <c r="H108" s="80"/>
      <c r="I108" s="190"/>
      <c r="J108" s="80"/>
      <c r="K108" s="80"/>
      <c r="L108" s="190"/>
      <c r="M108" s="111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190"/>
      <c r="Y108" s="80"/>
      <c r="Z108" s="80"/>
      <c r="AA108" s="190"/>
      <c r="AB108" s="190"/>
      <c r="AC108" s="111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>
      <c r="A109" s="80"/>
      <c r="B109" s="80"/>
      <c r="C109" s="80"/>
      <c r="D109" s="80"/>
      <c r="E109" s="80"/>
      <c r="F109" s="80"/>
      <c r="G109" s="80"/>
      <c r="H109" s="80"/>
      <c r="I109" s="190"/>
      <c r="J109" s="80"/>
      <c r="K109" s="80"/>
      <c r="L109" s="190"/>
      <c r="M109" s="111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190"/>
      <c r="Y109" s="80"/>
      <c r="Z109" s="80"/>
      <c r="AA109" s="190"/>
      <c r="AB109" s="190"/>
      <c r="AC109" s="111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>
      <c r="A110" s="80"/>
      <c r="B110" s="80"/>
      <c r="C110" s="80"/>
      <c r="D110" s="80"/>
      <c r="E110" s="80"/>
      <c r="F110" s="80"/>
      <c r="G110" s="80"/>
      <c r="H110" s="80"/>
      <c r="I110" s="190"/>
      <c r="J110" s="80"/>
      <c r="K110" s="80"/>
      <c r="L110" s="190"/>
      <c r="M110" s="111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190"/>
      <c r="Y110" s="80"/>
      <c r="Z110" s="80"/>
      <c r="AA110" s="190"/>
      <c r="AB110" s="190"/>
      <c r="AC110" s="111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>
      <c r="A111" s="80"/>
      <c r="B111" s="80"/>
      <c r="C111" s="80"/>
      <c r="D111" s="80"/>
      <c r="E111" s="80"/>
      <c r="F111" s="80"/>
      <c r="G111" s="80"/>
      <c r="H111" s="80"/>
      <c r="I111" s="190"/>
      <c r="J111" s="80"/>
      <c r="K111" s="80"/>
      <c r="L111" s="190"/>
      <c r="M111" s="111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190"/>
      <c r="Y111" s="80"/>
      <c r="Z111" s="80"/>
      <c r="AA111" s="190"/>
      <c r="AB111" s="190"/>
      <c r="AC111" s="111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>
      <c r="A112" s="80"/>
      <c r="B112" s="80"/>
      <c r="C112" s="80"/>
      <c r="D112" s="80"/>
      <c r="E112" s="80"/>
      <c r="F112" s="80"/>
      <c r="G112" s="80"/>
      <c r="H112" s="80"/>
      <c r="I112" s="190"/>
      <c r="J112" s="80"/>
      <c r="K112" s="80"/>
      <c r="L112" s="190"/>
      <c r="M112" s="111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190"/>
      <c r="Y112" s="80"/>
      <c r="Z112" s="80"/>
      <c r="AA112" s="190"/>
      <c r="AB112" s="190"/>
      <c r="AC112" s="111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>
      <c r="A113" s="80"/>
      <c r="B113" s="80"/>
      <c r="C113" s="80"/>
      <c r="D113" s="80"/>
      <c r="E113" s="80"/>
      <c r="F113" s="80"/>
      <c r="G113" s="80"/>
      <c r="H113" s="80"/>
      <c r="I113" s="190"/>
      <c r="J113" s="80"/>
      <c r="K113" s="80"/>
      <c r="L113" s="190"/>
      <c r="M113" s="111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190"/>
      <c r="Y113" s="80"/>
      <c r="Z113" s="80"/>
      <c r="AA113" s="190"/>
      <c r="AB113" s="190"/>
      <c r="AC113" s="111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>
      <c r="A114" s="80"/>
      <c r="B114" s="80"/>
      <c r="C114" s="80"/>
      <c r="D114" s="80"/>
      <c r="E114" s="80"/>
      <c r="F114" s="80"/>
      <c r="G114" s="80"/>
      <c r="H114" s="80"/>
      <c r="I114" s="190"/>
      <c r="J114" s="80"/>
      <c r="K114" s="80"/>
      <c r="L114" s="190"/>
      <c r="M114" s="111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190"/>
      <c r="Y114" s="80"/>
      <c r="Z114" s="80"/>
      <c r="AA114" s="190"/>
      <c r="AB114" s="190"/>
      <c r="AC114" s="111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>
      <c r="A115" s="80"/>
      <c r="B115" s="80"/>
      <c r="C115" s="80"/>
      <c r="D115" s="80"/>
      <c r="E115" s="80"/>
      <c r="F115" s="80"/>
      <c r="G115" s="80"/>
      <c r="H115" s="80"/>
      <c r="I115" s="190"/>
      <c r="J115" s="80"/>
      <c r="K115" s="80"/>
      <c r="L115" s="190"/>
      <c r="M115" s="111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190"/>
      <c r="Y115" s="80"/>
      <c r="Z115" s="80"/>
      <c r="AA115" s="190"/>
      <c r="AB115" s="190"/>
      <c r="AC115" s="111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>
      <c r="A116" s="80"/>
      <c r="B116" s="80"/>
      <c r="C116" s="80"/>
      <c r="D116" s="80"/>
      <c r="E116" s="80"/>
      <c r="F116" s="80"/>
      <c r="G116" s="80"/>
      <c r="H116" s="80"/>
      <c r="I116" s="190"/>
      <c r="J116" s="80"/>
      <c r="K116" s="80"/>
      <c r="L116" s="190"/>
      <c r="M116" s="111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190"/>
      <c r="Y116" s="80"/>
      <c r="Z116" s="80"/>
      <c r="AA116" s="190"/>
      <c r="AB116" s="190"/>
      <c r="AC116" s="111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>
      <c r="A117" s="80"/>
      <c r="B117" s="80"/>
      <c r="C117" s="80"/>
      <c r="D117" s="80"/>
      <c r="E117" s="80"/>
      <c r="F117" s="80"/>
      <c r="G117" s="80"/>
      <c r="H117" s="80"/>
      <c r="I117" s="190"/>
      <c r="J117" s="80"/>
      <c r="K117" s="80"/>
      <c r="L117" s="190"/>
      <c r="M117" s="111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190"/>
      <c r="Y117" s="80"/>
      <c r="Z117" s="80"/>
      <c r="AA117" s="190"/>
      <c r="AB117" s="190"/>
      <c r="AC117" s="111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>
      <c r="A118" s="80"/>
      <c r="B118" s="80"/>
      <c r="C118" s="80"/>
      <c r="D118" s="80"/>
      <c r="E118" s="80"/>
      <c r="F118" s="80"/>
      <c r="G118" s="80"/>
      <c r="H118" s="80"/>
      <c r="I118" s="190"/>
      <c r="J118" s="80"/>
      <c r="K118" s="80"/>
      <c r="L118" s="190"/>
      <c r="M118" s="111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190"/>
      <c r="Y118" s="80"/>
      <c r="Z118" s="80"/>
      <c r="AA118" s="190"/>
      <c r="AB118" s="190"/>
      <c r="AC118" s="111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>
      <c r="A119" s="80"/>
      <c r="B119" s="80"/>
      <c r="C119" s="80"/>
      <c r="D119" s="80"/>
      <c r="E119" s="80"/>
      <c r="F119" s="80"/>
      <c r="G119" s="80"/>
      <c r="H119" s="80"/>
      <c r="I119" s="190"/>
      <c r="J119" s="80"/>
      <c r="K119" s="80"/>
      <c r="L119" s="190"/>
      <c r="M119" s="111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190"/>
      <c r="Y119" s="80"/>
      <c r="Z119" s="80"/>
      <c r="AA119" s="190"/>
      <c r="AB119" s="190"/>
      <c r="AC119" s="111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>
      <c r="A120" s="80"/>
      <c r="B120" s="80"/>
      <c r="C120" s="80"/>
      <c r="D120" s="80"/>
      <c r="E120" s="80"/>
      <c r="F120" s="80"/>
      <c r="G120" s="80"/>
      <c r="H120" s="80"/>
      <c r="I120" s="190"/>
      <c r="J120" s="80"/>
      <c r="K120" s="80"/>
      <c r="L120" s="190"/>
      <c r="M120" s="111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190"/>
      <c r="Y120" s="80"/>
      <c r="Z120" s="80"/>
      <c r="AA120" s="190"/>
      <c r="AB120" s="190"/>
      <c r="AC120" s="111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 spans="1:64">
      <c r="A121" s="80"/>
      <c r="B121" s="80"/>
      <c r="C121" s="80"/>
      <c r="D121" s="80"/>
      <c r="E121" s="80"/>
      <c r="F121" s="80"/>
      <c r="G121" s="80"/>
      <c r="H121" s="80"/>
      <c r="I121" s="190"/>
      <c r="J121" s="80"/>
      <c r="K121" s="80"/>
      <c r="L121" s="190"/>
      <c r="M121" s="111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190"/>
      <c r="Y121" s="80"/>
      <c r="Z121" s="80"/>
      <c r="AA121" s="190"/>
      <c r="AB121" s="190"/>
      <c r="AC121" s="111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 spans="1:64">
      <c r="A122" s="80"/>
      <c r="B122" s="80"/>
      <c r="C122" s="80"/>
      <c r="D122" s="80"/>
      <c r="E122" s="80"/>
      <c r="F122" s="80"/>
      <c r="G122" s="80"/>
      <c r="H122" s="80"/>
      <c r="I122" s="190"/>
      <c r="J122" s="80"/>
      <c r="K122" s="80"/>
      <c r="L122" s="190"/>
      <c r="M122" s="111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190"/>
      <c r="Y122" s="80"/>
      <c r="Z122" s="80"/>
      <c r="AA122" s="190"/>
      <c r="AB122" s="190"/>
      <c r="AC122" s="111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 spans="1:64">
      <c r="A123" s="80"/>
      <c r="B123" s="80"/>
      <c r="C123" s="80"/>
      <c r="D123" s="80"/>
      <c r="E123" s="80"/>
      <c r="F123" s="80"/>
      <c r="G123" s="80"/>
      <c r="H123" s="80"/>
      <c r="I123" s="190"/>
      <c r="J123" s="80"/>
      <c r="K123" s="80"/>
      <c r="L123" s="190"/>
      <c r="M123" s="111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190"/>
      <c r="Y123" s="80"/>
      <c r="Z123" s="80"/>
      <c r="AA123" s="190"/>
      <c r="AB123" s="190"/>
      <c r="AC123" s="111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 spans="1:64">
      <c r="A124" s="80"/>
      <c r="B124" s="80"/>
      <c r="C124" s="80"/>
      <c r="D124" s="80"/>
      <c r="E124" s="80"/>
      <c r="F124" s="80"/>
      <c r="G124" s="80"/>
      <c r="H124" s="80"/>
      <c r="I124" s="190"/>
      <c r="J124" s="80"/>
      <c r="K124" s="80"/>
      <c r="L124" s="190"/>
      <c r="M124" s="111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190"/>
      <c r="Y124" s="80"/>
      <c r="Z124" s="80"/>
      <c r="AA124" s="190"/>
      <c r="AB124" s="190"/>
      <c r="AC124" s="111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 spans="1:64">
      <c r="A125" s="80"/>
      <c r="B125" s="80"/>
      <c r="C125" s="80"/>
      <c r="D125" s="80"/>
      <c r="E125" s="80"/>
      <c r="F125" s="80"/>
      <c r="G125" s="80"/>
      <c r="H125" s="80"/>
      <c r="I125" s="190"/>
      <c r="J125" s="80"/>
      <c r="K125" s="80"/>
      <c r="L125" s="190"/>
      <c r="M125" s="111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190"/>
      <c r="Y125" s="80"/>
      <c r="Z125" s="80"/>
      <c r="AA125" s="190"/>
      <c r="AB125" s="190"/>
      <c r="AC125" s="111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 spans="1:64">
      <c r="A126" s="80"/>
      <c r="B126" s="80"/>
      <c r="C126" s="80"/>
      <c r="D126" s="80"/>
      <c r="E126" s="80"/>
      <c r="F126" s="80"/>
      <c r="G126" s="80"/>
      <c r="H126" s="80"/>
      <c r="I126" s="190"/>
      <c r="J126" s="80"/>
      <c r="K126" s="80"/>
      <c r="L126" s="190"/>
      <c r="M126" s="111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190"/>
      <c r="Y126" s="80"/>
      <c r="Z126" s="80"/>
      <c r="AA126" s="190"/>
      <c r="AB126" s="190"/>
      <c r="AC126" s="111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 spans="1:64">
      <c r="A127" s="80"/>
      <c r="B127" s="80"/>
      <c r="C127" s="80"/>
      <c r="D127" s="80"/>
      <c r="E127" s="80"/>
      <c r="F127" s="80"/>
      <c r="G127" s="80"/>
      <c r="H127" s="80"/>
      <c r="I127" s="190"/>
      <c r="J127" s="80"/>
      <c r="K127" s="80"/>
      <c r="L127" s="190"/>
      <c r="M127" s="111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190"/>
      <c r="Y127" s="80"/>
      <c r="Z127" s="80"/>
      <c r="AA127" s="190"/>
      <c r="AB127" s="190"/>
      <c r="AC127" s="111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 spans="1:64">
      <c r="A128" s="80"/>
      <c r="B128" s="80"/>
      <c r="C128" s="80"/>
      <c r="D128" s="80"/>
      <c r="E128" s="80"/>
      <c r="F128" s="80"/>
      <c r="G128" s="80"/>
      <c r="H128" s="80"/>
      <c r="I128" s="190"/>
      <c r="J128" s="80"/>
      <c r="K128" s="80"/>
      <c r="L128" s="190"/>
      <c r="M128" s="111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190"/>
      <c r="Y128" s="80"/>
      <c r="Z128" s="80"/>
      <c r="AA128" s="190"/>
      <c r="AB128" s="190"/>
      <c r="AC128" s="111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 spans="1:64">
      <c r="A129" s="80"/>
      <c r="B129" s="80"/>
      <c r="C129" s="80"/>
      <c r="D129" s="80"/>
      <c r="E129" s="80"/>
      <c r="F129" s="80"/>
      <c r="G129" s="80"/>
      <c r="H129" s="80"/>
      <c r="I129" s="190"/>
      <c r="J129" s="80"/>
      <c r="K129" s="80"/>
      <c r="L129" s="190"/>
      <c r="M129" s="111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190"/>
      <c r="Y129" s="80"/>
      <c r="Z129" s="80"/>
      <c r="AA129" s="190"/>
      <c r="AB129" s="190"/>
      <c r="AC129" s="111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 spans="1:64">
      <c r="A130" s="80"/>
      <c r="B130" s="80"/>
      <c r="C130" s="80"/>
      <c r="D130" s="80"/>
      <c r="E130" s="80"/>
      <c r="F130" s="80"/>
      <c r="G130" s="80"/>
      <c r="H130" s="80"/>
      <c r="I130" s="190"/>
      <c r="J130" s="80"/>
      <c r="K130" s="80"/>
      <c r="L130" s="190"/>
      <c r="M130" s="111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190"/>
      <c r="Y130" s="80"/>
      <c r="Z130" s="80"/>
      <c r="AA130" s="190"/>
      <c r="AB130" s="190"/>
      <c r="AC130" s="111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 spans="1:64">
      <c r="A131" s="80"/>
      <c r="B131" s="80"/>
      <c r="C131" s="80"/>
      <c r="D131" s="80"/>
      <c r="E131" s="80"/>
      <c r="F131" s="80"/>
      <c r="G131" s="80"/>
      <c r="H131" s="80"/>
      <c r="I131" s="190"/>
      <c r="J131" s="80"/>
      <c r="K131" s="80"/>
      <c r="L131" s="190"/>
      <c r="M131" s="111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190"/>
      <c r="Y131" s="80"/>
      <c r="Z131" s="80"/>
      <c r="AA131" s="190"/>
      <c r="AB131" s="190"/>
      <c r="AC131" s="111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 spans="1:64">
      <c r="A132" s="80"/>
      <c r="B132" s="80"/>
      <c r="C132" s="80"/>
      <c r="D132" s="80"/>
      <c r="E132" s="80"/>
      <c r="F132" s="80"/>
      <c r="G132" s="80"/>
      <c r="H132" s="80"/>
      <c r="I132" s="190"/>
      <c r="J132" s="80"/>
      <c r="K132" s="80"/>
      <c r="L132" s="190"/>
      <c r="M132" s="111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190"/>
      <c r="Y132" s="80"/>
      <c r="Z132" s="80"/>
      <c r="AA132" s="190"/>
      <c r="AB132" s="190"/>
      <c r="AC132" s="111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4">
      <c r="A133" s="80"/>
      <c r="B133" s="80"/>
      <c r="C133" s="80"/>
      <c r="D133" s="80"/>
      <c r="E133" s="80"/>
      <c r="F133" s="80"/>
      <c r="G133" s="80"/>
      <c r="H133" s="80"/>
      <c r="I133" s="190"/>
      <c r="J133" s="80"/>
      <c r="K133" s="80"/>
      <c r="L133" s="190"/>
      <c r="M133" s="111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190"/>
      <c r="Y133" s="80"/>
      <c r="Z133" s="80"/>
      <c r="AA133" s="190"/>
      <c r="AB133" s="190"/>
      <c r="AC133" s="111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4">
      <c r="A134" s="80"/>
      <c r="B134" s="80"/>
      <c r="C134" s="80"/>
      <c r="D134" s="80"/>
      <c r="E134" s="80"/>
      <c r="F134" s="80"/>
      <c r="G134" s="80"/>
      <c r="H134" s="80"/>
      <c r="I134" s="190"/>
      <c r="J134" s="80"/>
      <c r="K134" s="80"/>
      <c r="L134" s="190"/>
      <c r="M134" s="111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190"/>
      <c r="Y134" s="80"/>
      <c r="Z134" s="80"/>
      <c r="AA134" s="190"/>
      <c r="AB134" s="190"/>
      <c r="AC134" s="111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 spans="1:64">
      <c r="A135" s="80"/>
      <c r="B135" s="80"/>
      <c r="C135" s="80"/>
      <c r="D135" s="80"/>
      <c r="E135" s="80"/>
      <c r="F135" s="80"/>
      <c r="G135" s="80"/>
      <c r="H135" s="80"/>
      <c r="I135" s="190"/>
      <c r="J135" s="80"/>
      <c r="K135" s="80"/>
      <c r="L135" s="190"/>
      <c r="M135" s="111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190"/>
      <c r="Y135" s="80"/>
      <c r="Z135" s="80"/>
      <c r="AA135" s="190"/>
      <c r="AB135" s="190"/>
      <c r="AC135" s="111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 spans="1:64">
      <c r="A136" s="80"/>
      <c r="B136" s="80"/>
      <c r="C136" s="80"/>
      <c r="D136" s="80"/>
      <c r="E136" s="80"/>
      <c r="F136" s="80"/>
      <c r="G136" s="80"/>
      <c r="H136" s="80"/>
      <c r="I136" s="190"/>
      <c r="J136" s="80"/>
      <c r="K136" s="80"/>
      <c r="L136" s="190"/>
      <c r="M136" s="111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190"/>
      <c r="Y136" s="80"/>
      <c r="Z136" s="80"/>
      <c r="AA136" s="190"/>
      <c r="AB136" s="190"/>
      <c r="AC136" s="111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  <row r="137" spans="1:64">
      <c r="A137" s="80"/>
      <c r="B137" s="80"/>
      <c r="C137" s="80"/>
      <c r="D137" s="80"/>
      <c r="E137" s="80"/>
      <c r="F137" s="80"/>
      <c r="G137" s="80"/>
      <c r="H137" s="80"/>
      <c r="I137" s="190"/>
      <c r="J137" s="80"/>
      <c r="K137" s="80"/>
      <c r="L137" s="190"/>
      <c r="M137" s="111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190"/>
      <c r="Y137" s="80"/>
      <c r="Z137" s="80"/>
      <c r="AA137" s="190"/>
      <c r="AB137" s="190"/>
      <c r="AC137" s="111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</row>
    <row r="138" spans="1:64">
      <c r="A138" s="80"/>
      <c r="B138" s="80"/>
      <c r="C138" s="80"/>
      <c r="D138" s="80"/>
      <c r="E138" s="80"/>
      <c r="F138" s="80"/>
      <c r="G138" s="80"/>
      <c r="H138" s="80"/>
      <c r="I138" s="190"/>
      <c r="J138" s="80"/>
      <c r="K138" s="80"/>
      <c r="L138" s="190"/>
      <c r="M138" s="111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190"/>
      <c r="Y138" s="80"/>
      <c r="Z138" s="80"/>
      <c r="AA138" s="190"/>
      <c r="AB138" s="190"/>
      <c r="AC138" s="111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</row>
    <row r="139" spans="1:64">
      <c r="A139" s="80"/>
      <c r="B139" s="80"/>
      <c r="C139" s="80"/>
      <c r="D139" s="80"/>
      <c r="E139" s="80"/>
      <c r="F139" s="80"/>
      <c r="G139" s="80"/>
      <c r="H139" s="80"/>
      <c r="I139" s="190"/>
      <c r="J139" s="80"/>
      <c r="K139" s="80"/>
      <c r="L139" s="190"/>
      <c r="M139" s="111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190"/>
      <c r="Y139" s="80"/>
      <c r="Z139" s="80"/>
      <c r="AA139" s="190"/>
      <c r="AB139" s="190"/>
      <c r="AC139" s="111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</row>
    <row r="140" spans="1:64">
      <c r="A140" s="80"/>
      <c r="B140" s="80"/>
      <c r="C140" s="80"/>
      <c r="D140" s="80"/>
      <c r="E140" s="80"/>
      <c r="F140" s="80"/>
      <c r="G140" s="80"/>
      <c r="H140" s="80"/>
      <c r="I140" s="190"/>
      <c r="J140" s="80"/>
      <c r="K140" s="80"/>
      <c r="L140" s="190"/>
      <c r="M140" s="111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190"/>
      <c r="Y140" s="80"/>
      <c r="Z140" s="80"/>
      <c r="AA140" s="190"/>
      <c r="AB140" s="190"/>
      <c r="AC140" s="111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</row>
    <row r="141" spans="1:64">
      <c r="A141" s="80"/>
      <c r="B141" s="80"/>
      <c r="C141" s="80"/>
      <c r="D141" s="80"/>
      <c r="E141" s="80"/>
      <c r="F141" s="80"/>
      <c r="G141" s="80"/>
      <c r="H141" s="80"/>
      <c r="I141" s="190"/>
      <c r="J141" s="80"/>
      <c r="K141" s="80"/>
      <c r="L141" s="190"/>
      <c r="M141" s="111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190"/>
      <c r="Y141" s="80"/>
      <c r="Z141" s="80"/>
      <c r="AA141" s="190"/>
      <c r="AB141" s="190"/>
      <c r="AC141" s="111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</row>
    <row r="142" spans="1:64">
      <c r="A142" s="80"/>
      <c r="B142" s="80"/>
      <c r="C142" s="80"/>
      <c r="D142" s="80"/>
      <c r="E142" s="80"/>
      <c r="F142" s="80"/>
      <c r="G142" s="80"/>
      <c r="H142" s="80"/>
      <c r="I142" s="190"/>
      <c r="J142" s="80"/>
      <c r="K142" s="80"/>
      <c r="L142" s="190"/>
      <c r="M142" s="111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190"/>
      <c r="Y142" s="80"/>
      <c r="Z142" s="80"/>
      <c r="AA142" s="190"/>
      <c r="AB142" s="190"/>
      <c r="AC142" s="111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</row>
    <row r="143" spans="1:64">
      <c r="A143" s="80"/>
      <c r="B143" s="80"/>
      <c r="C143" s="80"/>
      <c r="D143" s="80"/>
      <c r="E143" s="80"/>
      <c r="F143" s="80"/>
      <c r="G143" s="80"/>
      <c r="H143" s="80"/>
      <c r="I143" s="190"/>
      <c r="J143" s="80"/>
      <c r="K143" s="80"/>
      <c r="L143" s="190"/>
      <c r="M143" s="111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190"/>
      <c r="Y143" s="80"/>
      <c r="Z143" s="80"/>
      <c r="AA143" s="190"/>
      <c r="AB143" s="190"/>
      <c r="AC143" s="111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</row>
    <row r="144" spans="1:64">
      <c r="A144" s="80"/>
      <c r="B144" s="80"/>
      <c r="C144" s="80"/>
      <c r="D144" s="80"/>
      <c r="E144" s="80"/>
      <c r="F144" s="80"/>
      <c r="G144" s="80"/>
      <c r="H144" s="80"/>
      <c r="I144" s="190"/>
      <c r="J144" s="80"/>
      <c r="K144" s="80"/>
      <c r="L144" s="190"/>
      <c r="M144" s="111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190"/>
      <c r="Y144" s="80"/>
      <c r="Z144" s="80"/>
      <c r="AA144" s="190"/>
      <c r="AB144" s="190"/>
      <c r="AC144" s="111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</row>
    <row r="145" spans="1:64">
      <c r="A145" s="80"/>
      <c r="B145" s="80"/>
      <c r="C145" s="80"/>
      <c r="D145" s="80"/>
      <c r="E145" s="80"/>
      <c r="F145" s="80"/>
      <c r="G145" s="80"/>
      <c r="H145" s="80"/>
      <c r="I145" s="190"/>
      <c r="J145" s="80"/>
      <c r="K145" s="80"/>
      <c r="L145" s="190"/>
      <c r="M145" s="111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190"/>
      <c r="Y145" s="80"/>
      <c r="Z145" s="80"/>
      <c r="AA145" s="190"/>
      <c r="AB145" s="190"/>
      <c r="AC145" s="111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</row>
    <row r="146" spans="1:64">
      <c r="A146" s="80"/>
      <c r="B146" s="80"/>
      <c r="C146" s="80"/>
      <c r="D146" s="80"/>
      <c r="E146" s="80"/>
      <c r="F146" s="80"/>
      <c r="G146" s="80"/>
      <c r="H146" s="80"/>
      <c r="I146" s="190"/>
      <c r="J146" s="80"/>
      <c r="K146" s="80"/>
      <c r="L146" s="190"/>
      <c r="M146" s="111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190"/>
      <c r="Y146" s="80"/>
      <c r="Z146" s="80"/>
      <c r="AA146" s="190"/>
      <c r="AB146" s="190"/>
      <c r="AC146" s="111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</row>
    <row r="147" spans="1:64">
      <c r="A147" s="80"/>
      <c r="B147" s="80"/>
      <c r="C147" s="80"/>
      <c r="D147" s="80"/>
      <c r="E147" s="80"/>
      <c r="F147" s="80"/>
      <c r="G147" s="80"/>
      <c r="H147" s="80"/>
      <c r="I147" s="190"/>
      <c r="J147" s="80"/>
      <c r="K147" s="80"/>
      <c r="L147" s="190"/>
      <c r="M147" s="111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190"/>
      <c r="Y147" s="80"/>
      <c r="Z147" s="80"/>
      <c r="AA147" s="190"/>
      <c r="AB147" s="190"/>
      <c r="AC147" s="111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</row>
    <row r="148" spans="1:64">
      <c r="A148" s="80"/>
      <c r="B148" s="80"/>
      <c r="C148" s="80"/>
      <c r="D148" s="80"/>
      <c r="E148" s="80"/>
      <c r="F148" s="80"/>
      <c r="G148" s="80"/>
      <c r="H148" s="80"/>
      <c r="I148" s="190"/>
      <c r="J148" s="80"/>
      <c r="K148" s="80"/>
      <c r="L148" s="190"/>
      <c r="M148" s="111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190"/>
      <c r="Y148" s="80"/>
      <c r="Z148" s="80"/>
      <c r="AA148" s="190"/>
      <c r="AB148" s="190"/>
      <c r="AC148" s="111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</row>
    <row r="149" spans="1:64">
      <c r="A149" s="80"/>
      <c r="B149" s="80"/>
      <c r="C149" s="80"/>
      <c r="D149" s="80"/>
      <c r="E149" s="80"/>
      <c r="F149" s="80"/>
      <c r="G149" s="80"/>
      <c r="H149" s="80"/>
      <c r="I149" s="190"/>
      <c r="J149" s="80"/>
      <c r="K149" s="80"/>
      <c r="L149" s="190"/>
      <c r="M149" s="111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190"/>
      <c r="Y149" s="80"/>
      <c r="Z149" s="80"/>
      <c r="AA149" s="190"/>
      <c r="AB149" s="190"/>
      <c r="AC149" s="111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</row>
    <row r="150" spans="1:64">
      <c r="A150" s="80"/>
      <c r="B150" s="80"/>
      <c r="C150" s="80"/>
      <c r="D150" s="80"/>
      <c r="E150" s="80"/>
      <c r="F150" s="80"/>
      <c r="G150" s="80"/>
      <c r="H150" s="80"/>
      <c r="I150" s="190"/>
      <c r="J150" s="80"/>
      <c r="K150" s="80"/>
      <c r="L150" s="190"/>
      <c r="M150" s="111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190"/>
      <c r="Y150" s="80"/>
      <c r="Z150" s="80"/>
      <c r="AA150" s="190"/>
      <c r="AB150" s="190"/>
      <c r="AC150" s="111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</row>
    <row r="151" spans="1:64">
      <c r="A151" s="80"/>
      <c r="B151" s="80"/>
      <c r="C151" s="80"/>
      <c r="D151" s="80"/>
      <c r="E151" s="80"/>
      <c r="F151" s="80"/>
      <c r="G151" s="80"/>
      <c r="H151" s="80"/>
      <c r="I151" s="190"/>
      <c r="J151" s="80"/>
      <c r="K151" s="80"/>
      <c r="L151" s="190"/>
      <c r="M151" s="111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190"/>
      <c r="Y151" s="80"/>
      <c r="Z151" s="80"/>
      <c r="AA151" s="190"/>
      <c r="AB151" s="190"/>
      <c r="AC151" s="111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</row>
    <row r="152" spans="1:64">
      <c r="A152" s="80"/>
      <c r="B152" s="80"/>
      <c r="C152" s="80"/>
      <c r="D152" s="80"/>
      <c r="E152" s="80"/>
      <c r="F152" s="80"/>
      <c r="G152" s="80"/>
      <c r="H152" s="80"/>
      <c r="I152" s="190"/>
      <c r="J152" s="80"/>
      <c r="K152" s="80"/>
      <c r="L152" s="190"/>
      <c r="M152" s="111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190"/>
      <c r="Y152" s="80"/>
      <c r="Z152" s="80"/>
      <c r="AA152" s="190"/>
      <c r="AB152" s="190"/>
      <c r="AC152" s="111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</row>
    <row r="153" spans="1:64">
      <c r="A153" s="80"/>
      <c r="B153" s="80"/>
      <c r="C153" s="80"/>
      <c r="D153" s="80"/>
      <c r="E153" s="80"/>
      <c r="F153" s="80"/>
      <c r="G153" s="80"/>
      <c r="H153" s="80"/>
      <c r="I153" s="190"/>
      <c r="J153" s="80"/>
      <c r="K153" s="80"/>
      <c r="L153" s="190"/>
      <c r="M153" s="111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190"/>
      <c r="Y153" s="80"/>
      <c r="Z153" s="80"/>
      <c r="AA153" s="190"/>
      <c r="AB153" s="190"/>
      <c r="AC153" s="111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</row>
    <row r="154" spans="1:64">
      <c r="A154" s="80"/>
      <c r="B154" s="80"/>
      <c r="C154" s="80"/>
      <c r="D154" s="80"/>
      <c r="E154" s="80"/>
      <c r="F154" s="80"/>
      <c r="G154" s="80"/>
      <c r="H154" s="80"/>
      <c r="I154" s="190"/>
      <c r="J154" s="80"/>
      <c r="K154" s="80"/>
      <c r="L154" s="190"/>
      <c r="M154" s="111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190"/>
      <c r="Y154" s="80"/>
      <c r="Z154" s="80"/>
      <c r="AA154" s="190"/>
      <c r="AB154" s="190"/>
      <c r="AC154" s="111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</row>
    <row r="155" spans="1:64">
      <c r="A155" s="80"/>
      <c r="B155" s="80"/>
      <c r="C155" s="80"/>
      <c r="D155" s="80"/>
      <c r="E155" s="80"/>
      <c r="F155" s="80"/>
      <c r="G155" s="80"/>
      <c r="H155" s="80"/>
      <c r="I155" s="190"/>
      <c r="J155" s="80"/>
      <c r="K155" s="80"/>
      <c r="L155" s="190"/>
      <c r="M155" s="111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190"/>
      <c r="Y155" s="80"/>
      <c r="Z155" s="80"/>
      <c r="AA155" s="190"/>
      <c r="AB155" s="190"/>
      <c r="AC155" s="111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</row>
    <row r="156" spans="1:64">
      <c r="A156" s="80"/>
      <c r="B156" s="80"/>
      <c r="C156" s="80"/>
      <c r="D156" s="80"/>
      <c r="E156" s="80"/>
      <c r="F156" s="80"/>
      <c r="G156" s="80"/>
      <c r="H156" s="80"/>
      <c r="I156" s="190"/>
      <c r="J156" s="80"/>
      <c r="K156" s="80"/>
      <c r="L156" s="190"/>
      <c r="M156" s="111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190"/>
      <c r="Y156" s="80"/>
      <c r="Z156" s="80"/>
      <c r="AA156" s="190"/>
      <c r="AB156" s="190"/>
      <c r="AC156" s="111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</row>
    <row r="157" spans="1:64">
      <c r="A157" s="80"/>
      <c r="B157" s="80"/>
      <c r="C157" s="80"/>
      <c r="D157" s="80"/>
      <c r="E157" s="80"/>
      <c r="F157" s="80"/>
      <c r="G157" s="80"/>
      <c r="H157" s="80"/>
      <c r="I157" s="190"/>
      <c r="J157" s="80"/>
      <c r="K157" s="80"/>
      <c r="L157" s="190"/>
      <c r="M157" s="111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190"/>
      <c r="Y157" s="80"/>
      <c r="Z157" s="80"/>
      <c r="AA157" s="190"/>
      <c r="AB157" s="190"/>
      <c r="AC157" s="111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1:64">
      <c r="A158" s="80"/>
      <c r="B158" s="80"/>
      <c r="C158" s="80"/>
      <c r="D158" s="80"/>
      <c r="E158" s="80"/>
      <c r="F158" s="80"/>
      <c r="G158" s="80"/>
      <c r="H158" s="80"/>
      <c r="I158" s="190"/>
      <c r="J158" s="80"/>
      <c r="K158" s="80"/>
      <c r="L158" s="190"/>
      <c r="M158" s="111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190"/>
      <c r="Y158" s="80"/>
      <c r="Z158" s="80"/>
      <c r="AA158" s="190"/>
      <c r="AB158" s="190"/>
      <c r="AC158" s="111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</row>
    <row r="159" spans="1:64">
      <c r="A159" s="80"/>
      <c r="B159" s="80"/>
      <c r="C159" s="80"/>
      <c r="D159" s="80"/>
      <c r="E159" s="80"/>
      <c r="F159" s="80"/>
      <c r="G159" s="80"/>
      <c r="H159" s="80"/>
      <c r="I159" s="190"/>
      <c r="J159" s="80"/>
      <c r="K159" s="80"/>
      <c r="L159" s="190"/>
      <c r="M159" s="111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190"/>
      <c r="Y159" s="80"/>
      <c r="Z159" s="80"/>
      <c r="AA159" s="190"/>
      <c r="AB159" s="190"/>
      <c r="AC159" s="111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</row>
    <row r="160" spans="1:64">
      <c r="A160" s="80"/>
      <c r="B160" s="80"/>
      <c r="C160" s="80"/>
      <c r="D160" s="80"/>
      <c r="E160" s="80"/>
      <c r="F160" s="80"/>
      <c r="G160" s="80"/>
      <c r="H160" s="80"/>
      <c r="I160" s="190"/>
      <c r="J160" s="80"/>
      <c r="K160" s="80"/>
      <c r="L160" s="190"/>
      <c r="M160" s="111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190"/>
      <c r="Y160" s="80"/>
      <c r="Z160" s="80"/>
      <c r="AA160" s="190"/>
      <c r="AB160" s="190"/>
      <c r="AC160" s="111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</row>
    <row r="161" spans="1:64">
      <c r="A161" s="80"/>
      <c r="B161" s="80"/>
      <c r="C161" s="80"/>
      <c r="D161" s="80"/>
      <c r="E161" s="80"/>
      <c r="F161" s="80"/>
      <c r="G161" s="80"/>
      <c r="H161" s="80"/>
      <c r="I161" s="190"/>
      <c r="J161" s="80"/>
      <c r="K161" s="80"/>
      <c r="L161" s="190"/>
      <c r="M161" s="111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190"/>
      <c r="Y161" s="80"/>
      <c r="Z161" s="80"/>
      <c r="AA161" s="190"/>
      <c r="AB161" s="190"/>
      <c r="AC161" s="111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</row>
    <row r="162" spans="1:64">
      <c r="A162" s="80"/>
      <c r="B162" s="80"/>
      <c r="C162" s="80"/>
      <c r="D162" s="80"/>
      <c r="E162" s="80"/>
      <c r="F162" s="80"/>
      <c r="G162" s="80"/>
      <c r="H162" s="80"/>
      <c r="I162" s="190"/>
      <c r="J162" s="80"/>
      <c r="K162" s="80"/>
      <c r="L162" s="190"/>
      <c r="M162" s="111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190"/>
      <c r="Y162" s="80"/>
      <c r="Z162" s="80"/>
      <c r="AA162" s="190"/>
      <c r="AB162" s="190"/>
      <c r="AC162" s="111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</row>
    <row r="163" spans="1:64">
      <c r="A163" s="80"/>
      <c r="B163" s="80"/>
      <c r="C163" s="80"/>
      <c r="D163" s="80"/>
      <c r="E163" s="80"/>
      <c r="F163" s="80"/>
      <c r="G163" s="80"/>
      <c r="H163" s="80"/>
      <c r="I163" s="190"/>
      <c r="J163" s="80"/>
      <c r="K163" s="80"/>
      <c r="L163" s="190"/>
      <c r="M163" s="111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190"/>
      <c r="Y163" s="80"/>
      <c r="Z163" s="80"/>
      <c r="AA163" s="190"/>
      <c r="AB163" s="190"/>
      <c r="AC163" s="111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</row>
    <row r="164" spans="1:64">
      <c r="A164" s="80"/>
      <c r="B164" s="80"/>
      <c r="C164" s="80"/>
      <c r="D164" s="80"/>
      <c r="E164" s="80"/>
      <c r="F164" s="80"/>
      <c r="G164" s="80"/>
      <c r="H164" s="80"/>
      <c r="I164" s="190"/>
      <c r="J164" s="80"/>
      <c r="K164" s="80"/>
      <c r="L164" s="190"/>
      <c r="M164" s="111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190"/>
      <c r="Y164" s="80"/>
      <c r="Z164" s="80"/>
      <c r="AA164" s="190"/>
      <c r="AB164" s="190"/>
      <c r="AC164" s="111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</row>
    <row r="165" spans="1:64">
      <c r="A165" s="80"/>
      <c r="B165" s="80"/>
      <c r="C165" s="80"/>
      <c r="D165" s="80"/>
      <c r="E165" s="80"/>
      <c r="F165" s="80"/>
      <c r="G165" s="80"/>
      <c r="H165" s="80"/>
      <c r="I165" s="190"/>
      <c r="J165" s="80"/>
      <c r="K165" s="80"/>
      <c r="L165" s="190"/>
      <c r="M165" s="111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190"/>
      <c r="Y165" s="80"/>
      <c r="Z165" s="80"/>
      <c r="AA165" s="190"/>
      <c r="AB165" s="190"/>
      <c r="AC165" s="111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</row>
    <row r="166" spans="1:64">
      <c r="A166" s="80"/>
      <c r="B166" s="80"/>
      <c r="C166" s="80"/>
      <c r="D166" s="80"/>
      <c r="E166" s="80"/>
      <c r="F166" s="80"/>
      <c r="G166" s="80"/>
      <c r="H166" s="80"/>
      <c r="I166" s="190"/>
      <c r="J166" s="80"/>
      <c r="K166" s="80"/>
      <c r="L166" s="190"/>
      <c r="M166" s="111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190"/>
      <c r="Y166" s="80"/>
      <c r="Z166" s="80"/>
      <c r="AA166" s="190"/>
      <c r="AB166" s="190"/>
      <c r="AC166" s="111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</row>
    <row r="167" spans="1:64">
      <c r="A167" s="80"/>
      <c r="B167" s="80"/>
      <c r="C167" s="80"/>
      <c r="D167" s="80"/>
      <c r="E167" s="80"/>
      <c r="F167" s="80"/>
      <c r="G167" s="80"/>
      <c r="H167" s="80"/>
      <c r="I167" s="190"/>
      <c r="J167" s="80"/>
      <c r="K167" s="80"/>
      <c r="L167" s="190"/>
      <c r="M167" s="111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190"/>
      <c r="Y167" s="80"/>
      <c r="Z167" s="80"/>
      <c r="AA167" s="190"/>
      <c r="AB167" s="190"/>
      <c r="AC167" s="111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</row>
    <row r="168" spans="1:64">
      <c r="A168" s="80"/>
      <c r="B168" s="80"/>
      <c r="C168" s="80"/>
      <c r="D168" s="80"/>
      <c r="E168" s="80"/>
      <c r="F168" s="80"/>
      <c r="G168" s="80"/>
      <c r="H168" s="80"/>
      <c r="I168" s="190"/>
      <c r="J168" s="80"/>
      <c r="K168" s="80"/>
      <c r="L168" s="190"/>
      <c r="M168" s="111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190"/>
      <c r="Y168" s="80"/>
      <c r="Z168" s="80"/>
      <c r="AA168" s="190"/>
      <c r="AB168" s="190"/>
      <c r="AC168" s="111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</row>
    <row r="169" spans="1:64">
      <c r="A169" s="80"/>
      <c r="B169" s="80"/>
      <c r="C169" s="80"/>
      <c r="D169" s="80"/>
      <c r="E169" s="80"/>
      <c r="F169" s="80"/>
      <c r="G169" s="80"/>
      <c r="H169" s="80"/>
      <c r="I169" s="190"/>
      <c r="J169" s="80"/>
      <c r="K169" s="80"/>
      <c r="L169" s="190"/>
      <c r="M169" s="111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190"/>
      <c r="Y169" s="80"/>
      <c r="Z169" s="80"/>
      <c r="AA169" s="190"/>
      <c r="AB169" s="190"/>
      <c r="AC169" s="111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</row>
    <row r="170" spans="1:64">
      <c r="A170" s="80"/>
      <c r="B170" s="80"/>
      <c r="C170" s="80"/>
      <c r="D170" s="80"/>
      <c r="E170" s="80"/>
      <c r="F170" s="80"/>
      <c r="G170" s="80"/>
      <c r="H170" s="80"/>
      <c r="I170" s="190"/>
      <c r="J170" s="80"/>
      <c r="K170" s="80"/>
      <c r="L170" s="190"/>
      <c r="M170" s="111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190"/>
      <c r="Y170" s="80"/>
      <c r="Z170" s="80"/>
      <c r="AA170" s="190"/>
      <c r="AB170" s="190"/>
      <c r="AC170" s="111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</row>
    <row r="171" spans="1:64">
      <c r="A171" s="80"/>
      <c r="B171" s="80"/>
      <c r="C171" s="80"/>
      <c r="D171" s="80"/>
      <c r="E171" s="80"/>
      <c r="F171" s="80"/>
      <c r="G171" s="80"/>
      <c r="H171" s="80"/>
      <c r="I171" s="190"/>
      <c r="J171" s="80"/>
      <c r="K171" s="80"/>
      <c r="L171" s="190"/>
      <c r="M171" s="111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190"/>
      <c r="Y171" s="80"/>
      <c r="Z171" s="80"/>
      <c r="AA171" s="190"/>
      <c r="AB171" s="190"/>
      <c r="AC171" s="111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</row>
    <row r="172" spans="1:64">
      <c r="A172" s="80"/>
      <c r="B172" s="80"/>
      <c r="C172" s="80"/>
      <c r="D172" s="80"/>
      <c r="E172" s="80"/>
      <c r="F172" s="80"/>
      <c r="G172" s="80"/>
      <c r="H172" s="80"/>
      <c r="I172" s="190"/>
      <c r="J172" s="80"/>
      <c r="K172" s="80"/>
      <c r="L172" s="190"/>
      <c r="M172" s="111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190"/>
      <c r="Y172" s="80"/>
      <c r="Z172" s="80"/>
      <c r="AA172" s="190"/>
      <c r="AB172" s="190"/>
      <c r="AC172" s="111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</row>
    <row r="173" spans="1:64">
      <c r="A173" s="80"/>
      <c r="B173" s="80"/>
      <c r="C173" s="80"/>
      <c r="D173" s="80"/>
      <c r="E173" s="80"/>
      <c r="F173" s="80"/>
      <c r="G173" s="80"/>
      <c r="H173" s="80"/>
      <c r="I173" s="190"/>
      <c r="J173" s="80"/>
      <c r="K173" s="80"/>
      <c r="L173" s="190"/>
      <c r="M173" s="111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190"/>
      <c r="Y173" s="80"/>
      <c r="Z173" s="80"/>
      <c r="AA173" s="190"/>
      <c r="AB173" s="190"/>
      <c r="AC173" s="111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</row>
    <row r="174" spans="1:64">
      <c r="A174" s="80"/>
      <c r="B174" s="80"/>
      <c r="C174" s="80"/>
      <c r="D174" s="80"/>
      <c r="E174" s="80"/>
      <c r="F174" s="80"/>
      <c r="G174" s="80"/>
      <c r="H174" s="80"/>
      <c r="I174" s="190"/>
      <c r="J174" s="80"/>
      <c r="K174" s="80"/>
      <c r="L174" s="190"/>
      <c r="M174" s="111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190"/>
      <c r="Y174" s="80"/>
      <c r="Z174" s="80"/>
      <c r="AA174" s="190"/>
      <c r="AB174" s="190"/>
      <c r="AC174" s="111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</row>
    <row r="175" spans="1:64">
      <c r="A175" s="80"/>
      <c r="B175" s="80"/>
      <c r="C175" s="80"/>
      <c r="D175" s="80"/>
      <c r="E175" s="80"/>
      <c r="F175" s="80"/>
      <c r="G175" s="80"/>
      <c r="H175" s="80"/>
      <c r="I175" s="190"/>
      <c r="J175" s="80"/>
      <c r="K175" s="80"/>
      <c r="L175" s="190"/>
      <c r="M175" s="111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190"/>
      <c r="Y175" s="80"/>
      <c r="Z175" s="80"/>
      <c r="AA175" s="190"/>
      <c r="AB175" s="190"/>
      <c r="AC175" s="111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</row>
    <row r="176" spans="1:64">
      <c r="A176" s="80"/>
      <c r="B176" s="80"/>
      <c r="C176" s="80"/>
      <c r="D176" s="80"/>
      <c r="E176" s="80"/>
      <c r="F176" s="80"/>
      <c r="G176" s="80"/>
      <c r="H176" s="80"/>
      <c r="I176" s="190"/>
      <c r="J176" s="80"/>
      <c r="K176" s="80"/>
      <c r="L176" s="190"/>
      <c r="M176" s="111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190"/>
      <c r="Y176" s="80"/>
      <c r="Z176" s="80"/>
      <c r="AA176" s="190"/>
      <c r="AB176" s="190"/>
      <c r="AC176" s="111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</row>
    <row r="177" spans="1:64">
      <c r="A177" s="80"/>
      <c r="B177" s="80"/>
      <c r="C177" s="80"/>
      <c r="D177" s="80"/>
      <c r="E177" s="80"/>
      <c r="F177" s="80"/>
      <c r="G177" s="80"/>
      <c r="H177" s="80"/>
      <c r="I177" s="190"/>
      <c r="J177" s="80"/>
      <c r="K177" s="80"/>
      <c r="L177" s="190"/>
      <c r="M177" s="111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190"/>
      <c r="Y177" s="80"/>
      <c r="Z177" s="80"/>
      <c r="AA177" s="190"/>
      <c r="AB177" s="190"/>
      <c r="AC177" s="111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</row>
    <row r="178" spans="1:64">
      <c r="A178" s="80"/>
      <c r="B178" s="80"/>
      <c r="C178" s="80"/>
      <c r="D178" s="80"/>
      <c r="E178" s="80"/>
      <c r="F178" s="80"/>
      <c r="G178" s="80"/>
      <c r="H178" s="80"/>
      <c r="I178" s="190"/>
      <c r="J178" s="80"/>
      <c r="K178" s="80"/>
      <c r="L178" s="190"/>
      <c r="M178" s="111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190"/>
      <c r="Y178" s="80"/>
      <c r="Z178" s="80"/>
      <c r="AA178" s="190"/>
      <c r="AB178" s="190"/>
      <c r="AC178" s="111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</row>
    <row r="179" spans="1:64">
      <c r="A179" s="80"/>
      <c r="B179" s="80"/>
      <c r="C179" s="80"/>
      <c r="D179" s="80"/>
      <c r="E179" s="80"/>
      <c r="F179" s="80"/>
      <c r="G179" s="80"/>
      <c r="H179" s="80"/>
      <c r="I179" s="190"/>
      <c r="J179" s="80"/>
      <c r="K179" s="80"/>
      <c r="L179" s="190"/>
      <c r="M179" s="111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190"/>
      <c r="Y179" s="80"/>
      <c r="Z179" s="80"/>
      <c r="AA179" s="190"/>
      <c r="AB179" s="190"/>
      <c r="AC179" s="111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</row>
    <row r="180" spans="1:64">
      <c r="A180" s="80"/>
      <c r="B180" s="80"/>
      <c r="C180" s="80"/>
      <c r="D180" s="80"/>
      <c r="E180" s="80"/>
      <c r="F180" s="80"/>
      <c r="G180" s="80"/>
      <c r="H180" s="80"/>
      <c r="I180" s="190"/>
      <c r="J180" s="80"/>
      <c r="K180" s="80"/>
      <c r="L180" s="190"/>
      <c r="M180" s="111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190"/>
      <c r="Y180" s="80"/>
      <c r="Z180" s="80"/>
      <c r="AA180" s="190"/>
      <c r="AB180" s="190"/>
      <c r="AC180" s="111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</row>
    <row r="181" spans="1:64">
      <c r="A181" s="80"/>
      <c r="B181" s="80"/>
      <c r="C181" s="80"/>
      <c r="D181" s="80"/>
      <c r="E181" s="80"/>
      <c r="F181" s="80"/>
      <c r="G181" s="80"/>
      <c r="H181" s="80"/>
      <c r="I181" s="190"/>
      <c r="J181" s="80"/>
      <c r="K181" s="80"/>
      <c r="L181" s="190"/>
      <c r="M181" s="111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190"/>
      <c r="Y181" s="80"/>
      <c r="Z181" s="80"/>
      <c r="AA181" s="190"/>
      <c r="AB181" s="190"/>
      <c r="AC181" s="111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</row>
    <row r="182" spans="1:64">
      <c r="A182" s="80"/>
      <c r="B182" s="80"/>
      <c r="C182" s="80"/>
      <c r="D182" s="80"/>
      <c r="E182" s="80"/>
      <c r="F182" s="80"/>
      <c r="G182" s="80"/>
      <c r="H182" s="80"/>
      <c r="I182" s="190"/>
      <c r="J182" s="80"/>
      <c r="K182" s="80"/>
      <c r="L182" s="190"/>
      <c r="M182" s="111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190"/>
      <c r="Y182" s="80"/>
      <c r="Z182" s="80"/>
      <c r="AA182" s="190"/>
      <c r="AB182" s="190"/>
      <c r="AC182" s="111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</row>
    <row r="183" spans="1:64">
      <c r="A183" s="80"/>
      <c r="B183" s="80"/>
      <c r="C183" s="80"/>
      <c r="D183" s="80"/>
      <c r="E183" s="80"/>
      <c r="F183" s="80"/>
      <c r="G183" s="80"/>
      <c r="H183" s="80"/>
      <c r="I183" s="190"/>
      <c r="J183" s="80"/>
      <c r="K183" s="80"/>
      <c r="L183" s="190"/>
      <c r="M183" s="111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190"/>
      <c r="Y183" s="80"/>
      <c r="Z183" s="80"/>
      <c r="AA183" s="190"/>
      <c r="AB183" s="190"/>
      <c r="AC183" s="111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</row>
    <row r="184" spans="1:64">
      <c r="A184" s="80"/>
      <c r="B184" s="80"/>
      <c r="C184" s="80"/>
      <c r="D184" s="80"/>
      <c r="E184" s="80"/>
      <c r="F184" s="80"/>
      <c r="G184" s="80"/>
      <c r="H184" s="80"/>
      <c r="I184" s="190"/>
      <c r="J184" s="80"/>
      <c r="K184" s="80"/>
      <c r="L184" s="190"/>
      <c r="M184" s="111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190"/>
      <c r="Y184" s="80"/>
      <c r="Z184" s="80"/>
      <c r="AA184" s="190"/>
      <c r="AB184" s="190"/>
      <c r="AC184" s="111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</row>
    <row r="185" spans="1:64">
      <c r="A185" s="80"/>
      <c r="B185" s="80"/>
      <c r="C185" s="80"/>
      <c r="D185" s="80"/>
      <c r="E185" s="80"/>
      <c r="F185" s="80"/>
      <c r="G185" s="80"/>
      <c r="H185" s="80"/>
      <c r="I185" s="190"/>
      <c r="J185" s="80"/>
      <c r="K185" s="80"/>
      <c r="L185" s="190"/>
      <c r="M185" s="111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190"/>
      <c r="Y185" s="80"/>
      <c r="Z185" s="80"/>
      <c r="AA185" s="190"/>
      <c r="AB185" s="190"/>
      <c r="AC185" s="111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</row>
    <row r="186" spans="1:64">
      <c r="A186" s="80"/>
      <c r="B186" s="80"/>
      <c r="C186" s="80"/>
      <c r="D186" s="80"/>
      <c r="E186" s="80"/>
      <c r="F186" s="80"/>
      <c r="G186" s="80"/>
      <c r="H186" s="80"/>
      <c r="I186" s="190"/>
      <c r="J186" s="80"/>
      <c r="K186" s="80"/>
      <c r="L186" s="190"/>
      <c r="M186" s="111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190"/>
      <c r="Y186" s="80"/>
      <c r="Z186" s="80"/>
      <c r="AA186" s="190"/>
      <c r="AB186" s="190"/>
      <c r="AC186" s="111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</row>
    <row r="187" spans="1:64">
      <c r="A187" s="80"/>
      <c r="B187" s="80"/>
      <c r="C187" s="80"/>
      <c r="D187" s="80"/>
      <c r="E187" s="80"/>
      <c r="F187" s="80"/>
      <c r="G187" s="80"/>
      <c r="H187" s="80"/>
      <c r="I187" s="190"/>
      <c r="J187" s="80"/>
      <c r="K187" s="80"/>
      <c r="L187" s="190"/>
      <c r="M187" s="111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190"/>
      <c r="Y187" s="80"/>
      <c r="Z187" s="80"/>
      <c r="AA187" s="190"/>
      <c r="AB187" s="190"/>
      <c r="AC187" s="111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</row>
    <row r="188" spans="1:64">
      <c r="A188" s="80"/>
      <c r="B188" s="80"/>
      <c r="C188" s="80"/>
      <c r="D188" s="80"/>
      <c r="E188" s="80"/>
      <c r="F188" s="80"/>
      <c r="G188" s="80"/>
      <c r="H188" s="80"/>
      <c r="I188" s="190"/>
      <c r="J188" s="80"/>
      <c r="K188" s="80"/>
      <c r="L188" s="190"/>
      <c r="M188" s="111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190"/>
      <c r="Y188" s="80"/>
      <c r="Z188" s="80"/>
      <c r="AA188" s="190"/>
      <c r="AB188" s="190"/>
      <c r="AC188" s="111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</row>
    <row r="189" spans="1:64">
      <c r="A189" s="80"/>
      <c r="B189" s="80"/>
      <c r="C189" s="80"/>
      <c r="D189" s="80"/>
      <c r="E189" s="80"/>
      <c r="F189" s="80"/>
      <c r="G189" s="80"/>
      <c r="H189" s="80"/>
      <c r="I189" s="190"/>
      <c r="J189" s="80"/>
      <c r="K189" s="80"/>
      <c r="L189" s="190"/>
      <c r="M189" s="111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190"/>
      <c r="Y189" s="80"/>
      <c r="Z189" s="80"/>
      <c r="AA189" s="190"/>
      <c r="AB189" s="190"/>
      <c r="AC189" s="111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</row>
    <row r="190" spans="1:64">
      <c r="A190" s="80"/>
      <c r="B190" s="80"/>
      <c r="C190" s="80"/>
      <c r="D190" s="80"/>
      <c r="E190" s="80"/>
      <c r="F190" s="80"/>
      <c r="G190" s="80"/>
      <c r="H190" s="80"/>
      <c r="I190" s="190"/>
      <c r="J190" s="80"/>
      <c r="K190" s="80"/>
      <c r="L190" s="190"/>
      <c r="M190" s="111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190"/>
      <c r="Y190" s="80"/>
      <c r="Z190" s="80"/>
      <c r="AA190" s="190"/>
      <c r="AB190" s="190"/>
      <c r="AC190" s="111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</row>
    <row r="191" spans="1:64">
      <c r="A191" s="80"/>
      <c r="B191" s="80"/>
      <c r="C191" s="80"/>
      <c r="D191" s="80"/>
      <c r="E191" s="80"/>
      <c r="F191" s="80"/>
      <c r="G191" s="80"/>
      <c r="H191" s="80"/>
      <c r="I191" s="190"/>
      <c r="J191" s="80"/>
      <c r="K191" s="80"/>
      <c r="L191" s="190"/>
      <c r="M191" s="111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190"/>
      <c r="Y191" s="80"/>
      <c r="Z191" s="80"/>
      <c r="AA191" s="190"/>
      <c r="AB191" s="190"/>
      <c r="AC191" s="111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</row>
    <row r="192" spans="1:64">
      <c r="A192" s="80"/>
      <c r="B192" s="80"/>
      <c r="C192" s="80"/>
      <c r="D192" s="80"/>
      <c r="E192" s="80"/>
      <c r="F192" s="80"/>
      <c r="G192" s="80"/>
      <c r="H192" s="80"/>
      <c r="I192" s="190"/>
      <c r="J192" s="80"/>
      <c r="K192" s="80"/>
      <c r="L192" s="190"/>
      <c r="M192" s="111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190"/>
      <c r="Y192" s="80"/>
      <c r="Z192" s="80"/>
      <c r="AA192" s="190"/>
      <c r="AB192" s="190"/>
      <c r="AC192" s="111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</row>
    <row r="193" spans="1:64">
      <c r="A193" s="80"/>
      <c r="B193" s="80"/>
      <c r="C193" s="80"/>
      <c r="D193" s="80"/>
      <c r="E193" s="80"/>
      <c r="F193" s="80"/>
      <c r="G193" s="80"/>
      <c r="H193" s="80"/>
      <c r="I193" s="190"/>
      <c r="J193" s="80"/>
      <c r="K193" s="80"/>
      <c r="L193" s="190"/>
      <c r="M193" s="111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190"/>
      <c r="Y193" s="80"/>
      <c r="Z193" s="80"/>
      <c r="AA193" s="190"/>
      <c r="AB193" s="190"/>
      <c r="AC193" s="111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</row>
    <row r="194" spans="1:64">
      <c r="A194" s="80"/>
      <c r="B194" s="80"/>
      <c r="C194" s="80"/>
      <c r="D194" s="80"/>
      <c r="E194" s="80"/>
      <c r="F194" s="80"/>
      <c r="G194" s="80"/>
      <c r="H194" s="80"/>
      <c r="I194" s="190"/>
      <c r="J194" s="80"/>
      <c r="K194" s="80"/>
      <c r="L194" s="190"/>
      <c r="M194" s="111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190"/>
      <c r="Y194" s="80"/>
      <c r="Z194" s="80"/>
      <c r="AA194" s="190"/>
      <c r="AB194" s="190"/>
      <c r="AC194" s="111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</row>
    <row r="195" spans="1:64">
      <c r="A195" s="80"/>
      <c r="B195" s="80"/>
      <c r="C195" s="80"/>
      <c r="D195" s="80"/>
      <c r="E195" s="80"/>
      <c r="F195" s="80"/>
      <c r="G195" s="80"/>
      <c r="H195" s="80"/>
      <c r="I195" s="190"/>
      <c r="J195" s="80"/>
      <c r="K195" s="80"/>
      <c r="L195" s="190"/>
      <c r="M195" s="111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190"/>
      <c r="Y195" s="80"/>
      <c r="Z195" s="80"/>
      <c r="AA195" s="190"/>
      <c r="AB195" s="190"/>
      <c r="AC195" s="111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</row>
    <row r="196" spans="1:64">
      <c r="A196" s="80"/>
      <c r="B196" s="80"/>
      <c r="C196" s="80"/>
      <c r="D196" s="80"/>
      <c r="E196" s="80"/>
      <c r="F196" s="80"/>
      <c r="G196" s="80"/>
      <c r="H196" s="80"/>
      <c r="I196" s="190"/>
      <c r="J196" s="80"/>
      <c r="K196" s="80"/>
      <c r="L196" s="190"/>
      <c r="M196" s="111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190"/>
      <c r="Y196" s="80"/>
      <c r="Z196" s="80"/>
      <c r="AA196" s="190"/>
      <c r="AB196" s="190"/>
      <c r="AC196" s="111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</row>
    <row r="197" spans="1:64">
      <c r="A197" s="80"/>
      <c r="B197" s="80"/>
      <c r="C197" s="80"/>
      <c r="D197" s="80"/>
      <c r="E197" s="80"/>
      <c r="F197" s="80"/>
      <c r="G197" s="80"/>
      <c r="H197" s="80"/>
      <c r="I197" s="190"/>
      <c r="J197" s="80"/>
      <c r="K197" s="80"/>
      <c r="L197" s="190"/>
      <c r="M197" s="111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190"/>
      <c r="Y197" s="80"/>
      <c r="Z197" s="80"/>
      <c r="AA197" s="190"/>
      <c r="AB197" s="190"/>
      <c r="AC197" s="111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</row>
    <row r="198" spans="1:64">
      <c r="A198" s="80"/>
      <c r="B198" s="80"/>
      <c r="C198" s="80"/>
      <c r="D198" s="80"/>
      <c r="E198" s="80"/>
      <c r="F198" s="80"/>
      <c r="G198" s="80"/>
      <c r="H198" s="80"/>
      <c r="I198" s="190"/>
      <c r="J198" s="80"/>
      <c r="K198" s="80"/>
      <c r="L198" s="190"/>
      <c r="M198" s="111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190"/>
      <c r="Y198" s="80"/>
      <c r="Z198" s="80"/>
      <c r="AA198" s="190"/>
      <c r="AB198" s="190"/>
      <c r="AC198" s="111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</row>
    <row r="199" spans="1:64">
      <c r="A199" s="80"/>
      <c r="B199" s="80"/>
      <c r="C199" s="80"/>
      <c r="D199" s="80"/>
      <c r="E199" s="80"/>
      <c r="F199" s="80"/>
      <c r="G199" s="80"/>
      <c r="H199" s="80"/>
      <c r="I199" s="190"/>
      <c r="J199" s="80"/>
      <c r="K199" s="80"/>
      <c r="L199" s="190"/>
      <c r="M199" s="111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190"/>
      <c r="Y199" s="80"/>
      <c r="Z199" s="80"/>
      <c r="AA199" s="190"/>
      <c r="AB199" s="190"/>
      <c r="AC199" s="111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</row>
    <row r="200" spans="1:64">
      <c r="A200" s="80"/>
      <c r="B200" s="80"/>
      <c r="C200" s="80"/>
      <c r="D200" s="80"/>
      <c r="E200" s="80"/>
      <c r="F200" s="80"/>
      <c r="G200" s="80"/>
      <c r="H200" s="80"/>
      <c r="I200" s="190"/>
      <c r="J200" s="80"/>
      <c r="K200" s="80"/>
      <c r="L200" s="190"/>
      <c r="M200" s="111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190"/>
      <c r="Y200" s="80"/>
      <c r="Z200" s="80"/>
      <c r="AA200" s="190"/>
      <c r="AB200" s="190"/>
      <c r="AC200" s="111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</row>
    <row r="201" spans="1:64">
      <c r="A201" s="80"/>
      <c r="B201" s="80"/>
      <c r="C201" s="80"/>
      <c r="D201" s="80"/>
      <c r="E201" s="80"/>
      <c r="F201" s="80"/>
      <c r="G201" s="80"/>
      <c r="H201" s="80"/>
      <c r="I201" s="190"/>
      <c r="J201" s="80"/>
      <c r="K201" s="80"/>
      <c r="L201" s="190"/>
      <c r="M201" s="111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190"/>
      <c r="Y201" s="80"/>
      <c r="Z201" s="80"/>
      <c r="AA201" s="190"/>
      <c r="AB201" s="190"/>
      <c r="AC201" s="111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</row>
    <row r="202" spans="1:64">
      <c r="A202" s="80"/>
      <c r="B202" s="80"/>
      <c r="C202" s="80"/>
      <c r="D202" s="80"/>
      <c r="E202" s="80"/>
      <c r="F202" s="80"/>
      <c r="G202" s="80"/>
      <c r="H202" s="80"/>
      <c r="I202" s="190"/>
      <c r="J202" s="80"/>
      <c r="K202" s="80"/>
      <c r="L202" s="190"/>
      <c r="M202" s="111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190"/>
      <c r="Y202" s="80"/>
      <c r="Z202" s="80"/>
      <c r="AA202" s="190"/>
      <c r="AB202" s="190"/>
      <c r="AC202" s="111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</row>
    <row r="203" spans="1:64">
      <c r="A203" s="80"/>
      <c r="B203" s="80"/>
      <c r="C203" s="80"/>
      <c r="D203" s="80"/>
      <c r="E203" s="80"/>
      <c r="F203" s="80"/>
      <c r="G203" s="80"/>
      <c r="H203" s="80"/>
      <c r="I203" s="190"/>
      <c r="J203" s="80"/>
      <c r="K203" s="80"/>
      <c r="L203" s="190"/>
      <c r="M203" s="111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190"/>
      <c r="Y203" s="80"/>
      <c r="Z203" s="80"/>
      <c r="AA203" s="190"/>
      <c r="AB203" s="190"/>
      <c r="AC203" s="111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</row>
    <row r="204" spans="1:64">
      <c r="A204" s="80"/>
      <c r="B204" s="80"/>
      <c r="C204" s="80"/>
      <c r="D204" s="80"/>
      <c r="E204" s="80"/>
      <c r="F204" s="80"/>
      <c r="G204" s="80"/>
      <c r="H204" s="80"/>
      <c r="I204" s="190"/>
      <c r="J204" s="80"/>
      <c r="K204" s="80"/>
      <c r="L204" s="190"/>
      <c r="M204" s="111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190"/>
      <c r="Y204" s="80"/>
      <c r="Z204" s="80"/>
      <c r="AA204" s="190"/>
      <c r="AB204" s="190"/>
      <c r="AC204" s="111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</row>
    <row r="205" spans="1:64">
      <c r="A205" s="80"/>
      <c r="B205" s="80"/>
      <c r="C205" s="80"/>
      <c r="D205" s="80"/>
      <c r="E205" s="80"/>
      <c r="F205" s="80"/>
      <c r="G205" s="80"/>
      <c r="H205" s="80"/>
      <c r="I205" s="190"/>
      <c r="J205" s="80"/>
      <c r="K205" s="80"/>
      <c r="L205" s="190"/>
      <c r="M205" s="111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190"/>
      <c r="Y205" s="80"/>
      <c r="Z205" s="80"/>
      <c r="AA205" s="190"/>
      <c r="AB205" s="190"/>
      <c r="AC205" s="111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</row>
    <row r="206" spans="1:64">
      <c r="A206" s="80"/>
      <c r="B206" s="80"/>
      <c r="C206" s="80"/>
      <c r="D206" s="80"/>
      <c r="E206" s="80"/>
      <c r="F206" s="80"/>
      <c r="G206" s="80"/>
      <c r="H206" s="80"/>
      <c r="I206" s="190"/>
      <c r="J206" s="80"/>
      <c r="K206" s="80"/>
      <c r="L206" s="190"/>
      <c r="M206" s="111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190"/>
      <c r="Y206" s="80"/>
      <c r="Z206" s="80"/>
      <c r="AA206" s="190"/>
      <c r="AB206" s="190"/>
      <c r="AC206" s="111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</row>
    <row r="207" spans="1:64">
      <c r="A207" s="80"/>
      <c r="B207" s="80"/>
      <c r="C207" s="80"/>
      <c r="D207" s="80"/>
      <c r="E207" s="80"/>
      <c r="F207" s="80"/>
      <c r="G207" s="80"/>
      <c r="H207" s="80"/>
      <c r="I207" s="190"/>
      <c r="J207" s="80"/>
      <c r="K207" s="80"/>
      <c r="L207" s="190"/>
      <c r="M207" s="111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190"/>
      <c r="Y207" s="80"/>
      <c r="Z207" s="80"/>
      <c r="AA207" s="190"/>
      <c r="AB207" s="190"/>
      <c r="AC207" s="111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</row>
    <row r="208" spans="1:64">
      <c r="A208" s="80"/>
      <c r="B208" s="80"/>
      <c r="C208" s="80"/>
      <c r="D208" s="80"/>
      <c r="E208" s="80"/>
      <c r="F208" s="80"/>
      <c r="G208" s="80"/>
      <c r="H208" s="80"/>
      <c r="I208" s="190"/>
      <c r="J208" s="80"/>
      <c r="K208" s="80"/>
      <c r="L208" s="190"/>
      <c r="M208" s="111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190"/>
      <c r="Y208" s="80"/>
      <c r="Z208" s="80"/>
      <c r="AA208" s="190"/>
      <c r="AB208" s="190"/>
      <c r="AC208" s="111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</row>
    <row r="209" spans="1:64">
      <c r="A209" s="80"/>
      <c r="B209" s="80"/>
      <c r="C209" s="80"/>
      <c r="D209" s="80"/>
      <c r="E209" s="80"/>
      <c r="F209" s="80"/>
      <c r="G209" s="80"/>
      <c r="H209" s="80"/>
      <c r="I209" s="190"/>
      <c r="J209" s="80"/>
      <c r="K209" s="80"/>
      <c r="L209" s="190"/>
      <c r="M209" s="111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190"/>
      <c r="Y209" s="80"/>
      <c r="Z209" s="80"/>
      <c r="AA209" s="190"/>
      <c r="AB209" s="190"/>
      <c r="AC209" s="111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</row>
    <row r="210" spans="1:64">
      <c r="A210" s="80"/>
      <c r="B210" s="80"/>
      <c r="C210" s="80"/>
      <c r="D210" s="80"/>
      <c r="E210" s="80"/>
      <c r="F210" s="80"/>
      <c r="G210" s="80"/>
      <c r="H210" s="80"/>
      <c r="I210" s="190"/>
      <c r="J210" s="80"/>
      <c r="K210" s="80"/>
      <c r="L210" s="190"/>
      <c r="M210" s="111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190"/>
      <c r="Y210" s="80"/>
      <c r="Z210" s="80"/>
      <c r="AA210" s="190"/>
      <c r="AB210" s="190"/>
      <c r="AC210" s="111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</row>
    <row r="211" spans="1:64">
      <c r="A211" s="80"/>
      <c r="B211" s="80"/>
      <c r="C211" s="80"/>
      <c r="D211" s="80"/>
      <c r="E211" s="80"/>
      <c r="F211" s="80"/>
      <c r="G211" s="80"/>
      <c r="H211" s="80"/>
      <c r="I211" s="190"/>
      <c r="J211" s="80"/>
      <c r="K211" s="80"/>
      <c r="L211" s="190"/>
      <c r="M211" s="111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190"/>
      <c r="Y211" s="80"/>
      <c r="Z211" s="80"/>
      <c r="AA211" s="190"/>
      <c r="AB211" s="190"/>
      <c r="AC211" s="111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</row>
    <row r="212" spans="1:64">
      <c r="A212" s="80"/>
      <c r="B212" s="80"/>
      <c r="C212" s="80"/>
      <c r="D212" s="80"/>
      <c r="E212" s="80"/>
      <c r="F212" s="80"/>
      <c r="G212" s="80"/>
      <c r="H212" s="80"/>
      <c r="I212" s="190"/>
      <c r="J212" s="80"/>
      <c r="K212" s="80"/>
      <c r="L212" s="190"/>
      <c r="M212" s="111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190"/>
      <c r="Y212" s="80"/>
      <c r="Z212" s="80"/>
      <c r="AA212" s="190"/>
      <c r="AB212" s="190"/>
      <c r="AC212" s="111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</row>
    <row r="213" spans="1:64">
      <c r="A213" s="80"/>
      <c r="B213" s="80"/>
      <c r="C213" s="80"/>
      <c r="D213" s="80"/>
      <c r="E213" s="80"/>
      <c r="F213" s="80"/>
      <c r="G213" s="80"/>
      <c r="H213" s="80"/>
      <c r="I213" s="190"/>
      <c r="J213" s="80"/>
      <c r="K213" s="80"/>
      <c r="L213" s="190"/>
      <c r="M213" s="111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190"/>
      <c r="Y213" s="80"/>
      <c r="Z213" s="80"/>
      <c r="AA213" s="190"/>
      <c r="AB213" s="190"/>
      <c r="AC213" s="111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</row>
    <row r="214" spans="1:64">
      <c r="A214" s="80"/>
      <c r="B214" s="80"/>
      <c r="C214" s="80"/>
      <c r="D214" s="80"/>
      <c r="E214" s="80"/>
      <c r="F214" s="80"/>
      <c r="G214" s="80"/>
      <c r="H214" s="80"/>
      <c r="I214" s="190"/>
      <c r="J214" s="80"/>
      <c r="K214" s="80"/>
      <c r="L214" s="190"/>
      <c r="M214" s="111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190"/>
      <c r="Y214" s="80"/>
      <c r="Z214" s="80"/>
      <c r="AA214" s="190"/>
      <c r="AB214" s="190"/>
      <c r="AC214" s="111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</row>
    <row r="215" spans="1:64">
      <c r="A215" s="80"/>
      <c r="B215" s="80"/>
      <c r="C215" s="80"/>
      <c r="D215" s="80"/>
      <c r="E215" s="80"/>
      <c r="F215" s="80"/>
      <c r="G215" s="80"/>
      <c r="H215" s="80"/>
      <c r="I215" s="190"/>
      <c r="J215" s="80"/>
      <c r="K215" s="80"/>
      <c r="L215" s="190"/>
      <c r="M215" s="111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190"/>
      <c r="Y215" s="80"/>
      <c r="Z215" s="80"/>
      <c r="AA215" s="190"/>
      <c r="AB215" s="190"/>
      <c r="AC215" s="111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</row>
    <row r="216" spans="1:64">
      <c r="A216" s="80"/>
      <c r="B216" s="80"/>
      <c r="C216" s="80"/>
      <c r="D216" s="80"/>
      <c r="E216" s="80"/>
      <c r="F216" s="80"/>
      <c r="G216" s="80"/>
      <c r="H216" s="80"/>
      <c r="I216" s="190"/>
      <c r="J216" s="80"/>
      <c r="K216" s="80"/>
      <c r="L216" s="190"/>
      <c r="M216" s="111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190"/>
      <c r="Y216" s="80"/>
      <c r="Z216" s="80"/>
      <c r="AA216" s="190"/>
      <c r="AB216" s="190"/>
      <c r="AC216" s="111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</row>
    <row r="217" spans="1:64">
      <c r="A217" s="80"/>
      <c r="B217" s="80"/>
      <c r="C217" s="80"/>
      <c r="D217" s="80"/>
      <c r="E217" s="80"/>
      <c r="F217" s="80"/>
      <c r="G217" s="80"/>
      <c r="H217" s="80"/>
      <c r="I217" s="190"/>
      <c r="J217" s="80"/>
      <c r="K217" s="80"/>
      <c r="L217" s="190"/>
      <c r="M217" s="111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190"/>
      <c r="Y217" s="80"/>
      <c r="Z217" s="80"/>
      <c r="AA217" s="190"/>
      <c r="AB217" s="190"/>
      <c r="AC217" s="111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</row>
    <row r="218" spans="1:64">
      <c r="A218" s="80"/>
      <c r="B218" s="80"/>
      <c r="C218" s="80"/>
      <c r="D218" s="80"/>
      <c r="E218" s="80"/>
      <c r="F218" s="80"/>
      <c r="G218" s="80"/>
      <c r="H218" s="80"/>
      <c r="I218" s="190"/>
      <c r="J218" s="80"/>
      <c r="K218" s="80"/>
      <c r="L218" s="190"/>
      <c r="M218" s="111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190"/>
      <c r="Y218" s="80"/>
      <c r="Z218" s="80"/>
      <c r="AA218" s="190"/>
      <c r="AB218" s="190"/>
      <c r="AC218" s="111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</row>
    <row r="219" spans="1:64">
      <c r="A219" s="80"/>
      <c r="B219" s="80"/>
      <c r="C219" s="80"/>
      <c r="D219" s="80"/>
      <c r="E219" s="80"/>
      <c r="F219" s="80"/>
      <c r="G219" s="80"/>
      <c r="H219" s="80"/>
      <c r="I219" s="190"/>
      <c r="J219" s="80"/>
      <c r="K219" s="80"/>
      <c r="L219" s="190"/>
      <c r="M219" s="111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190"/>
      <c r="Y219" s="80"/>
      <c r="Z219" s="80"/>
      <c r="AA219" s="190"/>
      <c r="AB219" s="190"/>
      <c r="AC219" s="111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</row>
    <row r="220" spans="1:64">
      <c r="A220" s="80"/>
      <c r="B220" s="80"/>
      <c r="C220" s="80"/>
      <c r="D220" s="80"/>
      <c r="E220" s="80"/>
      <c r="F220" s="80"/>
      <c r="G220" s="80"/>
      <c r="H220" s="80"/>
      <c r="I220" s="190"/>
      <c r="J220" s="80"/>
      <c r="K220" s="80"/>
      <c r="L220" s="190"/>
      <c r="M220" s="111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190"/>
      <c r="Y220" s="80"/>
      <c r="Z220" s="80"/>
      <c r="AA220" s="190"/>
      <c r="AB220" s="190"/>
      <c r="AC220" s="111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</row>
    <row r="221" spans="1:64">
      <c r="A221" s="80"/>
      <c r="B221" s="80"/>
      <c r="C221" s="80"/>
      <c r="D221" s="80"/>
      <c r="E221" s="80"/>
      <c r="F221" s="80"/>
      <c r="G221" s="80"/>
      <c r="H221" s="80"/>
      <c r="I221" s="190"/>
      <c r="J221" s="80"/>
      <c r="K221" s="80"/>
      <c r="L221" s="190"/>
      <c r="M221" s="111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190"/>
      <c r="Y221" s="80"/>
      <c r="Z221" s="80"/>
      <c r="AA221" s="190"/>
      <c r="AB221" s="190"/>
      <c r="AC221" s="111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</row>
    <row r="222" spans="1:64">
      <c r="A222" s="80"/>
      <c r="B222" s="80"/>
      <c r="C222" s="80"/>
      <c r="D222" s="80"/>
      <c r="E222" s="80"/>
      <c r="F222" s="80"/>
      <c r="G222" s="80"/>
      <c r="H222" s="80"/>
      <c r="I222" s="190"/>
      <c r="J222" s="80"/>
      <c r="K222" s="80"/>
      <c r="L222" s="190"/>
      <c r="M222" s="111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190"/>
      <c r="Y222" s="80"/>
      <c r="Z222" s="80"/>
      <c r="AA222" s="190"/>
      <c r="AB222" s="190"/>
      <c r="AC222" s="111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</row>
    <row r="223" spans="1:64">
      <c r="A223" s="80"/>
      <c r="B223" s="80"/>
      <c r="C223" s="80"/>
      <c r="D223" s="80"/>
      <c r="E223" s="80"/>
      <c r="F223" s="80"/>
      <c r="G223" s="80"/>
      <c r="H223" s="80"/>
      <c r="I223" s="190"/>
      <c r="J223" s="80"/>
      <c r="K223" s="80"/>
      <c r="L223" s="190"/>
      <c r="M223" s="111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190"/>
      <c r="Y223" s="80"/>
      <c r="Z223" s="80"/>
      <c r="AA223" s="190"/>
      <c r="AB223" s="190"/>
      <c r="AC223" s="111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</row>
    <row r="224" spans="1:64">
      <c r="A224" s="80"/>
      <c r="B224" s="80"/>
      <c r="C224" s="80"/>
      <c r="D224" s="80"/>
      <c r="E224" s="80"/>
      <c r="F224" s="80"/>
      <c r="G224" s="80"/>
      <c r="H224" s="80"/>
      <c r="I224" s="190"/>
      <c r="J224" s="80"/>
      <c r="K224" s="80"/>
      <c r="L224" s="190"/>
      <c r="M224" s="111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190"/>
      <c r="Y224" s="80"/>
      <c r="Z224" s="80"/>
      <c r="AA224" s="190"/>
      <c r="AB224" s="190"/>
      <c r="AC224" s="111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</row>
    <row r="225" spans="1:64">
      <c r="A225" s="80"/>
      <c r="B225" s="80"/>
      <c r="C225" s="80"/>
      <c r="D225" s="80"/>
      <c r="E225" s="80"/>
      <c r="F225" s="80"/>
      <c r="G225" s="80"/>
      <c r="H225" s="80"/>
      <c r="I225" s="190"/>
      <c r="J225" s="80"/>
      <c r="K225" s="80"/>
      <c r="L225" s="190"/>
      <c r="M225" s="111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190"/>
      <c r="Y225" s="80"/>
      <c r="Z225" s="80"/>
      <c r="AA225" s="190"/>
      <c r="AB225" s="190"/>
      <c r="AC225" s="111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</row>
    <row r="226" spans="1:64">
      <c r="A226" s="80"/>
      <c r="B226" s="80"/>
      <c r="C226" s="80"/>
      <c r="D226" s="80"/>
      <c r="E226" s="80"/>
      <c r="F226" s="80"/>
      <c r="G226" s="80"/>
      <c r="H226" s="80"/>
      <c r="I226" s="190"/>
      <c r="J226" s="80"/>
      <c r="K226" s="80"/>
      <c r="L226" s="190"/>
      <c r="M226" s="111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190"/>
      <c r="Y226" s="80"/>
      <c r="Z226" s="80"/>
      <c r="AA226" s="190"/>
      <c r="AB226" s="190"/>
      <c r="AC226" s="111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</row>
    <row r="227" spans="1:64">
      <c r="A227" s="80"/>
      <c r="B227" s="80"/>
      <c r="C227" s="80"/>
      <c r="D227" s="80"/>
      <c r="E227" s="80"/>
      <c r="F227" s="80"/>
      <c r="G227" s="80"/>
      <c r="H227" s="80"/>
      <c r="I227" s="190"/>
      <c r="J227" s="80"/>
      <c r="K227" s="80"/>
      <c r="L227" s="190"/>
      <c r="M227" s="111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190"/>
      <c r="Y227" s="80"/>
      <c r="Z227" s="80"/>
      <c r="AA227" s="190"/>
      <c r="AB227" s="190"/>
      <c r="AC227" s="111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</row>
    <row r="228" spans="1:64">
      <c r="A228" s="80"/>
      <c r="B228" s="80"/>
      <c r="C228" s="80"/>
      <c r="D228" s="80"/>
      <c r="E228" s="80"/>
      <c r="F228" s="80"/>
      <c r="G228" s="80"/>
      <c r="H228" s="80"/>
      <c r="I228" s="190"/>
      <c r="J228" s="80"/>
      <c r="K228" s="80"/>
      <c r="L228" s="190"/>
      <c r="M228" s="111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190"/>
      <c r="Y228" s="80"/>
      <c r="Z228" s="80"/>
      <c r="AA228" s="190"/>
      <c r="AB228" s="190"/>
      <c r="AC228" s="111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</row>
    <row r="229" spans="1:64">
      <c r="A229" s="80"/>
      <c r="B229" s="80"/>
      <c r="C229" s="80"/>
      <c r="D229" s="80"/>
      <c r="E229" s="80"/>
      <c r="F229" s="80"/>
      <c r="G229" s="80"/>
      <c r="H229" s="80"/>
      <c r="I229" s="190"/>
      <c r="J229" s="80"/>
      <c r="K229" s="80"/>
      <c r="L229" s="190"/>
      <c r="M229" s="111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190"/>
      <c r="Y229" s="80"/>
      <c r="Z229" s="80"/>
      <c r="AA229" s="190"/>
      <c r="AB229" s="190"/>
      <c r="AC229" s="111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</row>
    <row r="230" spans="1:64">
      <c r="A230" s="80"/>
      <c r="B230" s="80"/>
      <c r="C230" s="80"/>
      <c r="D230" s="80"/>
      <c r="E230" s="80"/>
      <c r="F230" s="80"/>
      <c r="G230" s="80"/>
      <c r="H230" s="80"/>
      <c r="I230" s="190"/>
      <c r="J230" s="80"/>
      <c r="K230" s="80"/>
      <c r="L230" s="190"/>
      <c r="M230" s="111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190"/>
      <c r="Y230" s="80"/>
      <c r="Z230" s="80"/>
      <c r="AA230" s="190"/>
      <c r="AB230" s="190"/>
      <c r="AC230" s="111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</row>
    <row r="231" spans="1:64">
      <c r="A231" s="80"/>
      <c r="B231" s="80"/>
      <c r="C231" s="80"/>
      <c r="D231" s="80"/>
      <c r="E231" s="80"/>
      <c r="F231" s="80"/>
      <c r="G231" s="80"/>
      <c r="H231" s="80"/>
      <c r="I231" s="190"/>
      <c r="J231" s="80"/>
      <c r="K231" s="80"/>
      <c r="L231" s="190"/>
      <c r="M231" s="111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190"/>
      <c r="Y231" s="80"/>
      <c r="Z231" s="80"/>
      <c r="AA231" s="190"/>
      <c r="AB231" s="190"/>
      <c r="AC231" s="111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</row>
    <row r="232" spans="1:64">
      <c r="A232" s="80"/>
      <c r="B232" s="80"/>
      <c r="C232" s="80"/>
      <c r="D232" s="80"/>
      <c r="E232" s="80"/>
      <c r="F232" s="80"/>
      <c r="G232" s="80"/>
      <c r="H232" s="80"/>
      <c r="I232" s="190"/>
      <c r="J232" s="80"/>
      <c r="K232" s="80"/>
      <c r="L232" s="190"/>
      <c r="M232" s="111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190"/>
      <c r="Y232" s="80"/>
      <c r="Z232" s="80"/>
      <c r="AA232" s="190"/>
      <c r="AB232" s="190"/>
      <c r="AC232" s="111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</row>
    <row r="233" spans="1:64">
      <c r="A233" s="80"/>
      <c r="B233" s="80"/>
      <c r="C233" s="80"/>
      <c r="D233" s="80"/>
      <c r="E233" s="80"/>
      <c r="F233" s="80"/>
      <c r="G233" s="80"/>
      <c r="H233" s="80"/>
      <c r="I233" s="190"/>
      <c r="J233" s="80"/>
      <c r="K233" s="80"/>
      <c r="L233" s="190"/>
      <c r="M233" s="111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190"/>
      <c r="Y233" s="80"/>
      <c r="Z233" s="80"/>
      <c r="AA233" s="190"/>
      <c r="AB233" s="190"/>
      <c r="AC233" s="111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</row>
    <row r="234" spans="1:64">
      <c r="A234" s="80"/>
      <c r="B234" s="80"/>
      <c r="C234" s="80"/>
      <c r="D234" s="80"/>
      <c r="E234" s="80"/>
      <c r="F234" s="80"/>
      <c r="G234" s="80"/>
      <c r="H234" s="80"/>
      <c r="I234" s="190"/>
      <c r="J234" s="80"/>
      <c r="K234" s="80"/>
      <c r="L234" s="190"/>
      <c r="M234" s="111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190"/>
      <c r="Y234" s="80"/>
      <c r="Z234" s="80"/>
      <c r="AA234" s="190"/>
      <c r="AB234" s="190"/>
      <c r="AC234" s="111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</row>
    <row r="235" spans="1:64">
      <c r="A235" s="80"/>
      <c r="B235" s="80"/>
      <c r="C235" s="80"/>
      <c r="D235" s="80"/>
      <c r="E235" s="80"/>
      <c r="F235" s="80"/>
      <c r="G235" s="80"/>
      <c r="H235" s="80"/>
      <c r="I235" s="190"/>
      <c r="J235" s="80"/>
      <c r="K235" s="80"/>
      <c r="L235" s="190"/>
      <c r="M235" s="111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190"/>
      <c r="Y235" s="80"/>
      <c r="Z235" s="80"/>
      <c r="AA235" s="190"/>
      <c r="AB235" s="190"/>
      <c r="AC235" s="111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</row>
    <row r="236" spans="1:64">
      <c r="A236" s="80"/>
      <c r="B236" s="80"/>
      <c r="C236" s="80"/>
      <c r="D236" s="80"/>
      <c r="E236" s="80"/>
      <c r="F236" s="80"/>
      <c r="G236" s="80"/>
      <c r="H236" s="80"/>
      <c r="I236" s="190"/>
      <c r="J236" s="80"/>
      <c r="K236" s="80"/>
      <c r="L236" s="190"/>
      <c r="M236" s="111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190"/>
      <c r="Y236" s="80"/>
      <c r="Z236" s="80"/>
      <c r="AA236" s="190"/>
      <c r="AB236" s="190"/>
      <c r="AC236" s="111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</row>
    <row r="237" spans="1:64">
      <c r="A237" s="80"/>
      <c r="B237" s="80"/>
      <c r="C237" s="80"/>
      <c r="D237" s="80"/>
      <c r="E237" s="80"/>
      <c r="F237" s="80"/>
      <c r="G237" s="80"/>
      <c r="H237" s="80"/>
      <c r="I237" s="190"/>
      <c r="J237" s="80"/>
      <c r="K237" s="80"/>
      <c r="L237" s="190"/>
      <c r="M237" s="111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190"/>
      <c r="Y237" s="80"/>
      <c r="Z237" s="80"/>
      <c r="AA237" s="190"/>
      <c r="AB237" s="190"/>
      <c r="AC237" s="111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</row>
    <row r="238" spans="1:64">
      <c r="A238" s="80"/>
      <c r="B238" s="80"/>
      <c r="C238" s="80"/>
      <c r="D238" s="80"/>
      <c r="E238" s="80"/>
      <c r="F238" s="80"/>
      <c r="G238" s="80"/>
      <c r="H238" s="80"/>
      <c r="I238" s="190"/>
      <c r="J238" s="80"/>
      <c r="K238" s="80"/>
      <c r="L238" s="190"/>
      <c r="M238" s="111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190"/>
      <c r="Y238" s="80"/>
      <c r="Z238" s="80"/>
      <c r="AA238" s="190"/>
      <c r="AB238" s="190"/>
      <c r="AC238" s="111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</row>
    <row r="239" spans="1:64">
      <c r="A239" s="80"/>
      <c r="B239" s="80"/>
      <c r="C239" s="80"/>
      <c r="D239" s="80"/>
      <c r="E239" s="80"/>
      <c r="F239" s="80"/>
      <c r="G239" s="80"/>
      <c r="H239" s="80"/>
      <c r="I239" s="190"/>
      <c r="J239" s="80"/>
      <c r="K239" s="80"/>
      <c r="L239" s="190"/>
      <c r="M239" s="111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190"/>
      <c r="Y239" s="80"/>
      <c r="Z239" s="80"/>
      <c r="AA239" s="190"/>
      <c r="AB239" s="190"/>
      <c r="AC239" s="111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</row>
    <row r="240" spans="1:64">
      <c r="A240" s="80"/>
      <c r="B240" s="80"/>
      <c r="C240" s="80"/>
      <c r="D240" s="80"/>
      <c r="E240" s="80"/>
      <c r="F240" s="80"/>
      <c r="G240" s="80"/>
      <c r="H240" s="80"/>
      <c r="I240" s="190"/>
      <c r="J240" s="80"/>
      <c r="K240" s="80"/>
      <c r="L240" s="190"/>
      <c r="M240" s="111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190"/>
      <c r="Y240" s="80"/>
      <c r="Z240" s="80"/>
      <c r="AA240" s="190"/>
      <c r="AB240" s="190"/>
      <c r="AC240" s="111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</row>
    <row r="241" spans="1:64">
      <c r="A241" s="80"/>
      <c r="B241" s="80"/>
      <c r="C241" s="80"/>
      <c r="D241" s="80"/>
      <c r="E241" s="80"/>
      <c r="F241" s="80"/>
      <c r="G241" s="80"/>
      <c r="H241" s="80"/>
      <c r="I241" s="190"/>
      <c r="J241" s="80"/>
      <c r="K241" s="80"/>
      <c r="L241" s="190"/>
      <c r="M241" s="111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190"/>
      <c r="Y241" s="80"/>
      <c r="Z241" s="80"/>
      <c r="AA241" s="190"/>
      <c r="AB241" s="190"/>
      <c r="AC241" s="111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</row>
    <row r="242" spans="1:64">
      <c r="A242" s="80"/>
      <c r="B242" s="80"/>
      <c r="C242" s="80"/>
      <c r="D242" s="80"/>
      <c r="E242" s="80"/>
      <c r="F242" s="80"/>
      <c r="G242" s="80"/>
      <c r="H242" s="80"/>
      <c r="I242" s="190"/>
      <c r="J242" s="80"/>
      <c r="K242" s="80"/>
      <c r="L242" s="190"/>
      <c r="M242" s="111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190"/>
      <c r="Y242" s="80"/>
      <c r="Z242" s="80"/>
      <c r="AA242" s="190"/>
      <c r="AB242" s="190"/>
      <c r="AC242" s="111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</row>
    <row r="243" spans="1:64">
      <c r="A243" s="80"/>
      <c r="B243" s="80"/>
      <c r="C243" s="80"/>
      <c r="D243" s="80"/>
      <c r="E243" s="80"/>
      <c r="F243" s="80"/>
      <c r="G243" s="80"/>
      <c r="H243" s="80"/>
      <c r="I243" s="190"/>
      <c r="J243" s="80"/>
      <c r="K243" s="80"/>
      <c r="L243" s="190"/>
      <c r="M243" s="111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190"/>
      <c r="Y243" s="80"/>
      <c r="Z243" s="80"/>
      <c r="AA243" s="190"/>
      <c r="AB243" s="190"/>
      <c r="AC243" s="111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</row>
    <row r="244" spans="1:64">
      <c r="A244" s="80"/>
      <c r="B244" s="80"/>
      <c r="C244" s="80"/>
      <c r="D244" s="80"/>
      <c r="E244" s="80"/>
      <c r="F244" s="80"/>
      <c r="G244" s="80"/>
      <c r="H244" s="80"/>
      <c r="I244" s="190"/>
      <c r="J244" s="80"/>
      <c r="K244" s="80"/>
      <c r="L244" s="190"/>
      <c r="M244" s="111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190"/>
      <c r="Y244" s="80"/>
      <c r="Z244" s="80"/>
      <c r="AA244" s="190"/>
      <c r="AB244" s="190"/>
      <c r="AC244" s="111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</row>
    <row r="245" spans="1:64">
      <c r="A245" s="80"/>
      <c r="B245" s="80"/>
      <c r="C245" s="80"/>
      <c r="D245" s="80"/>
      <c r="E245" s="80"/>
      <c r="F245" s="80"/>
      <c r="G245" s="80"/>
      <c r="H245" s="80"/>
      <c r="I245" s="190"/>
      <c r="J245" s="80"/>
      <c r="K245" s="80"/>
      <c r="L245" s="190"/>
      <c r="M245" s="111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190"/>
      <c r="Y245" s="80"/>
      <c r="Z245" s="80"/>
      <c r="AA245" s="190"/>
      <c r="AB245" s="190"/>
      <c r="AC245" s="111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</row>
    <row r="246" spans="1:64">
      <c r="A246" s="80"/>
      <c r="B246" s="80"/>
      <c r="C246" s="80"/>
      <c r="D246" s="80"/>
      <c r="E246" s="80"/>
      <c r="F246" s="80"/>
      <c r="G246" s="80"/>
      <c r="H246" s="80"/>
      <c r="I246" s="190"/>
      <c r="J246" s="80"/>
      <c r="K246" s="80"/>
      <c r="L246" s="190"/>
      <c r="M246" s="111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190"/>
      <c r="Y246" s="80"/>
      <c r="Z246" s="80"/>
      <c r="AA246" s="190"/>
      <c r="AB246" s="190"/>
      <c r="AC246" s="111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</row>
    <row r="247" spans="1:64">
      <c r="A247" s="80"/>
      <c r="B247" s="80"/>
      <c r="C247" s="80"/>
      <c r="D247" s="80"/>
      <c r="E247" s="80"/>
      <c r="F247" s="80"/>
      <c r="G247" s="80"/>
      <c r="H247" s="80"/>
      <c r="I247" s="190"/>
      <c r="J247" s="80"/>
      <c r="K247" s="80"/>
      <c r="L247" s="190"/>
      <c r="M247" s="111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190"/>
      <c r="Y247" s="80"/>
      <c r="Z247" s="80"/>
      <c r="AA247" s="190"/>
      <c r="AB247" s="190"/>
      <c r="AC247" s="111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</row>
    <row r="248" spans="1:64">
      <c r="A248" s="80"/>
      <c r="B248" s="80"/>
      <c r="C248" s="80"/>
      <c r="D248" s="80"/>
      <c r="E248" s="80"/>
      <c r="F248" s="80"/>
      <c r="G248" s="80"/>
      <c r="H248" s="80"/>
      <c r="I248" s="190"/>
      <c r="J248" s="80"/>
      <c r="K248" s="80"/>
      <c r="L248" s="190"/>
      <c r="M248" s="111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190"/>
      <c r="Y248" s="80"/>
      <c r="Z248" s="80"/>
      <c r="AA248" s="190"/>
      <c r="AB248" s="190"/>
      <c r="AC248" s="111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</row>
    <row r="249" spans="1:64">
      <c r="A249" s="80"/>
      <c r="B249" s="80"/>
      <c r="C249" s="80"/>
      <c r="D249" s="80"/>
      <c r="E249" s="80"/>
      <c r="F249" s="80"/>
      <c r="G249" s="80"/>
      <c r="H249" s="80"/>
      <c r="I249" s="190"/>
      <c r="J249" s="80"/>
      <c r="K249" s="80"/>
      <c r="L249" s="190"/>
      <c r="M249" s="111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190"/>
      <c r="Y249" s="80"/>
      <c r="Z249" s="80"/>
      <c r="AA249" s="190"/>
      <c r="AB249" s="190"/>
      <c r="AC249" s="111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</row>
    <row r="250" spans="1:64">
      <c r="A250" s="80"/>
      <c r="B250" s="80"/>
      <c r="C250" s="80"/>
      <c r="D250" s="80"/>
      <c r="E250" s="80"/>
      <c r="F250" s="80"/>
      <c r="G250" s="80"/>
      <c r="H250" s="80"/>
      <c r="I250" s="190"/>
      <c r="J250" s="80"/>
      <c r="K250" s="80"/>
      <c r="L250" s="190"/>
      <c r="M250" s="111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190"/>
      <c r="Y250" s="80"/>
      <c r="Z250" s="80"/>
      <c r="AA250" s="190"/>
      <c r="AB250" s="190"/>
      <c r="AC250" s="111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</row>
    <row r="251" spans="1:64">
      <c r="A251" s="80"/>
      <c r="B251" s="80"/>
      <c r="C251" s="80"/>
      <c r="D251" s="80"/>
      <c r="E251" s="80"/>
      <c r="F251" s="80"/>
      <c r="G251" s="80"/>
      <c r="H251" s="80"/>
      <c r="I251" s="190"/>
      <c r="J251" s="80"/>
      <c r="K251" s="80"/>
      <c r="L251" s="190"/>
      <c r="M251" s="111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190"/>
      <c r="Y251" s="80"/>
      <c r="Z251" s="80"/>
      <c r="AA251" s="190"/>
      <c r="AB251" s="190"/>
      <c r="AC251" s="111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</row>
    <row r="252" spans="1:64">
      <c r="A252" s="80"/>
      <c r="B252" s="80"/>
      <c r="C252" s="80"/>
      <c r="D252" s="80"/>
      <c r="E252" s="80"/>
      <c r="F252" s="80"/>
      <c r="G252" s="80"/>
      <c r="H252" s="80"/>
      <c r="I252" s="190"/>
      <c r="J252" s="80"/>
      <c r="K252" s="80"/>
      <c r="L252" s="190"/>
      <c r="M252" s="111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190"/>
      <c r="Y252" s="80"/>
      <c r="Z252" s="80"/>
      <c r="AA252" s="190"/>
      <c r="AB252" s="190"/>
      <c r="AC252" s="111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</row>
    <row r="253" spans="1:64">
      <c r="A253" s="80"/>
      <c r="B253" s="80"/>
      <c r="C253" s="80"/>
      <c r="D253" s="80"/>
      <c r="E253" s="80"/>
      <c r="F253" s="80"/>
      <c r="G253" s="80"/>
      <c r="H253" s="80"/>
      <c r="I253" s="190"/>
      <c r="J253" s="80"/>
      <c r="K253" s="80"/>
      <c r="L253" s="190"/>
      <c r="M253" s="111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190"/>
      <c r="Y253" s="80"/>
      <c r="Z253" s="80"/>
      <c r="AA253" s="190"/>
      <c r="AB253" s="190"/>
      <c r="AC253" s="111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</row>
    <row r="254" spans="1:64">
      <c r="A254" s="80"/>
      <c r="B254" s="80"/>
      <c r="C254" s="80"/>
      <c r="D254" s="80"/>
      <c r="E254" s="80"/>
      <c r="F254" s="80"/>
      <c r="G254" s="80"/>
      <c r="H254" s="80"/>
      <c r="I254" s="190"/>
      <c r="J254" s="80"/>
      <c r="K254" s="80"/>
      <c r="L254" s="190"/>
      <c r="M254" s="111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190"/>
      <c r="Y254" s="80"/>
      <c r="Z254" s="80"/>
      <c r="AA254" s="190"/>
      <c r="AB254" s="190"/>
      <c r="AC254" s="111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</row>
    <row r="255" spans="1:64">
      <c r="A255" s="80"/>
      <c r="B255" s="80"/>
      <c r="C255" s="80"/>
      <c r="D255" s="80"/>
      <c r="E255" s="80"/>
      <c r="F255" s="80"/>
      <c r="G255" s="80"/>
      <c r="H255" s="80"/>
      <c r="I255" s="190"/>
      <c r="J255" s="80"/>
      <c r="K255" s="80"/>
      <c r="L255" s="190"/>
      <c r="M255" s="111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190"/>
      <c r="Y255" s="80"/>
      <c r="Z255" s="80"/>
      <c r="AA255" s="190"/>
      <c r="AB255" s="190"/>
      <c r="AC255" s="111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</row>
    <row r="256" spans="1:64">
      <c r="A256" s="80"/>
      <c r="B256" s="80"/>
      <c r="C256" s="80"/>
      <c r="D256" s="80"/>
      <c r="E256" s="80"/>
      <c r="F256" s="80"/>
      <c r="G256" s="80"/>
      <c r="H256" s="80"/>
      <c r="I256" s="190"/>
      <c r="J256" s="80"/>
      <c r="K256" s="80"/>
      <c r="L256" s="190"/>
      <c r="M256" s="111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190"/>
      <c r="Y256" s="80"/>
      <c r="Z256" s="80"/>
      <c r="AA256" s="190"/>
      <c r="AB256" s="190"/>
      <c r="AC256" s="111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</row>
    <row r="257" spans="1:64">
      <c r="A257" s="80"/>
      <c r="B257" s="80"/>
      <c r="C257" s="80"/>
      <c r="D257" s="80"/>
      <c r="E257" s="80"/>
      <c r="F257" s="80"/>
      <c r="G257" s="80"/>
      <c r="H257" s="80"/>
      <c r="I257" s="190"/>
      <c r="J257" s="80"/>
      <c r="K257" s="80"/>
      <c r="L257" s="190"/>
      <c r="M257" s="111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190"/>
      <c r="Y257" s="80"/>
      <c r="Z257" s="80"/>
      <c r="AA257" s="190"/>
      <c r="AB257" s="190"/>
      <c r="AC257" s="111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</row>
    <row r="258" spans="1:64">
      <c r="A258" s="80"/>
      <c r="B258" s="80"/>
      <c r="C258" s="80"/>
      <c r="D258" s="80"/>
      <c r="E258" s="80"/>
      <c r="F258" s="80"/>
      <c r="G258" s="80"/>
      <c r="H258" s="80"/>
      <c r="I258" s="190"/>
      <c r="J258" s="80"/>
      <c r="K258" s="80"/>
      <c r="L258" s="190"/>
      <c r="M258" s="111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190"/>
      <c r="Y258" s="80"/>
      <c r="Z258" s="80"/>
      <c r="AA258" s="190"/>
      <c r="AB258" s="190"/>
      <c r="AC258" s="111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</row>
    <row r="259" spans="1:64">
      <c r="A259" s="80"/>
      <c r="B259" s="80"/>
      <c r="C259" s="80"/>
      <c r="D259" s="80"/>
      <c r="E259" s="80"/>
      <c r="F259" s="80"/>
      <c r="G259" s="80"/>
      <c r="H259" s="80"/>
      <c r="I259" s="190"/>
      <c r="J259" s="80"/>
      <c r="K259" s="80"/>
      <c r="L259" s="190"/>
      <c r="M259" s="111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190"/>
      <c r="Y259" s="80"/>
      <c r="Z259" s="80"/>
      <c r="AA259" s="190"/>
      <c r="AB259" s="190"/>
      <c r="AC259" s="111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</row>
    <row r="260" spans="1:64">
      <c r="A260" s="80"/>
      <c r="B260" s="80"/>
      <c r="C260" s="80"/>
      <c r="D260" s="80"/>
      <c r="E260" s="80"/>
      <c r="F260" s="80"/>
      <c r="G260" s="80"/>
      <c r="H260" s="80"/>
      <c r="I260" s="190"/>
      <c r="J260" s="80"/>
      <c r="K260" s="80"/>
      <c r="L260" s="190"/>
      <c r="M260" s="111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190"/>
      <c r="Y260" s="80"/>
      <c r="Z260" s="80"/>
      <c r="AA260" s="190"/>
      <c r="AB260" s="190"/>
      <c r="AC260" s="111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</row>
    <row r="261" spans="1:64">
      <c r="A261" s="80"/>
      <c r="B261" s="80"/>
      <c r="C261" s="80"/>
      <c r="D261" s="80"/>
      <c r="E261" s="80"/>
      <c r="F261" s="80"/>
      <c r="G261" s="80"/>
      <c r="H261" s="80"/>
      <c r="I261" s="190"/>
      <c r="J261" s="80"/>
      <c r="K261" s="80"/>
      <c r="L261" s="190"/>
      <c r="M261" s="111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190"/>
      <c r="Y261" s="80"/>
      <c r="Z261" s="80"/>
      <c r="AA261" s="190"/>
      <c r="AB261" s="190"/>
      <c r="AC261" s="111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</row>
    <row r="262" spans="1:64">
      <c r="A262" s="80"/>
      <c r="B262" s="80"/>
      <c r="C262" s="80"/>
      <c r="D262" s="80"/>
      <c r="E262" s="80"/>
      <c r="F262" s="80"/>
      <c r="G262" s="80"/>
      <c r="H262" s="80"/>
      <c r="I262" s="190"/>
      <c r="J262" s="80"/>
      <c r="K262" s="80"/>
      <c r="L262" s="190"/>
      <c r="M262" s="111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190"/>
      <c r="Y262" s="80"/>
      <c r="Z262" s="80"/>
      <c r="AA262" s="190"/>
      <c r="AB262" s="190"/>
      <c r="AC262" s="111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</row>
    <row r="263" spans="1:64">
      <c r="A263" s="80"/>
      <c r="B263" s="80"/>
      <c r="C263" s="80"/>
      <c r="D263" s="80"/>
      <c r="E263" s="80"/>
      <c r="F263" s="80"/>
      <c r="G263" s="80"/>
      <c r="H263" s="80"/>
      <c r="I263" s="190"/>
      <c r="J263" s="80"/>
      <c r="K263" s="80"/>
      <c r="L263" s="190"/>
      <c r="M263" s="111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190"/>
      <c r="Y263" s="80"/>
      <c r="Z263" s="80"/>
      <c r="AA263" s="190"/>
      <c r="AB263" s="190"/>
      <c r="AC263" s="111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</row>
    <row r="264" spans="1:64">
      <c r="A264" s="80"/>
      <c r="B264" s="80"/>
      <c r="C264" s="80"/>
      <c r="D264" s="80"/>
      <c r="E264" s="80"/>
      <c r="F264" s="80"/>
      <c r="G264" s="80"/>
      <c r="H264" s="80"/>
      <c r="I264" s="190"/>
      <c r="J264" s="80"/>
      <c r="K264" s="80"/>
      <c r="L264" s="190"/>
      <c r="M264" s="111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190"/>
      <c r="Y264" s="80"/>
      <c r="Z264" s="80"/>
      <c r="AA264" s="190"/>
      <c r="AB264" s="190"/>
      <c r="AC264" s="111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</row>
    <row r="265" spans="1:64">
      <c r="A265" s="80"/>
      <c r="B265" s="80"/>
      <c r="C265" s="80"/>
      <c r="D265" s="80"/>
      <c r="E265" s="80"/>
      <c r="F265" s="80"/>
      <c r="G265" s="80"/>
      <c r="H265" s="80"/>
      <c r="I265" s="190"/>
      <c r="J265" s="80"/>
      <c r="K265" s="80"/>
      <c r="L265" s="190"/>
      <c r="M265" s="111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190"/>
      <c r="Y265" s="80"/>
      <c r="Z265" s="80"/>
      <c r="AA265" s="190"/>
      <c r="AB265" s="190"/>
      <c r="AC265" s="111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</row>
    <row r="266" spans="1:64">
      <c r="A266" s="80"/>
      <c r="B266" s="80"/>
      <c r="C266" s="80"/>
      <c r="D266" s="80"/>
      <c r="E266" s="80"/>
      <c r="F266" s="80"/>
      <c r="G266" s="80"/>
      <c r="H266" s="80"/>
      <c r="I266" s="190"/>
      <c r="J266" s="80"/>
      <c r="K266" s="80"/>
      <c r="L266" s="190"/>
      <c r="M266" s="111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190"/>
      <c r="Y266" s="80"/>
      <c r="Z266" s="80"/>
      <c r="AA266" s="190"/>
      <c r="AB266" s="190"/>
      <c r="AC266" s="111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</row>
    <row r="267" spans="1:64">
      <c r="A267" s="80"/>
      <c r="B267" s="80"/>
      <c r="C267" s="80"/>
      <c r="D267" s="80"/>
      <c r="E267" s="80"/>
      <c r="F267" s="80"/>
      <c r="G267" s="80"/>
      <c r="H267" s="80"/>
      <c r="I267" s="190"/>
      <c r="J267" s="80"/>
      <c r="K267" s="80"/>
      <c r="L267" s="190"/>
      <c r="M267" s="111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190"/>
      <c r="Y267" s="80"/>
      <c r="Z267" s="80"/>
      <c r="AA267" s="190"/>
      <c r="AB267" s="190"/>
      <c r="AC267" s="111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</row>
    <row r="268" spans="1:64">
      <c r="A268" s="80"/>
      <c r="B268" s="80"/>
      <c r="C268" s="80"/>
      <c r="D268" s="80"/>
      <c r="E268" s="80"/>
      <c r="F268" s="80"/>
      <c r="G268" s="80"/>
      <c r="H268" s="80"/>
      <c r="I268" s="190"/>
      <c r="J268" s="80"/>
      <c r="K268" s="80"/>
      <c r="L268" s="190"/>
      <c r="M268" s="111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190"/>
      <c r="Y268" s="80"/>
      <c r="Z268" s="80"/>
      <c r="AA268" s="190"/>
      <c r="AB268" s="190"/>
      <c r="AC268" s="111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</row>
    <row r="269" spans="1:64">
      <c r="A269" s="80"/>
      <c r="B269" s="80"/>
      <c r="C269" s="80"/>
      <c r="D269" s="80"/>
      <c r="E269" s="80"/>
      <c r="F269" s="80"/>
      <c r="G269" s="80"/>
      <c r="H269" s="80"/>
      <c r="I269" s="190"/>
      <c r="J269" s="80"/>
      <c r="K269" s="80"/>
      <c r="L269" s="190"/>
      <c r="M269" s="111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190"/>
      <c r="Y269" s="80"/>
      <c r="Z269" s="80"/>
      <c r="AA269" s="190"/>
      <c r="AB269" s="190"/>
      <c r="AC269" s="111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</row>
    <row r="270" spans="1:64">
      <c r="A270" s="80"/>
      <c r="B270" s="80"/>
      <c r="C270" s="80"/>
      <c r="D270" s="80"/>
      <c r="E270" s="80"/>
      <c r="F270" s="80"/>
      <c r="G270" s="80"/>
      <c r="H270" s="80"/>
      <c r="I270" s="190"/>
      <c r="J270" s="80"/>
      <c r="K270" s="80"/>
      <c r="L270" s="190"/>
      <c r="M270" s="111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190"/>
      <c r="Y270" s="80"/>
      <c r="Z270" s="80"/>
      <c r="AA270" s="190"/>
      <c r="AB270" s="190"/>
      <c r="AC270" s="111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</row>
    <row r="271" spans="1:64">
      <c r="A271" s="80"/>
      <c r="B271" s="80"/>
      <c r="C271" s="80"/>
      <c r="D271" s="80"/>
      <c r="E271" s="80"/>
      <c r="F271" s="80"/>
      <c r="G271" s="80"/>
      <c r="H271" s="80"/>
      <c r="I271" s="190"/>
      <c r="J271" s="80"/>
      <c r="K271" s="80"/>
      <c r="L271" s="190"/>
      <c r="M271" s="111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190"/>
      <c r="Y271" s="80"/>
      <c r="Z271" s="80"/>
      <c r="AA271" s="190"/>
      <c r="AB271" s="190"/>
      <c r="AC271" s="111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</row>
    <row r="272" spans="1:64">
      <c r="A272" s="80"/>
      <c r="B272" s="80"/>
      <c r="C272" s="80"/>
      <c r="D272" s="80"/>
      <c r="E272" s="80"/>
      <c r="F272" s="80"/>
      <c r="G272" s="80"/>
      <c r="H272" s="80"/>
      <c r="I272" s="190"/>
      <c r="J272" s="80"/>
      <c r="K272" s="80"/>
      <c r="L272" s="190"/>
      <c r="M272" s="111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190"/>
      <c r="Y272" s="80"/>
      <c r="Z272" s="80"/>
      <c r="AA272" s="190"/>
      <c r="AB272" s="190"/>
      <c r="AC272" s="111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</row>
    <row r="273" spans="1:64">
      <c r="A273" s="80"/>
      <c r="B273" s="80"/>
      <c r="C273" s="80"/>
      <c r="D273" s="80"/>
      <c r="E273" s="80"/>
      <c r="F273" s="80"/>
      <c r="G273" s="80"/>
      <c r="H273" s="80"/>
      <c r="I273" s="190"/>
      <c r="J273" s="80"/>
      <c r="K273" s="80"/>
      <c r="L273" s="190"/>
      <c r="M273" s="111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190"/>
      <c r="Y273" s="80"/>
      <c r="Z273" s="80"/>
      <c r="AA273" s="190"/>
      <c r="AB273" s="190"/>
      <c r="AC273" s="111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</row>
    <row r="274" spans="1:64">
      <c r="A274" s="80"/>
      <c r="B274" s="80"/>
      <c r="C274" s="80"/>
      <c r="D274" s="80"/>
      <c r="E274" s="80"/>
      <c r="F274" s="80"/>
      <c r="G274" s="80"/>
      <c r="H274" s="80"/>
      <c r="I274" s="190"/>
      <c r="J274" s="80"/>
      <c r="K274" s="80"/>
      <c r="L274" s="190"/>
      <c r="M274" s="111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190"/>
      <c r="Y274" s="80"/>
      <c r="Z274" s="80"/>
      <c r="AA274" s="190"/>
      <c r="AB274" s="190"/>
      <c r="AC274" s="111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</row>
    <row r="275" spans="1:64">
      <c r="A275" s="80"/>
      <c r="B275" s="80"/>
      <c r="C275" s="80"/>
      <c r="D275" s="80"/>
      <c r="E275" s="80"/>
      <c r="F275" s="80"/>
      <c r="G275" s="80"/>
      <c r="H275" s="80"/>
      <c r="I275" s="190"/>
      <c r="J275" s="80"/>
      <c r="K275" s="80"/>
      <c r="L275" s="190"/>
      <c r="M275" s="111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190"/>
      <c r="Y275" s="80"/>
      <c r="Z275" s="80"/>
      <c r="AA275" s="190"/>
      <c r="AB275" s="190"/>
      <c r="AC275" s="111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</row>
    <row r="276" spans="1:64">
      <c r="A276" s="80"/>
      <c r="B276" s="80"/>
      <c r="C276" s="80"/>
      <c r="D276" s="80"/>
      <c r="E276" s="80"/>
      <c r="F276" s="80"/>
      <c r="G276" s="80"/>
      <c r="H276" s="80"/>
      <c r="I276" s="190"/>
      <c r="J276" s="80"/>
      <c r="K276" s="80"/>
      <c r="L276" s="190"/>
      <c r="M276" s="111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190"/>
      <c r="Y276" s="80"/>
      <c r="Z276" s="80"/>
      <c r="AA276" s="190"/>
      <c r="AB276" s="190"/>
      <c r="AC276" s="111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</row>
    <row r="277" spans="1:64">
      <c r="A277" s="80"/>
      <c r="B277" s="80"/>
      <c r="C277" s="80"/>
      <c r="D277" s="80"/>
      <c r="E277" s="80"/>
      <c r="F277" s="80"/>
      <c r="G277" s="80"/>
      <c r="H277" s="80"/>
      <c r="I277" s="190"/>
      <c r="J277" s="80"/>
      <c r="K277" s="80"/>
      <c r="L277" s="190"/>
      <c r="M277" s="111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190"/>
      <c r="Y277" s="80"/>
      <c r="Z277" s="80"/>
      <c r="AA277" s="190"/>
      <c r="AB277" s="190"/>
      <c r="AC277" s="111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</row>
    <row r="278" spans="1:64">
      <c r="A278" s="80"/>
      <c r="B278" s="80"/>
      <c r="C278" s="80"/>
      <c r="D278" s="80"/>
      <c r="E278" s="80"/>
      <c r="F278" s="80"/>
      <c r="G278" s="80"/>
      <c r="H278" s="80"/>
      <c r="I278" s="190"/>
      <c r="J278" s="80"/>
      <c r="K278" s="80"/>
      <c r="L278" s="190"/>
      <c r="M278" s="111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190"/>
      <c r="Y278" s="80"/>
      <c r="Z278" s="80"/>
      <c r="AA278" s="190"/>
      <c r="AB278" s="190"/>
      <c r="AC278" s="111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</row>
    <row r="279" spans="1:64">
      <c r="A279" s="80"/>
      <c r="B279" s="80"/>
      <c r="C279" s="80"/>
      <c r="D279" s="80"/>
      <c r="E279" s="80"/>
      <c r="F279" s="80"/>
      <c r="G279" s="80"/>
      <c r="H279" s="80"/>
      <c r="I279" s="190"/>
      <c r="J279" s="80"/>
      <c r="K279" s="80"/>
      <c r="L279" s="190"/>
      <c r="M279" s="111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190"/>
      <c r="Y279" s="80"/>
      <c r="Z279" s="80"/>
      <c r="AA279" s="190"/>
      <c r="AB279" s="190"/>
      <c r="AC279" s="111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</row>
    <row r="280" spans="1:64">
      <c r="A280" s="80"/>
      <c r="B280" s="80"/>
      <c r="C280" s="80"/>
      <c r="D280" s="80"/>
      <c r="E280" s="80"/>
      <c r="F280" s="80"/>
      <c r="G280" s="80"/>
      <c r="H280" s="80"/>
      <c r="I280" s="190"/>
      <c r="J280" s="80"/>
      <c r="K280" s="80"/>
      <c r="L280" s="190"/>
      <c r="M280" s="111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190"/>
      <c r="Y280" s="80"/>
      <c r="Z280" s="80"/>
      <c r="AA280" s="190"/>
      <c r="AB280" s="190"/>
      <c r="AC280" s="111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</row>
    <row r="281" spans="1:64">
      <c r="A281" s="80"/>
      <c r="B281" s="80"/>
      <c r="C281" s="80"/>
      <c r="D281" s="80"/>
      <c r="E281" s="80"/>
      <c r="F281" s="80"/>
      <c r="G281" s="80"/>
      <c r="H281" s="80"/>
      <c r="I281" s="190"/>
      <c r="J281" s="80"/>
      <c r="K281" s="80"/>
      <c r="L281" s="190"/>
      <c r="M281" s="111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190"/>
      <c r="Y281" s="80"/>
      <c r="Z281" s="80"/>
      <c r="AA281" s="190"/>
      <c r="AB281" s="190"/>
      <c r="AC281" s="111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</row>
    <row r="282" spans="1:64">
      <c r="A282" s="80"/>
      <c r="B282" s="80"/>
      <c r="C282" s="80"/>
      <c r="D282" s="80"/>
      <c r="E282" s="80"/>
      <c r="F282" s="80"/>
      <c r="G282" s="80"/>
      <c r="H282" s="80"/>
      <c r="I282" s="190"/>
      <c r="J282" s="80"/>
      <c r="K282" s="80"/>
      <c r="L282" s="190"/>
      <c r="M282" s="111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190"/>
      <c r="Y282" s="80"/>
      <c r="Z282" s="80"/>
      <c r="AA282" s="190"/>
      <c r="AB282" s="190"/>
      <c r="AC282" s="111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</row>
    <row r="283" spans="1:64">
      <c r="A283" s="80"/>
      <c r="B283" s="80"/>
      <c r="C283" s="80"/>
      <c r="D283" s="80"/>
      <c r="E283" s="80"/>
      <c r="F283" s="80"/>
      <c r="G283" s="80"/>
      <c r="H283" s="80"/>
      <c r="I283" s="190"/>
      <c r="J283" s="80"/>
      <c r="K283" s="80"/>
      <c r="L283" s="190"/>
      <c r="M283" s="111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190"/>
      <c r="Y283" s="80"/>
      <c r="Z283" s="80"/>
      <c r="AA283" s="190"/>
      <c r="AB283" s="190"/>
      <c r="AC283" s="111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</row>
    <row r="284" spans="1:64">
      <c r="A284" s="80"/>
      <c r="B284" s="80"/>
      <c r="C284" s="80"/>
      <c r="D284" s="80"/>
      <c r="E284" s="80"/>
      <c r="F284" s="80"/>
      <c r="G284" s="80"/>
      <c r="H284" s="80"/>
      <c r="I284" s="190"/>
      <c r="J284" s="80"/>
      <c r="K284" s="80"/>
      <c r="L284" s="190"/>
      <c r="M284" s="111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190"/>
      <c r="Y284" s="80"/>
      <c r="Z284" s="80"/>
      <c r="AA284" s="190"/>
      <c r="AB284" s="190"/>
      <c r="AC284" s="111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</row>
    <row r="285" spans="1:64">
      <c r="A285" s="80"/>
      <c r="B285" s="80"/>
      <c r="C285" s="80"/>
      <c r="D285" s="80"/>
      <c r="E285" s="80"/>
      <c r="F285" s="80"/>
      <c r="G285" s="80"/>
      <c r="H285" s="80"/>
      <c r="I285" s="190"/>
      <c r="J285" s="80"/>
      <c r="K285" s="80"/>
      <c r="L285" s="190"/>
      <c r="M285" s="111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190"/>
      <c r="Y285" s="80"/>
      <c r="Z285" s="80"/>
      <c r="AA285" s="190"/>
      <c r="AB285" s="190"/>
      <c r="AC285" s="111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</row>
    <row r="286" spans="1:64">
      <c r="A286" s="80"/>
      <c r="B286" s="80"/>
      <c r="C286" s="80"/>
      <c r="D286" s="80"/>
      <c r="E286" s="80"/>
      <c r="F286" s="80"/>
      <c r="G286" s="80"/>
      <c r="H286" s="80"/>
      <c r="I286" s="190"/>
      <c r="J286" s="80"/>
      <c r="K286" s="80"/>
      <c r="L286" s="190"/>
      <c r="M286" s="111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190"/>
      <c r="Y286" s="80"/>
      <c r="Z286" s="80"/>
      <c r="AA286" s="190"/>
      <c r="AB286" s="190"/>
      <c r="AC286" s="111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</row>
    <row r="287" spans="1:64">
      <c r="A287" s="80"/>
      <c r="B287" s="80"/>
      <c r="C287" s="80"/>
      <c r="D287" s="80"/>
      <c r="E287" s="80"/>
      <c r="F287" s="80"/>
      <c r="G287" s="80"/>
      <c r="H287" s="80"/>
      <c r="I287" s="190"/>
      <c r="J287" s="80"/>
      <c r="K287" s="80"/>
      <c r="L287" s="190"/>
      <c r="M287" s="111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190"/>
      <c r="Y287" s="80"/>
      <c r="Z287" s="80"/>
      <c r="AA287" s="190"/>
      <c r="AB287" s="190"/>
      <c r="AC287" s="111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</row>
    <row r="288" spans="1:64">
      <c r="A288" s="80"/>
      <c r="B288" s="80"/>
      <c r="C288" s="80"/>
      <c r="D288" s="80"/>
      <c r="E288" s="80"/>
      <c r="F288" s="80"/>
      <c r="G288" s="80"/>
      <c r="H288" s="80"/>
      <c r="I288" s="190"/>
      <c r="J288" s="80"/>
      <c r="K288" s="80"/>
      <c r="L288" s="190"/>
      <c r="M288" s="111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190"/>
      <c r="Y288" s="80"/>
      <c r="Z288" s="80"/>
      <c r="AA288" s="190"/>
      <c r="AB288" s="190"/>
      <c r="AC288" s="111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</row>
    <row r="289" spans="1:64">
      <c r="A289" s="80"/>
      <c r="B289" s="80"/>
      <c r="C289" s="80"/>
      <c r="D289" s="80"/>
      <c r="E289" s="80"/>
      <c r="F289" s="80"/>
      <c r="G289" s="80"/>
      <c r="H289" s="80"/>
      <c r="I289" s="190"/>
      <c r="J289" s="80"/>
      <c r="K289" s="80"/>
      <c r="L289" s="190"/>
      <c r="M289" s="111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190"/>
      <c r="Y289" s="80"/>
      <c r="Z289" s="80"/>
      <c r="AA289" s="190"/>
      <c r="AB289" s="190"/>
      <c r="AC289" s="111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</row>
    <row r="290" spans="1:64">
      <c r="A290" s="80"/>
      <c r="B290" s="80"/>
      <c r="C290" s="80"/>
      <c r="D290" s="80"/>
      <c r="E290" s="80"/>
      <c r="F290" s="80"/>
      <c r="G290" s="80"/>
      <c r="H290" s="80"/>
      <c r="I290" s="190"/>
      <c r="J290" s="80"/>
      <c r="K290" s="80"/>
      <c r="L290" s="190"/>
      <c r="M290" s="111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190"/>
      <c r="Y290" s="80"/>
      <c r="Z290" s="80"/>
      <c r="AA290" s="190"/>
      <c r="AB290" s="190"/>
      <c r="AC290" s="111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</row>
    <row r="291" spans="1:64">
      <c r="A291" s="80"/>
      <c r="B291" s="80"/>
      <c r="C291" s="80"/>
      <c r="D291" s="80"/>
      <c r="E291" s="80"/>
      <c r="F291" s="80"/>
      <c r="G291" s="80"/>
      <c r="H291" s="80"/>
      <c r="I291" s="190"/>
      <c r="J291" s="80"/>
      <c r="K291" s="80"/>
      <c r="L291" s="190"/>
      <c r="M291" s="111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190"/>
      <c r="Y291" s="80"/>
      <c r="Z291" s="80"/>
      <c r="AA291" s="190"/>
      <c r="AB291" s="190"/>
      <c r="AC291" s="111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</row>
    <row r="292" spans="1:64">
      <c r="A292" s="80"/>
      <c r="B292" s="80"/>
      <c r="C292" s="80"/>
      <c r="D292" s="80"/>
      <c r="E292" s="80"/>
      <c r="F292" s="80"/>
      <c r="G292" s="80"/>
      <c r="H292" s="80"/>
      <c r="I292" s="190"/>
      <c r="J292" s="80"/>
      <c r="K292" s="80"/>
      <c r="L292" s="190"/>
      <c r="M292" s="111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190"/>
      <c r="Y292" s="80"/>
      <c r="Z292" s="80"/>
      <c r="AA292" s="190"/>
      <c r="AB292" s="190"/>
      <c r="AC292" s="111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</row>
    <row r="293" spans="1:64">
      <c r="A293" s="80"/>
      <c r="B293" s="80"/>
      <c r="C293" s="80"/>
      <c r="D293" s="80"/>
      <c r="E293" s="80"/>
      <c r="F293" s="80"/>
      <c r="G293" s="80"/>
      <c r="H293" s="80"/>
      <c r="I293" s="190"/>
      <c r="J293" s="80"/>
      <c r="K293" s="80"/>
      <c r="L293" s="190"/>
      <c r="M293" s="111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190"/>
      <c r="Y293" s="80"/>
      <c r="Z293" s="80"/>
      <c r="AA293" s="190"/>
      <c r="AB293" s="190"/>
      <c r="AC293" s="111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</row>
    <row r="294" spans="1:64">
      <c r="A294" s="80"/>
      <c r="B294" s="80"/>
      <c r="C294" s="80"/>
      <c r="D294" s="80"/>
      <c r="E294" s="80"/>
      <c r="F294" s="80"/>
      <c r="G294" s="80"/>
      <c r="H294" s="80"/>
      <c r="I294" s="190"/>
      <c r="J294" s="80"/>
      <c r="K294" s="80"/>
      <c r="L294" s="190"/>
      <c r="M294" s="111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190"/>
      <c r="Y294" s="80"/>
      <c r="Z294" s="80"/>
      <c r="AA294" s="190"/>
      <c r="AB294" s="190"/>
      <c r="AC294" s="111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</row>
    <row r="295" spans="1:64">
      <c r="A295" s="80"/>
      <c r="B295" s="80"/>
      <c r="C295" s="80"/>
      <c r="D295" s="80"/>
      <c r="E295" s="80"/>
      <c r="F295" s="80"/>
      <c r="G295" s="80"/>
      <c r="H295" s="80"/>
      <c r="I295" s="190"/>
      <c r="J295" s="80"/>
      <c r="K295" s="80"/>
      <c r="L295" s="190"/>
      <c r="M295" s="111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190"/>
      <c r="Y295" s="80"/>
      <c r="Z295" s="80"/>
      <c r="AA295" s="190"/>
      <c r="AB295" s="190"/>
      <c r="AC295" s="111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</row>
    <row r="296" spans="1:64">
      <c r="A296" s="80"/>
      <c r="B296" s="80"/>
      <c r="C296" s="80"/>
      <c r="D296" s="80"/>
      <c r="E296" s="80"/>
      <c r="F296" s="80"/>
      <c r="G296" s="80"/>
      <c r="H296" s="80"/>
      <c r="I296" s="190"/>
      <c r="J296" s="80"/>
      <c r="K296" s="80"/>
      <c r="L296" s="190"/>
      <c r="M296" s="111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190"/>
      <c r="Y296" s="80"/>
      <c r="Z296" s="80"/>
      <c r="AA296" s="190"/>
      <c r="AB296" s="190"/>
      <c r="AC296" s="111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</row>
    <row r="297" spans="1:64">
      <c r="A297" s="80"/>
      <c r="B297" s="80"/>
      <c r="C297" s="80"/>
      <c r="D297" s="80"/>
      <c r="E297" s="80"/>
      <c r="F297" s="80"/>
      <c r="G297" s="80"/>
      <c r="H297" s="80"/>
      <c r="I297" s="190"/>
      <c r="J297" s="80"/>
      <c r="K297" s="80"/>
      <c r="L297" s="190"/>
      <c r="M297" s="111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190"/>
      <c r="Y297" s="80"/>
      <c r="Z297" s="80"/>
      <c r="AA297" s="190"/>
      <c r="AB297" s="190"/>
      <c r="AC297" s="111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</row>
    <row r="298" spans="1:64">
      <c r="A298" s="80"/>
      <c r="B298" s="80"/>
      <c r="C298" s="80"/>
      <c r="D298" s="80"/>
      <c r="E298" s="80"/>
      <c r="F298" s="80"/>
      <c r="G298" s="80"/>
      <c r="H298" s="80"/>
      <c r="I298" s="190"/>
      <c r="J298" s="80"/>
      <c r="K298" s="80"/>
      <c r="L298" s="190"/>
      <c r="M298" s="111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190"/>
      <c r="Y298" s="80"/>
      <c r="Z298" s="80"/>
      <c r="AA298" s="190"/>
      <c r="AB298" s="190"/>
      <c r="AC298" s="111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</row>
    <row r="299" spans="1:64">
      <c r="A299" s="80"/>
      <c r="B299" s="80"/>
      <c r="C299" s="80"/>
      <c r="D299" s="80"/>
      <c r="E299" s="80"/>
      <c r="F299" s="80"/>
      <c r="G299" s="80"/>
      <c r="H299" s="80"/>
      <c r="I299" s="190"/>
      <c r="J299" s="80"/>
      <c r="K299" s="80"/>
      <c r="L299" s="190"/>
      <c r="M299" s="111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190"/>
      <c r="Y299" s="80"/>
      <c r="Z299" s="80"/>
      <c r="AA299" s="190"/>
      <c r="AB299" s="190"/>
      <c r="AC299" s="111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</row>
    <row r="300" spans="1:64">
      <c r="A300" s="80"/>
      <c r="B300" s="80"/>
      <c r="C300" s="80"/>
      <c r="D300" s="80"/>
      <c r="E300" s="80"/>
      <c r="F300" s="80"/>
      <c r="G300" s="80"/>
      <c r="H300" s="80"/>
      <c r="I300" s="190"/>
      <c r="J300" s="80"/>
      <c r="K300" s="80"/>
      <c r="L300" s="190"/>
      <c r="M300" s="111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190"/>
      <c r="Y300" s="80"/>
      <c r="Z300" s="80"/>
      <c r="AA300" s="190"/>
      <c r="AB300" s="190"/>
      <c r="AC300" s="111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</row>
    <row r="301" spans="1:64">
      <c r="A301" s="80"/>
      <c r="B301" s="80"/>
      <c r="C301" s="80"/>
      <c r="D301" s="80"/>
      <c r="E301" s="80"/>
      <c r="F301" s="80"/>
      <c r="G301" s="80"/>
      <c r="H301" s="80"/>
      <c r="I301" s="190"/>
      <c r="J301" s="80"/>
      <c r="K301" s="80"/>
      <c r="L301" s="190"/>
      <c r="M301" s="111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190"/>
      <c r="Y301" s="80"/>
      <c r="Z301" s="80"/>
      <c r="AA301" s="190"/>
      <c r="AB301" s="190"/>
      <c r="AC301" s="111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</row>
    <row r="302" spans="1:64">
      <c r="A302" s="80"/>
      <c r="B302" s="80"/>
      <c r="C302" s="80"/>
      <c r="D302" s="80"/>
      <c r="E302" s="80"/>
      <c r="F302" s="80"/>
      <c r="G302" s="80"/>
      <c r="H302" s="80"/>
      <c r="I302" s="190"/>
      <c r="J302" s="80"/>
      <c r="K302" s="80"/>
      <c r="L302" s="190"/>
      <c r="M302" s="111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190"/>
      <c r="Y302" s="80"/>
      <c r="Z302" s="80"/>
      <c r="AA302" s="190"/>
      <c r="AB302" s="190"/>
      <c r="AC302" s="111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</row>
    <row r="303" spans="1:64">
      <c r="A303" s="80"/>
      <c r="B303" s="80"/>
      <c r="C303" s="80"/>
      <c r="D303" s="80"/>
      <c r="E303" s="80"/>
      <c r="F303" s="80"/>
      <c r="G303" s="80"/>
      <c r="H303" s="80"/>
      <c r="I303" s="190"/>
      <c r="J303" s="80"/>
      <c r="K303" s="80"/>
      <c r="L303" s="190"/>
      <c r="M303" s="111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190"/>
      <c r="Y303" s="80"/>
      <c r="Z303" s="80"/>
      <c r="AA303" s="190"/>
      <c r="AB303" s="190"/>
      <c r="AC303" s="111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</row>
    <row r="304" spans="1:64">
      <c r="A304" s="80"/>
      <c r="B304" s="80"/>
      <c r="C304" s="80"/>
      <c r="D304" s="80"/>
      <c r="E304" s="80"/>
      <c r="F304" s="80"/>
      <c r="G304" s="80"/>
      <c r="H304" s="80"/>
      <c r="I304" s="190"/>
      <c r="J304" s="80"/>
      <c r="K304" s="80"/>
      <c r="L304" s="190"/>
      <c r="M304" s="111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190"/>
      <c r="Y304" s="80"/>
      <c r="Z304" s="80"/>
      <c r="AA304" s="190"/>
      <c r="AB304" s="190"/>
      <c r="AC304" s="111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</row>
    <row r="305" spans="1:64">
      <c r="A305" s="80"/>
      <c r="B305" s="80"/>
      <c r="C305" s="80"/>
      <c r="D305" s="80"/>
      <c r="E305" s="80"/>
      <c r="F305" s="80"/>
      <c r="G305" s="80"/>
      <c r="H305" s="80"/>
      <c r="I305" s="190"/>
      <c r="J305" s="80"/>
      <c r="K305" s="80"/>
      <c r="L305" s="190"/>
      <c r="M305" s="111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190"/>
      <c r="Y305" s="80"/>
      <c r="Z305" s="80"/>
      <c r="AA305" s="190"/>
      <c r="AB305" s="190"/>
      <c r="AC305" s="111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</row>
    <row r="306" spans="1:64">
      <c r="A306" s="80"/>
      <c r="B306" s="80"/>
      <c r="C306" s="80"/>
      <c r="D306" s="80"/>
      <c r="E306" s="80"/>
      <c r="F306" s="80"/>
      <c r="G306" s="80"/>
      <c r="H306" s="80"/>
      <c r="I306" s="190"/>
      <c r="J306" s="80"/>
      <c r="K306" s="80"/>
      <c r="L306" s="190"/>
      <c r="M306" s="111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190"/>
      <c r="Y306" s="80"/>
      <c r="Z306" s="80"/>
      <c r="AA306" s="190"/>
      <c r="AB306" s="190"/>
      <c r="AC306" s="111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</row>
    <row r="307" spans="1:64">
      <c r="A307" s="80"/>
      <c r="B307" s="80"/>
      <c r="C307" s="80"/>
      <c r="D307" s="80"/>
      <c r="E307" s="80"/>
      <c r="F307" s="80"/>
      <c r="G307" s="80"/>
      <c r="H307" s="80"/>
      <c r="I307" s="190"/>
      <c r="J307" s="80"/>
      <c r="K307" s="80"/>
      <c r="L307" s="190"/>
      <c r="M307" s="111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190"/>
      <c r="Y307" s="80"/>
      <c r="Z307" s="80"/>
      <c r="AA307" s="190"/>
      <c r="AB307" s="190"/>
      <c r="AC307" s="111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</row>
    <row r="308" spans="1:64">
      <c r="A308" s="80"/>
      <c r="B308" s="80"/>
      <c r="C308" s="80"/>
      <c r="D308" s="80"/>
      <c r="E308" s="80"/>
      <c r="F308" s="80"/>
      <c r="G308" s="80"/>
      <c r="H308" s="80"/>
      <c r="I308" s="190"/>
      <c r="J308" s="80"/>
      <c r="K308" s="80"/>
      <c r="L308" s="190"/>
      <c r="M308" s="111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190"/>
      <c r="Y308" s="80"/>
      <c r="Z308" s="80"/>
      <c r="AA308" s="190"/>
      <c r="AB308" s="190"/>
      <c r="AC308" s="111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</row>
    <row r="309" spans="1:64">
      <c r="A309" s="80"/>
      <c r="B309" s="80"/>
      <c r="C309" s="80"/>
      <c r="D309" s="80"/>
      <c r="E309" s="80"/>
      <c r="F309" s="80"/>
      <c r="G309" s="80"/>
      <c r="H309" s="80"/>
      <c r="I309" s="190"/>
      <c r="J309" s="80"/>
      <c r="K309" s="80"/>
      <c r="L309" s="190"/>
      <c r="M309" s="111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190"/>
      <c r="Y309" s="80"/>
      <c r="Z309" s="80"/>
      <c r="AA309" s="190"/>
      <c r="AB309" s="190"/>
      <c r="AC309" s="111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</row>
    <row r="310" spans="1:64">
      <c r="A310" s="80"/>
      <c r="B310" s="80"/>
      <c r="C310" s="80"/>
      <c r="D310" s="80"/>
      <c r="E310" s="80"/>
      <c r="F310" s="80"/>
      <c r="G310" s="80"/>
      <c r="H310" s="80"/>
      <c r="I310" s="190"/>
      <c r="J310" s="80"/>
      <c r="K310" s="80"/>
      <c r="L310" s="190"/>
      <c r="M310" s="111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190"/>
      <c r="Y310" s="80"/>
      <c r="Z310" s="80"/>
      <c r="AA310" s="190"/>
      <c r="AB310" s="190"/>
      <c r="AC310" s="111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</row>
    <row r="311" spans="1:64">
      <c r="A311" s="80"/>
      <c r="B311" s="80"/>
      <c r="C311" s="80"/>
      <c r="D311" s="80"/>
      <c r="E311" s="80"/>
      <c r="F311" s="80"/>
      <c r="G311" s="80"/>
      <c r="H311" s="80"/>
      <c r="I311" s="190"/>
      <c r="J311" s="80"/>
      <c r="K311" s="80"/>
      <c r="L311" s="190"/>
      <c r="M311" s="111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190"/>
      <c r="Y311" s="80"/>
      <c r="Z311" s="80"/>
      <c r="AA311" s="190"/>
      <c r="AB311" s="190"/>
      <c r="AC311" s="111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</row>
    <row r="312" spans="1:64">
      <c r="A312" s="80"/>
      <c r="B312" s="80"/>
      <c r="C312" s="80"/>
      <c r="D312" s="80"/>
      <c r="E312" s="80"/>
      <c r="F312" s="80"/>
      <c r="G312" s="80"/>
      <c r="H312" s="80"/>
      <c r="I312" s="190"/>
      <c r="J312" s="80"/>
      <c r="K312" s="80"/>
      <c r="L312" s="190"/>
      <c r="M312" s="111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190"/>
      <c r="Y312" s="80"/>
      <c r="Z312" s="80"/>
      <c r="AA312" s="190"/>
      <c r="AB312" s="190"/>
      <c r="AC312" s="111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</row>
    <row r="313" spans="1:64">
      <c r="A313" s="80"/>
      <c r="B313" s="80"/>
      <c r="C313" s="80"/>
      <c r="D313" s="80"/>
      <c r="E313" s="80"/>
      <c r="F313" s="80"/>
      <c r="G313" s="80"/>
      <c r="H313" s="80"/>
      <c r="I313" s="190"/>
      <c r="J313" s="80"/>
      <c r="K313" s="80"/>
      <c r="L313" s="190"/>
      <c r="M313" s="111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190"/>
      <c r="Y313" s="80"/>
      <c r="Z313" s="80"/>
      <c r="AA313" s="190"/>
      <c r="AB313" s="190"/>
      <c r="AC313" s="111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</row>
    <row r="314" spans="1:64">
      <c r="A314" s="80"/>
      <c r="B314" s="80"/>
      <c r="C314" s="80"/>
      <c r="D314" s="80"/>
      <c r="E314" s="80"/>
      <c r="F314" s="80"/>
      <c r="G314" s="80"/>
      <c r="H314" s="80"/>
      <c r="I314" s="190"/>
      <c r="J314" s="80"/>
      <c r="K314" s="80"/>
      <c r="L314" s="190"/>
      <c r="M314" s="111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190"/>
      <c r="Y314" s="80"/>
      <c r="Z314" s="80"/>
      <c r="AA314" s="190"/>
      <c r="AB314" s="190"/>
      <c r="AC314" s="111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</row>
    <row r="315" spans="1:64">
      <c r="A315" s="80"/>
      <c r="B315" s="80"/>
      <c r="C315" s="80"/>
      <c r="D315" s="80"/>
      <c r="E315" s="80"/>
      <c r="F315" s="80"/>
      <c r="G315" s="80"/>
      <c r="H315" s="80"/>
      <c r="I315" s="190"/>
      <c r="J315" s="80"/>
      <c r="K315" s="80"/>
      <c r="L315" s="190"/>
      <c r="M315" s="111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190"/>
      <c r="Y315" s="80"/>
      <c r="Z315" s="80"/>
      <c r="AA315" s="190"/>
      <c r="AB315" s="190"/>
      <c r="AC315" s="111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</row>
    <row r="316" spans="1:64">
      <c r="A316" s="80"/>
      <c r="B316" s="80"/>
      <c r="C316" s="80"/>
      <c r="D316" s="80"/>
      <c r="E316" s="80"/>
      <c r="F316" s="80"/>
      <c r="G316" s="80"/>
      <c r="H316" s="80"/>
      <c r="I316" s="190"/>
      <c r="J316" s="80"/>
      <c r="K316" s="80"/>
      <c r="L316" s="190"/>
      <c r="M316" s="111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190"/>
      <c r="Y316" s="80"/>
      <c r="Z316" s="80"/>
      <c r="AA316" s="190"/>
      <c r="AB316" s="190"/>
      <c r="AC316" s="111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</row>
    <row r="317" spans="1:64">
      <c r="A317" s="80"/>
      <c r="B317" s="80"/>
      <c r="C317" s="80"/>
      <c r="D317" s="80"/>
      <c r="E317" s="80"/>
      <c r="F317" s="80"/>
      <c r="G317" s="80"/>
      <c r="H317" s="80"/>
      <c r="I317" s="190"/>
      <c r="J317" s="80"/>
      <c r="K317" s="80"/>
      <c r="L317" s="190"/>
      <c r="M317" s="111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190"/>
      <c r="Y317" s="80"/>
      <c r="Z317" s="80"/>
      <c r="AA317" s="190"/>
      <c r="AB317" s="190"/>
      <c r="AC317" s="111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</row>
    <row r="318" spans="1:64">
      <c r="A318" s="80"/>
      <c r="B318" s="80"/>
      <c r="C318" s="80"/>
      <c r="D318" s="80"/>
      <c r="E318" s="80"/>
      <c r="F318" s="80"/>
      <c r="G318" s="80"/>
      <c r="H318" s="80"/>
      <c r="I318" s="190"/>
      <c r="J318" s="80"/>
      <c r="K318" s="80"/>
      <c r="L318" s="190"/>
      <c r="M318" s="111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190"/>
      <c r="Y318" s="80"/>
      <c r="Z318" s="80"/>
      <c r="AA318" s="190"/>
      <c r="AB318" s="190"/>
      <c r="AC318" s="111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</row>
    <row r="319" spans="1:64">
      <c r="A319" s="80"/>
      <c r="B319" s="80"/>
      <c r="C319" s="80"/>
      <c r="D319" s="80"/>
      <c r="E319" s="80"/>
      <c r="F319" s="80"/>
      <c r="G319" s="80"/>
      <c r="H319" s="80"/>
      <c r="I319" s="190"/>
      <c r="J319" s="80"/>
      <c r="K319" s="80"/>
      <c r="L319" s="190"/>
      <c r="M319" s="111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190"/>
      <c r="Y319" s="80"/>
      <c r="Z319" s="80"/>
      <c r="AA319" s="190"/>
      <c r="AB319" s="190"/>
      <c r="AC319" s="111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</row>
    <row r="320" spans="1:64">
      <c r="A320" s="80"/>
      <c r="B320" s="80"/>
      <c r="C320" s="80"/>
      <c r="D320" s="80"/>
      <c r="E320" s="80"/>
      <c r="F320" s="80"/>
      <c r="G320" s="80"/>
      <c r="H320" s="80"/>
      <c r="I320" s="190"/>
      <c r="J320" s="80"/>
      <c r="K320" s="80"/>
      <c r="L320" s="190"/>
      <c r="M320" s="111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190"/>
      <c r="Y320" s="80"/>
      <c r="Z320" s="80"/>
      <c r="AA320" s="190"/>
      <c r="AB320" s="190"/>
      <c r="AC320" s="111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</row>
    <row r="321" spans="1:64">
      <c r="A321" s="80"/>
      <c r="B321" s="80"/>
      <c r="C321" s="80"/>
      <c r="D321" s="80"/>
      <c r="E321" s="80"/>
      <c r="F321" s="80"/>
      <c r="G321" s="80"/>
      <c r="H321" s="80"/>
      <c r="I321" s="190"/>
      <c r="J321" s="80"/>
      <c r="K321" s="80"/>
      <c r="L321" s="190"/>
      <c r="M321" s="111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190"/>
      <c r="Y321" s="80"/>
      <c r="Z321" s="80"/>
      <c r="AA321" s="190"/>
      <c r="AB321" s="190"/>
      <c r="AC321" s="111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</row>
    <row r="322" spans="1:64">
      <c r="A322" s="80"/>
      <c r="B322" s="80"/>
      <c r="C322" s="80"/>
      <c r="D322" s="80"/>
      <c r="E322" s="80"/>
      <c r="F322" s="80"/>
      <c r="G322" s="80"/>
      <c r="H322" s="80"/>
      <c r="I322" s="190"/>
      <c r="J322" s="80"/>
      <c r="K322" s="80"/>
      <c r="L322" s="190"/>
      <c r="M322" s="111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190"/>
      <c r="Y322" s="80"/>
      <c r="Z322" s="80"/>
      <c r="AA322" s="190"/>
      <c r="AB322" s="190"/>
      <c r="AC322" s="111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</row>
    <row r="323" spans="1:64">
      <c r="A323" s="80"/>
      <c r="B323" s="80"/>
      <c r="C323" s="80"/>
      <c r="D323" s="80"/>
      <c r="E323" s="80"/>
      <c r="F323" s="80"/>
      <c r="G323" s="80"/>
      <c r="H323" s="80"/>
      <c r="I323" s="190"/>
      <c r="J323" s="80"/>
      <c r="K323" s="80"/>
      <c r="L323" s="190"/>
      <c r="M323" s="111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190"/>
      <c r="Y323" s="80"/>
      <c r="Z323" s="80"/>
      <c r="AA323" s="190"/>
      <c r="AB323" s="190"/>
      <c r="AC323" s="111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</row>
    <row r="324" spans="1:64">
      <c r="A324" s="80"/>
      <c r="B324" s="80"/>
      <c r="C324" s="80"/>
      <c r="D324" s="80"/>
      <c r="E324" s="80"/>
      <c r="F324" s="80"/>
      <c r="G324" s="80"/>
      <c r="H324" s="80"/>
      <c r="I324" s="190"/>
      <c r="J324" s="80"/>
      <c r="K324" s="80"/>
      <c r="L324" s="190"/>
      <c r="M324" s="111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190"/>
      <c r="Y324" s="80"/>
      <c r="Z324" s="80"/>
      <c r="AA324" s="190"/>
      <c r="AB324" s="190"/>
      <c r="AC324" s="111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</row>
    <row r="325" spans="1:64">
      <c r="A325" s="80"/>
      <c r="B325" s="80"/>
      <c r="C325" s="80"/>
      <c r="D325" s="80"/>
      <c r="E325" s="80"/>
      <c r="F325" s="80"/>
      <c r="G325" s="80"/>
      <c r="H325" s="80"/>
      <c r="I325" s="190"/>
      <c r="J325" s="80"/>
      <c r="K325" s="80"/>
      <c r="L325" s="190"/>
      <c r="M325" s="111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190"/>
      <c r="Y325" s="80"/>
      <c r="Z325" s="80"/>
      <c r="AA325" s="190"/>
      <c r="AB325" s="190"/>
      <c r="AC325" s="111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</row>
    <row r="326" spans="1:64">
      <c r="A326" s="80"/>
      <c r="B326" s="80"/>
      <c r="C326" s="80"/>
      <c r="D326" s="80"/>
      <c r="E326" s="80"/>
      <c r="F326" s="80"/>
      <c r="G326" s="80"/>
      <c r="H326" s="80"/>
      <c r="I326" s="190"/>
      <c r="J326" s="80"/>
      <c r="K326" s="80"/>
      <c r="L326" s="190"/>
      <c r="M326" s="111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190"/>
      <c r="Y326" s="80"/>
      <c r="Z326" s="80"/>
      <c r="AA326" s="190"/>
      <c r="AB326" s="190"/>
      <c r="AC326" s="111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</row>
    <row r="327" spans="1:64">
      <c r="A327" s="80"/>
      <c r="B327" s="80"/>
      <c r="C327" s="80"/>
      <c r="D327" s="80"/>
      <c r="E327" s="80"/>
      <c r="F327" s="80"/>
      <c r="G327" s="80"/>
      <c r="H327" s="80"/>
      <c r="I327" s="190"/>
      <c r="J327" s="80"/>
      <c r="K327" s="80"/>
      <c r="L327" s="190"/>
      <c r="M327" s="111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190"/>
      <c r="Y327" s="80"/>
      <c r="Z327" s="80"/>
      <c r="AA327" s="190"/>
      <c r="AB327" s="190"/>
      <c r="AC327" s="111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</row>
    <row r="328" spans="1:64">
      <c r="A328" s="80"/>
      <c r="B328" s="80"/>
      <c r="C328" s="80"/>
      <c r="D328" s="80"/>
      <c r="E328" s="80"/>
      <c r="F328" s="80"/>
      <c r="G328" s="80"/>
      <c r="H328" s="80"/>
      <c r="I328" s="190"/>
      <c r="J328" s="80"/>
      <c r="K328" s="80"/>
      <c r="L328" s="190"/>
      <c r="M328" s="111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190"/>
      <c r="Y328" s="80"/>
      <c r="Z328" s="80"/>
      <c r="AA328" s="190"/>
      <c r="AB328" s="190"/>
      <c r="AC328" s="111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</row>
    <row r="329" spans="1:64">
      <c r="A329" s="80"/>
      <c r="B329" s="80"/>
      <c r="C329" s="80"/>
      <c r="D329" s="80"/>
      <c r="E329" s="80"/>
      <c r="F329" s="80"/>
      <c r="G329" s="80"/>
      <c r="H329" s="80"/>
      <c r="I329" s="190"/>
      <c r="J329" s="80"/>
      <c r="K329" s="80"/>
      <c r="L329" s="190"/>
      <c r="M329" s="111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190"/>
      <c r="Y329" s="80"/>
      <c r="Z329" s="80"/>
      <c r="AA329" s="190"/>
      <c r="AB329" s="190"/>
      <c r="AC329" s="111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</row>
    <row r="330" spans="1:64">
      <c r="A330" s="80"/>
      <c r="B330" s="80"/>
      <c r="C330" s="80"/>
      <c r="D330" s="80"/>
      <c r="E330" s="80"/>
      <c r="F330" s="80"/>
      <c r="G330" s="80"/>
      <c r="H330" s="80"/>
      <c r="I330" s="190"/>
      <c r="J330" s="80"/>
      <c r="K330" s="80"/>
      <c r="L330" s="190"/>
      <c r="M330" s="111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190"/>
      <c r="Y330" s="80"/>
      <c r="Z330" s="80"/>
      <c r="AA330" s="190"/>
      <c r="AB330" s="190"/>
      <c r="AC330" s="111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</row>
    <row r="331" spans="1:64">
      <c r="A331" s="80"/>
      <c r="B331" s="80"/>
      <c r="C331" s="80"/>
      <c r="D331" s="80"/>
      <c r="E331" s="80"/>
      <c r="F331" s="80"/>
      <c r="G331" s="80"/>
      <c r="H331" s="80"/>
      <c r="I331" s="190"/>
      <c r="J331" s="80"/>
      <c r="K331" s="80"/>
      <c r="L331" s="190"/>
      <c r="M331" s="111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190"/>
      <c r="Y331" s="80"/>
      <c r="Z331" s="80"/>
      <c r="AA331" s="190"/>
      <c r="AB331" s="190"/>
      <c r="AC331" s="111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</row>
    <row r="332" spans="1:64">
      <c r="A332" s="80"/>
      <c r="B332" s="80"/>
      <c r="C332" s="80"/>
      <c r="D332" s="80"/>
      <c r="E332" s="80"/>
      <c r="F332" s="80"/>
      <c r="G332" s="80"/>
      <c r="H332" s="80"/>
      <c r="I332" s="190"/>
      <c r="J332" s="80"/>
      <c r="K332" s="80"/>
      <c r="L332" s="190"/>
      <c r="M332" s="111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190"/>
      <c r="Y332" s="80"/>
      <c r="Z332" s="80"/>
      <c r="AA332" s="190"/>
      <c r="AB332" s="190"/>
      <c r="AC332" s="111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</row>
    <row r="333" spans="1:64">
      <c r="A333" s="80"/>
      <c r="B333" s="80"/>
      <c r="C333" s="80"/>
      <c r="D333" s="80"/>
      <c r="E333" s="80"/>
      <c r="F333" s="80"/>
      <c r="G333" s="80"/>
      <c r="H333" s="80"/>
      <c r="I333" s="190"/>
      <c r="J333" s="80"/>
      <c r="K333" s="80"/>
      <c r="L333" s="190"/>
      <c r="M333" s="111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190"/>
      <c r="Y333" s="80"/>
      <c r="Z333" s="80"/>
      <c r="AA333" s="190"/>
      <c r="AB333" s="190"/>
      <c r="AC333" s="111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</row>
    <row r="334" spans="1:64">
      <c r="A334" s="80"/>
      <c r="B334" s="80"/>
      <c r="C334" s="80"/>
      <c r="D334" s="80"/>
      <c r="E334" s="80"/>
      <c r="F334" s="80"/>
      <c r="G334" s="80"/>
      <c r="H334" s="80"/>
      <c r="I334" s="190"/>
      <c r="J334" s="80"/>
      <c r="K334" s="80"/>
      <c r="L334" s="190"/>
      <c r="M334" s="111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190"/>
      <c r="Y334" s="80"/>
      <c r="Z334" s="80"/>
      <c r="AA334" s="190"/>
      <c r="AB334" s="190"/>
      <c r="AC334" s="111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</row>
    <row r="335" spans="1:64">
      <c r="A335" s="80"/>
      <c r="B335" s="80"/>
      <c r="C335" s="80"/>
      <c r="D335" s="80"/>
      <c r="E335" s="80"/>
      <c r="F335" s="80"/>
      <c r="G335" s="80"/>
      <c r="H335" s="80"/>
      <c r="I335" s="190"/>
      <c r="J335" s="80"/>
      <c r="K335" s="80"/>
      <c r="L335" s="190"/>
      <c r="M335" s="111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190"/>
      <c r="Y335" s="80"/>
      <c r="Z335" s="80"/>
      <c r="AA335" s="190"/>
      <c r="AB335" s="190"/>
      <c r="AC335" s="111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</row>
    <row r="336" spans="1:64">
      <c r="A336" s="80"/>
      <c r="B336" s="80"/>
      <c r="C336" s="80"/>
      <c r="D336" s="80"/>
      <c r="E336" s="80"/>
      <c r="F336" s="80"/>
      <c r="G336" s="80"/>
      <c r="H336" s="80"/>
      <c r="I336" s="190"/>
      <c r="J336" s="80"/>
      <c r="K336" s="80"/>
      <c r="L336" s="190"/>
      <c r="M336" s="111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190"/>
      <c r="Y336" s="80"/>
      <c r="Z336" s="80"/>
      <c r="AA336" s="190"/>
      <c r="AB336" s="190"/>
      <c r="AC336" s="111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</row>
    <row r="337" spans="1:64">
      <c r="A337" s="80"/>
      <c r="B337" s="80"/>
      <c r="C337" s="80"/>
      <c r="D337" s="80"/>
      <c r="E337" s="80"/>
      <c r="F337" s="80"/>
      <c r="G337" s="80"/>
      <c r="H337" s="80"/>
      <c r="I337" s="190"/>
      <c r="J337" s="80"/>
      <c r="K337" s="80"/>
      <c r="L337" s="190"/>
      <c r="M337" s="111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190"/>
      <c r="Y337" s="80"/>
      <c r="Z337" s="80"/>
      <c r="AA337" s="190"/>
      <c r="AB337" s="190"/>
      <c r="AC337" s="111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</row>
    <row r="338" spans="1:64">
      <c r="A338" s="80"/>
      <c r="B338" s="80"/>
      <c r="C338" s="80"/>
      <c r="D338" s="80"/>
      <c r="E338" s="80"/>
      <c r="F338" s="80"/>
      <c r="G338" s="80"/>
      <c r="H338" s="80"/>
      <c r="I338" s="190"/>
      <c r="J338" s="80"/>
      <c r="K338" s="80"/>
      <c r="L338" s="190"/>
      <c r="M338" s="111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190"/>
      <c r="Y338" s="80"/>
      <c r="Z338" s="80"/>
      <c r="AA338" s="190"/>
      <c r="AB338" s="190"/>
      <c r="AC338" s="111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</row>
    <row r="339" spans="1:64">
      <c r="A339" s="80"/>
      <c r="B339" s="80"/>
      <c r="C339" s="80"/>
      <c r="D339" s="80"/>
      <c r="E339" s="80"/>
      <c r="F339" s="80"/>
      <c r="G339" s="80"/>
      <c r="H339" s="80"/>
      <c r="I339" s="190"/>
      <c r="J339" s="80"/>
      <c r="K339" s="80"/>
      <c r="L339" s="190"/>
      <c r="M339" s="111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190"/>
      <c r="Y339" s="80"/>
      <c r="Z339" s="80"/>
      <c r="AA339" s="190"/>
      <c r="AB339" s="190"/>
      <c r="AC339" s="111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</row>
    <row r="340" spans="1:64">
      <c r="A340" s="80"/>
      <c r="B340" s="80"/>
      <c r="C340" s="80"/>
      <c r="D340" s="80"/>
      <c r="E340" s="80"/>
      <c r="F340" s="80"/>
      <c r="G340" s="80"/>
      <c r="H340" s="80"/>
      <c r="I340" s="190"/>
      <c r="J340" s="80"/>
      <c r="K340" s="80"/>
      <c r="L340" s="190"/>
      <c r="M340" s="111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190"/>
      <c r="Y340" s="80"/>
      <c r="Z340" s="80"/>
      <c r="AA340" s="190"/>
      <c r="AB340" s="190"/>
      <c r="AC340" s="111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</row>
    <row r="341" spans="1:64">
      <c r="A341" s="80"/>
      <c r="B341" s="80"/>
      <c r="C341" s="80"/>
      <c r="D341" s="80"/>
      <c r="E341" s="80"/>
      <c r="F341" s="80"/>
      <c r="G341" s="80"/>
      <c r="H341" s="80"/>
      <c r="I341" s="190"/>
      <c r="J341" s="80"/>
      <c r="K341" s="80"/>
      <c r="L341" s="190"/>
      <c r="M341" s="111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190"/>
      <c r="Y341" s="80"/>
      <c r="Z341" s="80"/>
      <c r="AA341" s="190"/>
      <c r="AB341" s="190"/>
      <c r="AC341" s="111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</row>
    <row r="342" spans="1:64">
      <c r="A342" s="80"/>
      <c r="B342" s="80"/>
      <c r="C342" s="80"/>
      <c r="D342" s="80"/>
      <c r="E342" s="80"/>
      <c r="F342" s="80"/>
      <c r="G342" s="80"/>
      <c r="H342" s="80"/>
      <c r="I342" s="190"/>
      <c r="J342" s="80"/>
      <c r="K342" s="80"/>
      <c r="L342" s="190"/>
      <c r="M342" s="111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190"/>
      <c r="Y342" s="80"/>
      <c r="Z342" s="80"/>
      <c r="AA342" s="190"/>
      <c r="AB342" s="190"/>
      <c r="AC342" s="111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</row>
    <row r="343" spans="1:64">
      <c r="A343" s="80"/>
      <c r="B343" s="80"/>
      <c r="C343" s="80"/>
      <c r="D343" s="80"/>
      <c r="E343" s="80"/>
      <c r="F343" s="80"/>
      <c r="G343" s="80"/>
      <c r="H343" s="80"/>
      <c r="I343" s="190"/>
      <c r="J343" s="80"/>
      <c r="K343" s="80"/>
      <c r="L343" s="190"/>
      <c r="M343" s="111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190"/>
      <c r="Y343" s="80"/>
      <c r="Z343" s="80"/>
      <c r="AA343" s="190"/>
      <c r="AB343" s="190"/>
      <c r="AC343" s="111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</row>
    <row r="344" spans="1:64">
      <c r="A344" s="80"/>
      <c r="B344" s="80"/>
      <c r="C344" s="80"/>
      <c r="D344" s="80"/>
      <c r="E344" s="80"/>
      <c r="F344" s="80"/>
      <c r="G344" s="80"/>
      <c r="H344" s="80"/>
      <c r="I344" s="190"/>
      <c r="J344" s="80"/>
      <c r="K344" s="80"/>
      <c r="L344" s="190"/>
      <c r="M344" s="111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190"/>
      <c r="Y344" s="80"/>
      <c r="Z344" s="80"/>
      <c r="AA344" s="190"/>
      <c r="AB344" s="190"/>
      <c r="AC344" s="111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</row>
    <row r="345" spans="1:64">
      <c r="A345" s="80"/>
      <c r="B345" s="80"/>
      <c r="C345" s="80"/>
      <c r="D345" s="80"/>
      <c r="E345" s="80"/>
      <c r="F345" s="80"/>
      <c r="G345" s="80"/>
      <c r="H345" s="80"/>
      <c r="I345" s="190"/>
      <c r="J345" s="80"/>
      <c r="K345" s="80"/>
      <c r="L345" s="190"/>
      <c r="M345" s="111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190"/>
      <c r="Y345" s="80"/>
      <c r="Z345" s="80"/>
      <c r="AA345" s="190"/>
      <c r="AB345" s="190"/>
      <c r="AC345" s="111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</row>
    <row r="346" spans="1:64">
      <c r="A346" s="80"/>
      <c r="B346" s="80"/>
      <c r="C346" s="80"/>
      <c r="D346" s="80"/>
      <c r="E346" s="80"/>
      <c r="F346" s="80"/>
      <c r="G346" s="80"/>
      <c r="H346" s="80"/>
      <c r="I346" s="190"/>
      <c r="J346" s="80"/>
      <c r="K346" s="80"/>
      <c r="L346" s="190"/>
      <c r="M346" s="111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190"/>
      <c r="Y346" s="80"/>
      <c r="Z346" s="80"/>
      <c r="AA346" s="190"/>
      <c r="AB346" s="190"/>
      <c r="AC346" s="111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</row>
    <row r="347" spans="1:64">
      <c r="A347" s="80"/>
      <c r="B347" s="80"/>
      <c r="C347" s="80"/>
      <c r="D347" s="80"/>
      <c r="E347" s="80"/>
      <c r="F347" s="80"/>
      <c r="G347" s="80"/>
      <c r="H347" s="80"/>
      <c r="I347" s="190"/>
      <c r="J347" s="80"/>
      <c r="K347" s="80"/>
      <c r="L347" s="190"/>
      <c r="M347" s="111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190"/>
      <c r="Y347" s="80"/>
      <c r="Z347" s="80"/>
      <c r="AA347" s="190"/>
      <c r="AB347" s="190"/>
      <c r="AC347" s="111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</row>
    <row r="348" spans="1:64">
      <c r="A348" s="80"/>
      <c r="B348" s="80"/>
      <c r="C348" s="80"/>
      <c r="D348" s="80"/>
      <c r="E348" s="80"/>
      <c r="F348" s="80"/>
      <c r="G348" s="80"/>
      <c r="H348" s="80"/>
      <c r="I348" s="190"/>
      <c r="J348" s="80"/>
      <c r="K348" s="80"/>
      <c r="L348" s="190"/>
      <c r="M348" s="111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190"/>
      <c r="Y348" s="80"/>
      <c r="Z348" s="80"/>
      <c r="AA348" s="190"/>
      <c r="AB348" s="190"/>
      <c r="AC348" s="111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</row>
    <row r="349" spans="1:64">
      <c r="A349" s="80"/>
      <c r="B349" s="80"/>
      <c r="C349" s="80"/>
      <c r="D349" s="80"/>
      <c r="E349" s="80"/>
      <c r="F349" s="80"/>
      <c r="G349" s="80"/>
      <c r="H349" s="80"/>
      <c r="I349" s="190"/>
      <c r="J349" s="80"/>
      <c r="K349" s="80"/>
      <c r="L349" s="190"/>
      <c r="M349" s="111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190"/>
      <c r="Y349" s="80"/>
      <c r="Z349" s="80"/>
      <c r="AA349" s="190"/>
      <c r="AB349" s="190"/>
      <c r="AC349" s="111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</row>
    <row r="350" spans="1:64">
      <c r="A350" s="80"/>
      <c r="B350" s="80"/>
      <c r="C350" s="80"/>
      <c r="D350" s="80"/>
      <c r="E350" s="80"/>
      <c r="F350" s="80"/>
      <c r="G350" s="80"/>
      <c r="H350" s="80"/>
      <c r="I350" s="190"/>
      <c r="J350" s="80"/>
      <c r="K350" s="80"/>
      <c r="L350" s="190"/>
      <c r="M350" s="111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190"/>
      <c r="Y350" s="80"/>
      <c r="Z350" s="80"/>
      <c r="AA350" s="190"/>
      <c r="AB350" s="190"/>
      <c r="AC350" s="111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</row>
    <row r="351" spans="1:64">
      <c r="A351" s="80"/>
      <c r="B351" s="80"/>
      <c r="C351" s="80"/>
      <c r="D351" s="80"/>
      <c r="E351" s="80"/>
      <c r="F351" s="80"/>
      <c r="G351" s="80"/>
      <c r="H351" s="80"/>
      <c r="I351" s="190"/>
      <c r="J351" s="80"/>
      <c r="K351" s="80"/>
      <c r="L351" s="190"/>
      <c r="M351" s="111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190"/>
      <c r="Y351" s="80"/>
      <c r="Z351" s="80"/>
      <c r="AA351" s="190"/>
      <c r="AB351" s="190"/>
      <c r="AC351" s="111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</row>
    <row r="352" spans="1:64">
      <c r="A352" s="80"/>
      <c r="B352" s="80"/>
      <c r="C352" s="80"/>
      <c r="D352" s="80"/>
      <c r="E352" s="80"/>
      <c r="F352" s="80"/>
      <c r="G352" s="80"/>
      <c r="H352" s="80"/>
      <c r="I352" s="190"/>
      <c r="J352" s="80"/>
      <c r="K352" s="80"/>
      <c r="L352" s="190"/>
      <c r="M352" s="111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190"/>
      <c r="Y352" s="80"/>
      <c r="Z352" s="80"/>
      <c r="AA352" s="190"/>
      <c r="AB352" s="190"/>
      <c r="AC352" s="111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</row>
    <row r="353" spans="1:64">
      <c r="A353" s="80"/>
      <c r="B353" s="80"/>
      <c r="C353" s="80"/>
      <c r="D353" s="80"/>
      <c r="E353" s="80"/>
      <c r="F353" s="80"/>
      <c r="G353" s="80"/>
      <c r="H353" s="80"/>
      <c r="I353" s="190"/>
      <c r="J353" s="80"/>
      <c r="K353" s="80"/>
      <c r="L353" s="190"/>
      <c r="M353" s="111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190"/>
      <c r="Y353" s="80"/>
      <c r="Z353" s="80"/>
      <c r="AA353" s="190"/>
      <c r="AB353" s="190"/>
      <c r="AC353" s="111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</row>
    <row r="354" spans="1:64">
      <c r="A354" s="80"/>
      <c r="B354" s="80"/>
      <c r="C354" s="80"/>
      <c r="D354" s="80"/>
      <c r="E354" s="80"/>
      <c r="F354" s="80"/>
      <c r="G354" s="80"/>
      <c r="H354" s="80"/>
      <c r="I354" s="190"/>
      <c r="J354" s="80"/>
      <c r="K354" s="80"/>
      <c r="L354" s="190"/>
      <c r="M354" s="111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190"/>
      <c r="Y354" s="80"/>
      <c r="Z354" s="80"/>
      <c r="AA354" s="190"/>
      <c r="AB354" s="190"/>
      <c r="AC354" s="111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</row>
    <row r="355" spans="1:64">
      <c r="A355" s="80"/>
      <c r="B355" s="80"/>
      <c r="C355" s="80"/>
      <c r="D355" s="80"/>
      <c r="E355" s="80"/>
      <c r="F355" s="80"/>
      <c r="G355" s="80"/>
      <c r="H355" s="80"/>
      <c r="I355" s="190"/>
      <c r="J355" s="80"/>
      <c r="K355" s="80"/>
      <c r="L355" s="190"/>
      <c r="M355" s="111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190"/>
      <c r="Y355" s="80"/>
      <c r="Z355" s="80"/>
      <c r="AA355" s="190"/>
      <c r="AB355" s="190"/>
      <c r="AC355" s="111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</row>
    <row r="356" spans="1:64">
      <c r="A356" s="80"/>
      <c r="B356" s="80"/>
      <c r="C356" s="80"/>
      <c r="D356" s="80"/>
      <c r="E356" s="80"/>
      <c r="F356" s="80"/>
      <c r="G356" s="80"/>
      <c r="H356" s="80"/>
      <c r="I356" s="190"/>
      <c r="J356" s="80"/>
      <c r="K356" s="80"/>
      <c r="L356" s="190"/>
      <c r="M356" s="111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190"/>
      <c r="Y356" s="80"/>
      <c r="Z356" s="80"/>
      <c r="AA356" s="190"/>
      <c r="AB356" s="190"/>
      <c r="AC356" s="111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</row>
    <row r="357" spans="1:64">
      <c r="A357" s="80"/>
      <c r="B357" s="80"/>
      <c r="C357" s="80"/>
      <c r="D357" s="80"/>
      <c r="E357" s="80"/>
      <c r="F357" s="80"/>
      <c r="G357" s="80"/>
      <c r="H357" s="80"/>
      <c r="I357" s="190"/>
      <c r="J357" s="80"/>
      <c r="K357" s="80"/>
      <c r="L357" s="190"/>
      <c r="M357" s="111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190"/>
      <c r="Y357" s="80"/>
      <c r="Z357" s="80"/>
      <c r="AA357" s="190"/>
      <c r="AB357" s="190"/>
      <c r="AC357" s="111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</row>
    <row r="358" spans="1:64">
      <c r="A358" s="80"/>
      <c r="B358" s="80"/>
      <c r="C358" s="80"/>
      <c r="D358" s="80"/>
      <c r="E358" s="80"/>
      <c r="F358" s="80"/>
      <c r="G358" s="80"/>
      <c r="H358" s="80"/>
      <c r="I358" s="190"/>
      <c r="J358" s="80"/>
      <c r="K358" s="80"/>
      <c r="L358" s="190"/>
      <c r="M358" s="111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190"/>
      <c r="Y358" s="80"/>
      <c r="Z358" s="80"/>
      <c r="AA358" s="190"/>
      <c r="AB358" s="190"/>
      <c r="AC358" s="111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</row>
    <row r="359" spans="1:64">
      <c r="A359" s="80"/>
      <c r="B359" s="80"/>
      <c r="C359" s="80"/>
      <c r="D359" s="80"/>
      <c r="E359" s="80"/>
      <c r="F359" s="80"/>
      <c r="G359" s="80"/>
      <c r="H359" s="80"/>
      <c r="I359" s="190"/>
      <c r="J359" s="80"/>
      <c r="K359" s="80"/>
      <c r="L359" s="190"/>
      <c r="M359" s="111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190"/>
      <c r="Y359" s="80"/>
      <c r="Z359" s="80"/>
      <c r="AA359" s="190"/>
      <c r="AB359" s="190"/>
      <c r="AC359" s="111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</row>
    <row r="360" spans="1:64">
      <c r="A360" s="80"/>
      <c r="B360" s="80"/>
      <c r="C360" s="80"/>
      <c r="D360" s="80"/>
      <c r="E360" s="80"/>
      <c r="F360" s="80"/>
      <c r="G360" s="80"/>
      <c r="H360" s="80"/>
      <c r="I360" s="190"/>
      <c r="J360" s="80"/>
      <c r="K360" s="80"/>
      <c r="L360" s="190"/>
      <c r="M360" s="111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190"/>
      <c r="Y360" s="80"/>
      <c r="Z360" s="80"/>
      <c r="AA360" s="190"/>
      <c r="AB360" s="190"/>
      <c r="AC360" s="111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</row>
    <row r="361" spans="1:64">
      <c r="A361" s="80"/>
      <c r="B361" s="80"/>
      <c r="C361" s="80"/>
      <c r="D361" s="80"/>
      <c r="E361" s="80"/>
      <c r="F361" s="80"/>
      <c r="G361" s="80"/>
      <c r="H361" s="80"/>
      <c r="I361" s="190"/>
      <c r="J361" s="80"/>
      <c r="K361" s="80"/>
      <c r="L361" s="190"/>
      <c r="M361" s="111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190"/>
      <c r="Y361" s="80"/>
      <c r="Z361" s="80"/>
      <c r="AA361" s="190"/>
      <c r="AB361" s="190"/>
      <c r="AC361" s="111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</row>
    <row r="362" spans="1:64">
      <c r="A362" s="80"/>
      <c r="B362" s="80"/>
      <c r="C362" s="80"/>
      <c r="D362" s="80"/>
      <c r="E362" s="80"/>
      <c r="F362" s="80"/>
      <c r="G362" s="80"/>
      <c r="H362" s="80"/>
      <c r="I362" s="190"/>
      <c r="J362" s="80"/>
      <c r="K362" s="80"/>
      <c r="L362" s="190"/>
      <c r="M362" s="111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190"/>
      <c r="Y362" s="80"/>
      <c r="Z362" s="80"/>
      <c r="AA362" s="190"/>
      <c r="AB362" s="190"/>
      <c r="AC362" s="111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</row>
    <row r="363" spans="1:64">
      <c r="A363" s="80"/>
      <c r="B363" s="80"/>
      <c r="C363" s="80"/>
      <c r="D363" s="80"/>
      <c r="E363" s="80"/>
      <c r="F363" s="80"/>
      <c r="G363" s="80"/>
      <c r="H363" s="80"/>
      <c r="I363" s="190"/>
      <c r="J363" s="80"/>
      <c r="K363" s="80"/>
      <c r="L363" s="190"/>
      <c r="M363" s="111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190"/>
      <c r="Y363" s="80"/>
      <c r="Z363" s="80"/>
      <c r="AA363" s="190"/>
      <c r="AB363" s="190"/>
      <c r="AC363" s="111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</row>
    <row r="364" spans="1:64">
      <c r="A364" s="80"/>
      <c r="B364" s="80"/>
      <c r="C364" s="80"/>
      <c r="D364" s="80"/>
      <c r="E364" s="80"/>
      <c r="F364" s="80"/>
      <c r="G364" s="80"/>
      <c r="H364" s="80"/>
      <c r="I364" s="190"/>
      <c r="J364" s="80"/>
      <c r="K364" s="80"/>
      <c r="L364" s="190"/>
      <c r="M364" s="111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190"/>
      <c r="Y364" s="80"/>
      <c r="Z364" s="80"/>
      <c r="AA364" s="190"/>
      <c r="AB364" s="190"/>
      <c r="AC364" s="111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</row>
    <row r="365" spans="1:64">
      <c r="A365" s="80"/>
      <c r="B365" s="80"/>
      <c r="C365" s="80"/>
      <c r="D365" s="80"/>
      <c r="E365" s="80"/>
      <c r="F365" s="80"/>
      <c r="G365" s="80"/>
      <c r="H365" s="80"/>
      <c r="I365" s="190"/>
      <c r="J365" s="80"/>
      <c r="K365" s="80"/>
      <c r="L365" s="190"/>
      <c r="M365" s="111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190"/>
      <c r="Y365" s="80"/>
      <c r="Z365" s="80"/>
      <c r="AA365" s="190"/>
      <c r="AB365" s="190"/>
      <c r="AC365" s="111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</row>
    <row r="366" spans="1:64">
      <c r="A366" s="80"/>
      <c r="B366" s="80"/>
      <c r="C366" s="80"/>
      <c r="D366" s="80"/>
      <c r="E366" s="80"/>
      <c r="F366" s="80"/>
      <c r="G366" s="80"/>
      <c r="H366" s="80"/>
      <c r="I366" s="190"/>
      <c r="J366" s="80"/>
      <c r="K366" s="80"/>
      <c r="L366" s="190"/>
      <c r="M366" s="111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190"/>
      <c r="Y366" s="80"/>
      <c r="Z366" s="80"/>
      <c r="AA366" s="190"/>
      <c r="AB366" s="190"/>
      <c r="AC366" s="111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</row>
    <row r="367" spans="1:64">
      <c r="A367" s="80"/>
      <c r="B367" s="80"/>
      <c r="C367" s="80"/>
      <c r="D367" s="80"/>
      <c r="E367" s="80"/>
      <c r="F367" s="80"/>
      <c r="G367" s="80"/>
      <c r="H367" s="80"/>
      <c r="I367" s="190"/>
      <c r="J367" s="80"/>
      <c r="K367" s="80"/>
      <c r="L367" s="190"/>
      <c r="M367" s="111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190"/>
      <c r="Y367" s="80"/>
      <c r="Z367" s="80"/>
      <c r="AA367" s="190"/>
      <c r="AB367" s="190"/>
      <c r="AC367" s="111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</row>
    <row r="368" spans="1:64">
      <c r="A368" s="80"/>
      <c r="B368" s="80"/>
      <c r="C368" s="80"/>
      <c r="D368" s="80"/>
      <c r="E368" s="80"/>
      <c r="F368" s="80"/>
      <c r="G368" s="80"/>
      <c r="H368" s="80"/>
      <c r="I368" s="190"/>
      <c r="J368" s="80"/>
      <c r="K368" s="80"/>
      <c r="L368" s="190"/>
      <c r="M368" s="111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190"/>
      <c r="Y368" s="80"/>
      <c r="Z368" s="80"/>
      <c r="AA368" s="190"/>
      <c r="AB368" s="190"/>
      <c r="AC368" s="111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</row>
    <row r="369" spans="1:64">
      <c r="A369" s="80"/>
      <c r="B369" s="80"/>
      <c r="C369" s="80"/>
      <c r="D369" s="80"/>
      <c r="E369" s="80"/>
      <c r="F369" s="80"/>
      <c r="G369" s="80"/>
      <c r="H369" s="80"/>
      <c r="I369" s="190"/>
      <c r="J369" s="80"/>
      <c r="K369" s="80"/>
      <c r="L369" s="190"/>
      <c r="M369" s="111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190"/>
      <c r="Y369" s="80"/>
      <c r="Z369" s="80"/>
      <c r="AA369" s="190"/>
      <c r="AB369" s="190"/>
      <c r="AC369" s="111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</row>
    <row r="370" spans="1:64">
      <c r="A370" s="80"/>
      <c r="B370" s="80"/>
      <c r="C370" s="80"/>
      <c r="D370" s="80"/>
      <c r="E370" s="80"/>
      <c r="F370" s="80"/>
      <c r="G370" s="80"/>
      <c r="H370" s="80"/>
      <c r="I370" s="190"/>
      <c r="J370" s="80"/>
      <c r="K370" s="80"/>
      <c r="L370" s="190"/>
      <c r="M370" s="111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190"/>
      <c r="Y370" s="80"/>
      <c r="Z370" s="80"/>
      <c r="AA370" s="190"/>
      <c r="AB370" s="190"/>
      <c r="AC370" s="111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</row>
    <row r="371" spans="1:64">
      <c r="A371" s="80"/>
      <c r="B371" s="80"/>
      <c r="C371" s="80"/>
      <c r="D371" s="80"/>
      <c r="E371" s="80"/>
      <c r="F371" s="80"/>
      <c r="G371" s="80"/>
      <c r="H371" s="80"/>
      <c r="I371" s="190"/>
      <c r="J371" s="80"/>
      <c r="K371" s="80"/>
      <c r="L371" s="190"/>
      <c r="M371" s="111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190"/>
      <c r="Y371" s="80"/>
      <c r="Z371" s="80"/>
      <c r="AA371" s="190"/>
      <c r="AB371" s="190"/>
      <c r="AC371" s="111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</row>
    <row r="372" spans="1:64">
      <c r="A372" s="80"/>
      <c r="B372" s="80"/>
      <c r="C372" s="80"/>
      <c r="D372" s="80"/>
      <c r="E372" s="80"/>
      <c r="F372" s="80"/>
      <c r="G372" s="80"/>
      <c r="H372" s="80"/>
      <c r="I372" s="190"/>
      <c r="J372" s="80"/>
      <c r="K372" s="80"/>
      <c r="L372" s="190"/>
      <c r="M372" s="111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190"/>
      <c r="Y372" s="80"/>
      <c r="Z372" s="80"/>
      <c r="AA372" s="190"/>
      <c r="AB372" s="190"/>
      <c r="AC372" s="111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</row>
    <row r="373" spans="1:64">
      <c r="A373" s="80"/>
      <c r="B373" s="80"/>
      <c r="C373" s="80"/>
      <c r="D373" s="80"/>
      <c r="E373" s="80"/>
      <c r="F373" s="80"/>
      <c r="G373" s="80"/>
      <c r="H373" s="80"/>
      <c r="I373" s="190"/>
      <c r="J373" s="80"/>
      <c r="K373" s="80"/>
      <c r="L373" s="190"/>
      <c r="M373" s="111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190"/>
      <c r="Y373" s="80"/>
      <c r="Z373" s="80"/>
      <c r="AA373" s="190"/>
      <c r="AB373" s="190"/>
      <c r="AC373" s="111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</row>
    <row r="374" spans="1:64">
      <c r="A374" s="80"/>
      <c r="B374" s="80"/>
      <c r="C374" s="80"/>
      <c r="D374" s="80"/>
      <c r="E374" s="80"/>
      <c r="F374" s="80"/>
      <c r="G374" s="80"/>
      <c r="H374" s="80"/>
      <c r="I374" s="190"/>
      <c r="J374" s="80"/>
      <c r="K374" s="80"/>
      <c r="L374" s="190"/>
      <c r="M374" s="111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190"/>
      <c r="Y374" s="80"/>
      <c r="Z374" s="80"/>
      <c r="AA374" s="190"/>
      <c r="AB374" s="190"/>
      <c r="AC374" s="111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</row>
    <row r="375" spans="1:64">
      <c r="A375" s="80"/>
      <c r="B375" s="80"/>
      <c r="C375" s="80"/>
      <c r="D375" s="80"/>
      <c r="E375" s="80"/>
      <c r="F375" s="80"/>
      <c r="G375" s="80"/>
      <c r="H375" s="80"/>
      <c r="I375" s="190"/>
      <c r="J375" s="80"/>
      <c r="K375" s="80"/>
      <c r="L375" s="190"/>
      <c r="M375" s="111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190"/>
      <c r="Y375" s="80"/>
      <c r="Z375" s="80"/>
      <c r="AA375" s="190"/>
      <c r="AB375" s="190"/>
      <c r="AC375" s="111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</row>
    <row r="376" spans="1:64">
      <c r="A376" s="80"/>
      <c r="B376" s="80"/>
      <c r="C376" s="80"/>
      <c r="D376" s="80"/>
      <c r="E376" s="80"/>
      <c r="F376" s="80"/>
      <c r="G376" s="80"/>
      <c r="H376" s="80"/>
      <c r="I376" s="190"/>
      <c r="J376" s="80"/>
      <c r="K376" s="80"/>
      <c r="L376" s="190"/>
      <c r="M376" s="111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190"/>
      <c r="Y376" s="80"/>
      <c r="Z376" s="80"/>
      <c r="AA376" s="190"/>
      <c r="AB376" s="190"/>
      <c r="AC376" s="111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</row>
    <row r="377" spans="1:64">
      <c r="A377" s="80"/>
      <c r="B377" s="80"/>
      <c r="C377" s="80"/>
      <c r="D377" s="80"/>
      <c r="E377" s="80"/>
      <c r="F377" s="80"/>
      <c r="G377" s="80"/>
      <c r="H377" s="80"/>
      <c r="I377" s="190"/>
      <c r="J377" s="80"/>
      <c r="K377" s="80"/>
      <c r="L377" s="190"/>
      <c r="M377" s="111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190"/>
      <c r="Y377" s="80"/>
      <c r="Z377" s="80"/>
      <c r="AA377" s="190"/>
      <c r="AB377" s="190"/>
      <c r="AC377" s="111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</row>
    <row r="378" spans="1:64">
      <c r="A378" s="80"/>
      <c r="B378" s="80"/>
      <c r="C378" s="80"/>
      <c r="D378" s="80"/>
      <c r="E378" s="80"/>
      <c r="F378" s="80"/>
      <c r="G378" s="80"/>
      <c r="H378" s="80"/>
      <c r="I378" s="190"/>
      <c r="J378" s="80"/>
      <c r="K378" s="80"/>
      <c r="L378" s="190"/>
      <c r="M378" s="111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190"/>
      <c r="Y378" s="80"/>
      <c r="Z378" s="80"/>
      <c r="AA378" s="190"/>
      <c r="AB378" s="190"/>
      <c r="AC378" s="111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</row>
    <row r="379" spans="1:64">
      <c r="A379" s="80"/>
      <c r="B379" s="80"/>
      <c r="C379" s="80"/>
      <c r="D379" s="80"/>
      <c r="E379" s="80"/>
      <c r="F379" s="80"/>
      <c r="G379" s="80"/>
      <c r="H379" s="80"/>
      <c r="I379" s="190"/>
      <c r="J379" s="80"/>
      <c r="K379" s="80"/>
      <c r="L379" s="190"/>
      <c r="M379" s="111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190"/>
      <c r="Y379" s="80"/>
      <c r="Z379" s="80"/>
      <c r="AA379" s="190"/>
      <c r="AB379" s="190"/>
      <c r="AC379" s="111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</row>
    <row r="380" spans="1:64">
      <c r="A380" s="80"/>
      <c r="B380" s="80"/>
      <c r="C380" s="80"/>
      <c r="D380" s="80"/>
      <c r="E380" s="80"/>
      <c r="F380" s="80"/>
      <c r="G380" s="80"/>
      <c r="H380" s="80"/>
      <c r="I380" s="190"/>
      <c r="J380" s="80"/>
      <c r="K380" s="80"/>
      <c r="L380" s="190"/>
      <c r="M380" s="111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190"/>
      <c r="Y380" s="80"/>
      <c r="Z380" s="80"/>
      <c r="AA380" s="190"/>
      <c r="AB380" s="190"/>
      <c r="AC380" s="111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</row>
    <row r="381" spans="1:64">
      <c r="A381" s="80"/>
      <c r="B381" s="80"/>
      <c r="C381" s="80"/>
      <c r="D381" s="80"/>
      <c r="E381" s="80"/>
      <c r="F381" s="80"/>
      <c r="G381" s="80"/>
      <c r="H381" s="80"/>
      <c r="I381" s="190"/>
      <c r="J381" s="80"/>
      <c r="K381" s="80"/>
      <c r="L381" s="190"/>
      <c r="M381" s="111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190"/>
      <c r="Y381" s="80"/>
      <c r="Z381" s="80"/>
      <c r="AA381" s="190"/>
      <c r="AB381" s="190"/>
      <c r="AC381" s="111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</row>
    <row r="382" spans="1:64">
      <c r="A382" s="80"/>
      <c r="B382" s="80"/>
      <c r="C382" s="80"/>
      <c r="D382" s="80"/>
      <c r="E382" s="80"/>
      <c r="F382" s="80"/>
      <c r="G382" s="80"/>
      <c r="H382" s="80"/>
      <c r="I382" s="190"/>
      <c r="J382" s="80"/>
      <c r="K382" s="80"/>
      <c r="L382" s="190"/>
      <c r="M382" s="111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190"/>
      <c r="Y382" s="80"/>
      <c r="Z382" s="80"/>
      <c r="AA382" s="190"/>
      <c r="AB382" s="190"/>
      <c r="AC382" s="111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</row>
    <row r="383" spans="1:64">
      <c r="A383" s="80"/>
      <c r="B383" s="80"/>
      <c r="C383" s="80"/>
      <c r="D383" s="80"/>
      <c r="E383" s="80"/>
      <c r="F383" s="80"/>
      <c r="G383" s="80"/>
      <c r="H383" s="80"/>
      <c r="I383" s="190"/>
      <c r="J383" s="80"/>
      <c r="K383" s="80"/>
      <c r="L383" s="190"/>
      <c r="M383" s="111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190"/>
      <c r="Y383" s="80"/>
      <c r="Z383" s="80"/>
      <c r="AA383" s="190"/>
      <c r="AB383" s="190"/>
      <c r="AC383" s="111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</row>
    <row r="384" spans="1:64">
      <c r="A384" s="80"/>
      <c r="B384" s="80"/>
      <c r="C384" s="80"/>
      <c r="D384" s="80"/>
      <c r="E384" s="80"/>
      <c r="F384" s="80"/>
      <c r="G384" s="80"/>
      <c r="H384" s="80"/>
      <c r="I384" s="190"/>
      <c r="J384" s="80"/>
      <c r="K384" s="80"/>
      <c r="L384" s="190"/>
      <c r="M384" s="111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190"/>
      <c r="Y384" s="80"/>
      <c r="Z384" s="80"/>
      <c r="AA384" s="190"/>
      <c r="AB384" s="190"/>
      <c r="AC384" s="111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</row>
    <row r="385" spans="1:64">
      <c r="A385" s="80"/>
      <c r="B385" s="80"/>
      <c r="C385" s="80"/>
      <c r="D385" s="80"/>
      <c r="E385" s="80"/>
      <c r="F385" s="80"/>
      <c r="G385" s="80"/>
      <c r="H385" s="80"/>
      <c r="I385" s="190"/>
      <c r="J385" s="80"/>
      <c r="K385" s="80"/>
      <c r="L385" s="190"/>
      <c r="M385" s="111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190"/>
      <c r="Y385" s="80"/>
      <c r="Z385" s="80"/>
      <c r="AA385" s="190"/>
      <c r="AB385" s="190"/>
      <c r="AC385" s="111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</row>
    <row r="386" spans="1:64">
      <c r="A386" s="80"/>
      <c r="B386" s="80"/>
      <c r="C386" s="80"/>
      <c r="D386" s="80"/>
      <c r="E386" s="80"/>
      <c r="F386" s="80"/>
      <c r="G386" s="80"/>
      <c r="H386" s="80"/>
      <c r="I386" s="190"/>
      <c r="J386" s="80"/>
      <c r="K386" s="80"/>
      <c r="L386" s="190"/>
      <c r="M386" s="111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190"/>
      <c r="Y386" s="80"/>
      <c r="Z386" s="80"/>
      <c r="AA386" s="190"/>
      <c r="AB386" s="190"/>
      <c r="AC386" s="111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</row>
    <row r="387" spans="1:64">
      <c r="A387" s="80"/>
      <c r="B387" s="80"/>
      <c r="C387" s="80"/>
      <c r="D387" s="80"/>
      <c r="E387" s="80"/>
      <c r="F387" s="80"/>
      <c r="G387" s="80"/>
      <c r="H387" s="80"/>
      <c r="I387" s="190"/>
      <c r="J387" s="80"/>
      <c r="K387" s="80"/>
      <c r="L387" s="190"/>
      <c r="M387" s="111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190"/>
      <c r="Y387" s="80"/>
      <c r="Z387" s="80"/>
      <c r="AA387" s="190"/>
      <c r="AB387" s="190"/>
      <c r="AC387" s="111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</row>
    <row r="388" spans="1:64">
      <c r="A388" s="80"/>
      <c r="B388" s="80"/>
      <c r="C388" s="80"/>
      <c r="D388" s="80"/>
      <c r="E388" s="80"/>
      <c r="F388" s="80"/>
      <c r="G388" s="80"/>
      <c r="H388" s="80"/>
      <c r="I388" s="190"/>
      <c r="J388" s="80"/>
      <c r="K388" s="80"/>
      <c r="L388" s="190"/>
      <c r="M388" s="111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190"/>
      <c r="Y388" s="80"/>
      <c r="Z388" s="80"/>
      <c r="AA388" s="190"/>
      <c r="AB388" s="190"/>
      <c r="AC388" s="111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</row>
    <row r="389" spans="1:64">
      <c r="A389" s="80"/>
      <c r="B389" s="80"/>
      <c r="C389" s="80"/>
      <c r="D389" s="80"/>
      <c r="E389" s="80"/>
      <c r="F389" s="80"/>
      <c r="G389" s="80"/>
      <c r="H389" s="80"/>
      <c r="I389" s="190"/>
      <c r="J389" s="80"/>
      <c r="K389" s="80"/>
      <c r="L389" s="190"/>
      <c r="M389" s="111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190"/>
      <c r="Y389" s="80"/>
      <c r="Z389" s="80"/>
      <c r="AA389" s="190"/>
      <c r="AB389" s="190"/>
      <c r="AC389" s="111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</row>
    <row r="390" spans="1:64">
      <c r="A390" s="80"/>
      <c r="B390" s="80"/>
      <c r="C390" s="80"/>
      <c r="D390" s="80"/>
      <c r="E390" s="80"/>
      <c r="F390" s="80"/>
      <c r="G390" s="80"/>
      <c r="H390" s="80"/>
      <c r="I390" s="190"/>
      <c r="J390" s="80"/>
      <c r="K390" s="80"/>
      <c r="L390" s="190"/>
      <c r="M390" s="111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190"/>
      <c r="Y390" s="80"/>
      <c r="Z390" s="80"/>
      <c r="AA390" s="190"/>
      <c r="AB390" s="190"/>
      <c r="AC390" s="111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</row>
    <row r="391" spans="1:64">
      <c r="A391" s="80"/>
      <c r="B391" s="80"/>
      <c r="C391" s="80"/>
      <c r="D391" s="80"/>
      <c r="E391" s="80"/>
      <c r="F391" s="80"/>
      <c r="G391" s="80"/>
      <c r="H391" s="80"/>
      <c r="I391" s="190"/>
      <c r="J391" s="80"/>
      <c r="K391" s="80"/>
      <c r="L391" s="190"/>
      <c r="M391" s="111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190"/>
      <c r="Y391" s="80"/>
      <c r="Z391" s="80"/>
      <c r="AA391" s="190"/>
      <c r="AB391" s="190"/>
      <c r="AC391" s="111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</row>
    <row r="392" spans="1:64">
      <c r="A392" s="80"/>
      <c r="B392" s="80"/>
      <c r="C392" s="80"/>
      <c r="D392" s="80"/>
      <c r="E392" s="80"/>
      <c r="F392" s="80"/>
      <c r="G392" s="80"/>
      <c r="H392" s="80"/>
      <c r="I392" s="190"/>
      <c r="J392" s="80"/>
      <c r="K392" s="80"/>
      <c r="L392" s="190"/>
      <c r="M392" s="111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190"/>
      <c r="Y392" s="80"/>
      <c r="Z392" s="80"/>
      <c r="AA392" s="190"/>
      <c r="AB392" s="190"/>
      <c r="AC392" s="111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</row>
    <row r="393" spans="1:64">
      <c r="A393" s="80"/>
      <c r="B393" s="80"/>
      <c r="C393" s="80"/>
      <c r="D393" s="80"/>
      <c r="E393" s="80"/>
      <c r="F393" s="80"/>
      <c r="G393" s="80"/>
      <c r="H393" s="80"/>
      <c r="I393" s="190"/>
      <c r="J393" s="80"/>
      <c r="K393" s="80"/>
      <c r="L393" s="190"/>
      <c r="M393" s="111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190"/>
      <c r="Y393" s="80"/>
      <c r="Z393" s="80"/>
      <c r="AA393" s="190"/>
      <c r="AB393" s="190"/>
      <c r="AC393" s="111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</row>
    <row r="394" spans="1:64">
      <c r="A394" s="80"/>
      <c r="B394" s="80"/>
      <c r="C394" s="80"/>
      <c r="D394" s="80"/>
      <c r="E394" s="80"/>
      <c r="F394" s="80"/>
      <c r="G394" s="80"/>
      <c r="H394" s="80"/>
      <c r="I394" s="190"/>
      <c r="J394" s="80"/>
      <c r="K394" s="80"/>
      <c r="L394" s="190"/>
      <c r="M394" s="111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190"/>
      <c r="Y394" s="80"/>
      <c r="Z394" s="80"/>
      <c r="AA394" s="190"/>
      <c r="AB394" s="190"/>
      <c r="AC394" s="111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</row>
    <row r="395" spans="1:64">
      <c r="A395" s="80"/>
      <c r="B395" s="80"/>
      <c r="C395" s="80"/>
      <c r="D395" s="80"/>
      <c r="E395" s="80"/>
      <c r="F395" s="80"/>
      <c r="G395" s="80"/>
      <c r="H395" s="80"/>
      <c r="I395" s="190"/>
      <c r="J395" s="80"/>
      <c r="K395" s="80"/>
      <c r="L395" s="190"/>
      <c r="M395" s="111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190"/>
      <c r="Y395" s="80"/>
      <c r="Z395" s="80"/>
      <c r="AA395" s="190"/>
      <c r="AB395" s="190"/>
      <c r="AC395" s="111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</row>
    <row r="396" spans="1:64">
      <c r="A396" s="80"/>
      <c r="B396" s="80"/>
      <c r="C396" s="80"/>
      <c r="D396" s="80"/>
      <c r="E396" s="80"/>
      <c r="F396" s="80"/>
      <c r="G396" s="80"/>
      <c r="H396" s="80"/>
      <c r="I396" s="190"/>
      <c r="J396" s="80"/>
      <c r="K396" s="80"/>
      <c r="L396" s="190"/>
      <c r="M396" s="111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190"/>
      <c r="Y396" s="80"/>
      <c r="Z396" s="80"/>
      <c r="AA396" s="190"/>
      <c r="AB396" s="190"/>
      <c r="AC396" s="111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</row>
    <row r="397" spans="1:64">
      <c r="A397" s="80"/>
      <c r="B397" s="80"/>
      <c r="C397" s="80"/>
      <c r="D397" s="80"/>
      <c r="E397" s="80"/>
      <c r="F397" s="80"/>
      <c r="G397" s="80"/>
      <c r="H397" s="80"/>
      <c r="I397" s="190"/>
      <c r="J397" s="80"/>
      <c r="K397" s="80"/>
      <c r="L397" s="190"/>
      <c r="M397" s="111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190"/>
      <c r="Y397" s="80"/>
      <c r="Z397" s="80"/>
      <c r="AA397" s="190"/>
      <c r="AB397" s="190"/>
      <c r="AC397" s="111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</row>
    <row r="398" spans="1:64">
      <c r="A398" s="80"/>
      <c r="B398" s="80"/>
      <c r="C398" s="80"/>
      <c r="D398" s="80"/>
      <c r="E398" s="80"/>
      <c r="F398" s="80"/>
      <c r="G398" s="80"/>
      <c r="H398" s="80"/>
      <c r="I398" s="190"/>
      <c r="J398" s="80"/>
      <c r="K398" s="80"/>
      <c r="L398" s="190"/>
      <c r="M398" s="111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190"/>
      <c r="Y398" s="80"/>
      <c r="Z398" s="80"/>
      <c r="AA398" s="190"/>
      <c r="AB398" s="190"/>
      <c r="AC398" s="111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</row>
    <row r="399" spans="1:64">
      <c r="A399" s="80"/>
      <c r="B399" s="80"/>
      <c r="C399" s="80"/>
      <c r="D399" s="80"/>
      <c r="E399" s="80"/>
      <c r="F399" s="80"/>
      <c r="G399" s="80"/>
      <c r="H399" s="80"/>
      <c r="I399" s="190"/>
      <c r="J399" s="80"/>
      <c r="K399" s="80"/>
      <c r="L399" s="190"/>
      <c r="M399" s="111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190"/>
      <c r="Y399" s="80"/>
      <c r="Z399" s="80"/>
      <c r="AA399" s="190"/>
      <c r="AB399" s="190"/>
      <c r="AC399" s="111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</row>
    <row r="400" spans="1:64">
      <c r="A400" s="80"/>
      <c r="B400" s="80"/>
      <c r="C400" s="80"/>
      <c r="D400" s="80"/>
      <c r="E400" s="80"/>
      <c r="F400" s="80"/>
      <c r="G400" s="80"/>
      <c r="H400" s="80"/>
      <c r="I400" s="190"/>
      <c r="J400" s="80"/>
      <c r="K400" s="80"/>
      <c r="L400" s="190"/>
      <c r="M400" s="111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190"/>
      <c r="Y400" s="80"/>
      <c r="Z400" s="80"/>
      <c r="AA400" s="190"/>
      <c r="AB400" s="190"/>
      <c r="AC400" s="111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</row>
    <row r="401" spans="1:64">
      <c r="A401" s="80"/>
      <c r="B401" s="80"/>
      <c r="C401" s="80"/>
      <c r="D401" s="80"/>
      <c r="E401" s="80"/>
      <c r="F401" s="80"/>
      <c r="G401" s="80"/>
      <c r="H401" s="80"/>
      <c r="I401" s="190"/>
      <c r="J401" s="80"/>
      <c r="K401" s="80"/>
      <c r="L401" s="190"/>
      <c r="M401" s="111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90"/>
      <c r="Y401" s="80"/>
      <c r="Z401" s="80"/>
      <c r="AA401" s="190"/>
      <c r="AB401" s="190"/>
      <c r="AC401" s="111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</row>
    <row r="402" spans="1:64">
      <c r="A402" s="80"/>
      <c r="B402" s="80"/>
      <c r="C402" s="80"/>
      <c r="D402" s="80"/>
      <c r="E402" s="80"/>
      <c r="F402" s="80"/>
      <c r="G402" s="80"/>
      <c r="H402" s="80"/>
      <c r="I402" s="190"/>
      <c r="J402" s="80"/>
      <c r="K402" s="80"/>
      <c r="L402" s="190"/>
      <c r="M402" s="111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190"/>
      <c r="Y402" s="80"/>
      <c r="Z402" s="80"/>
      <c r="AA402" s="190"/>
      <c r="AB402" s="190"/>
      <c r="AC402" s="111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</row>
    <row r="403" spans="1:64">
      <c r="A403" s="80"/>
      <c r="B403" s="80"/>
      <c r="C403" s="80"/>
      <c r="D403" s="80"/>
      <c r="E403" s="80"/>
      <c r="F403" s="80"/>
      <c r="G403" s="80"/>
      <c r="H403" s="80"/>
      <c r="I403" s="190"/>
      <c r="J403" s="80"/>
      <c r="K403" s="80"/>
      <c r="L403" s="190"/>
      <c r="M403" s="111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190"/>
      <c r="Y403" s="80"/>
      <c r="Z403" s="80"/>
      <c r="AA403" s="190"/>
      <c r="AB403" s="190"/>
      <c r="AC403" s="111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</row>
    <row r="404" spans="1:64">
      <c r="A404" s="80"/>
      <c r="B404" s="80"/>
      <c r="C404" s="80"/>
      <c r="D404" s="80"/>
      <c r="E404" s="80"/>
      <c r="F404" s="80"/>
      <c r="G404" s="80"/>
      <c r="H404" s="80"/>
      <c r="I404" s="190"/>
      <c r="J404" s="80"/>
      <c r="K404" s="80"/>
      <c r="L404" s="190"/>
      <c r="M404" s="111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190"/>
      <c r="Y404" s="80"/>
      <c r="Z404" s="80"/>
      <c r="AA404" s="190"/>
      <c r="AB404" s="190"/>
      <c r="AC404" s="111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</row>
    <row r="405" spans="1:64">
      <c r="A405" s="80"/>
      <c r="B405" s="80"/>
      <c r="C405" s="80"/>
      <c r="D405" s="80"/>
      <c r="E405" s="80"/>
      <c r="F405" s="80"/>
      <c r="G405" s="80"/>
      <c r="H405" s="80"/>
      <c r="I405" s="190"/>
      <c r="J405" s="80"/>
      <c r="K405" s="80"/>
      <c r="L405" s="190"/>
      <c r="M405" s="111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190"/>
      <c r="Y405" s="80"/>
      <c r="Z405" s="80"/>
      <c r="AA405" s="190"/>
      <c r="AB405" s="190"/>
      <c r="AC405" s="111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</row>
    <row r="406" spans="1:64">
      <c r="A406" s="80"/>
      <c r="B406" s="80"/>
      <c r="C406" s="80"/>
      <c r="D406" s="80"/>
      <c r="E406" s="80"/>
      <c r="F406" s="80"/>
      <c r="G406" s="80"/>
      <c r="H406" s="80"/>
      <c r="I406" s="190"/>
      <c r="J406" s="80"/>
      <c r="K406" s="80"/>
      <c r="L406" s="190"/>
      <c r="M406" s="111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190"/>
      <c r="Y406" s="80"/>
      <c r="Z406" s="80"/>
      <c r="AA406" s="190"/>
      <c r="AB406" s="190"/>
      <c r="AC406" s="111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</row>
    <row r="407" spans="1:64">
      <c r="A407" s="80"/>
      <c r="B407" s="80"/>
      <c r="C407" s="80"/>
      <c r="D407" s="80"/>
      <c r="E407" s="80"/>
      <c r="F407" s="80"/>
      <c r="G407" s="80"/>
      <c r="H407" s="80"/>
      <c r="I407" s="190"/>
      <c r="J407" s="80"/>
      <c r="K407" s="80"/>
      <c r="L407" s="190"/>
      <c r="M407" s="111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190"/>
      <c r="Y407" s="80"/>
      <c r="Z407" s="80"/>
      <c r="AA407" s="190"/>
      <c r="AB407" s="190"/>
      <c r="AC407" s="111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</row>
    <row r="408" spans="1:64">
      <c r="A408" s="80"/>
      <c r="B408" s="80"/>
      <c r="C408" s="80"/>
      <c r="D408" s="80"/>
      <c r="E408" s="80"/>
      <c r="F408" s="80"/>
      <c r="G408" s="80"/>
      <c r="H408" s="80"/>
      <c r="I408" s="190"/>
      <c r="J408" s="80"/>
      <c r="K408" s="80"/>
      <c r="L408" s="190"/>
      <c r="M408" s="111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190"/>
      <c r="Y408" s="80"/>
      <c r="Z408" s="80"/>
      <c r="AA408" s="190"/>
      <c r="AB408" s="190"/>
      <c r="AC408" s="111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</row>
    <row r="409" spans="1:64">
      <c r="A409" s="80"/>
      <c r="B409" s="80"/>
      <c r="C409" s="80"/>
      <c r="D409" s="80"/>
      <c r="E409" s="80"/>
      <c r="F409" s="80"/>
      <c r="G409" s="80"/>
      <c r="H409" s="80"/>
      <c r="I409" s="190"/>
      <c r="J409" s="80"/>
      <c r="K409" s="80"/>
      <c r="L409" s="190"/>
      <c r="M409" s="111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190"/>
      <c r="Y409" s="80"/>
      <c r="Z409" s="80"/>
      <c r="AA409" s="190"/>
      <c r="AB409" s="190"/>
      <c r="AC409" s="111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</row>
    <row r="410" spans="1:64">
      <c r="A410" s="80"/>
      <c r="B410" s="80"/>
      <c r="C410" s="80"/>
      <c r="D410" s="80"/>
      <c r="E410" s="80"/>
      <c r="F410" s="80"/>
      <c r="G410" s="80"/>
      <c r="H410" s="80"/>
      <c r="I410" s="190"/>
      <c r="J410" s="80"/>
      <c r="K410" s="80"/>
      <c r="L410" s="190"/>
      <c r="M410" s="111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190"/>
      <c r="Y410" s="80"/>
      <c r="Z410" s="80"/>
      <c r="AA410" s="190"/>
      <c r="AB410" s="190"/>
      <c r="AC410" s="111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</row>
    <row r="411" spans="1:64">
      <c r="A411" s="80"/>
      <c r="B411" s="80"/>
      <c r="C411" s="80"/>
      <c r="D411" s="80"/>
      <c r="E411" s="80"/>
      <c r="F411" s="80"/>
      <c r="G411" s="80"/>
      <c r="H411" s="80"/>
      <c r="I411" s="190"/>
      <c r="J411" s="80"/>
      <c r="K411" s="80"/>
      <c r="L411" s="190"/>
      <c r="M411" s="111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190"/>
      <c r="Y411" s="80"/>
      <c r="Z411" s="80"/>
      <c r="AA411" s="190"/>
      <c r="AB411" s="190"/>
      <c r="AC411" s="111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</row>
    <row r="412" spans="1:64">
      <c r="A412" s="80"/>
      <c r="B412" s="80"/>
      <c r="C412" s="80"/>
      <c r="D412" s="80"/>
      <c r="E412" s="80"/>
      <c r="F412" s="80"/>
      <c r="G412" s="80"/>
      <c r="H412" s="80"/>
      <c r="I412" s="190"/>
      <c r="J412" s="80"/>
      <c r="K412" s="80"/>
      <c r="L412" s="190"/>
      <c r="M412" s="111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190"/>
      <c r="Y412" s="80"/>
      <c r="Z412" s="80"/>
      <c r="AA412" s="190"/>
      <c r="AB412" s="190"/>
      <c r="AC412" s="111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</row>
    <row r="413" spans="1:64">
      <c r="A413" s="80"/>
      <c r="B413" s="80"/>
      <c r="C413" s="80"/>
      <c r="D413" s="80"/>
      <c r="E413" s="80"/>
      <c r="F413" s="80"/>
      <c r="G413" s="80"/>
      <c r="H413" s="80"/>
      <c r="I413" s="190"/>
      <c r="J413" s="80"/>
      <c r="K413" s="80"/>
      <c r="L413" s="190"/>
      <c r="M413" s="111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190"/>
      <c r="Y413" s="80"/>
      <c r="Z413" s="80"/>
      <c r="AA413" s="190"/>
      <c r="AB413" s="190"/>
      <c r="AC413" s="111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</row>
    <row r="414" spans="1:64">
      <c r="A414" s="80"/>
      <c r="B414" s="80"/>
      <c r="C414" s="80"/>
      <c r="D414" s="80"/>
      <c r="E414" s="80"/>
      <c r="F414" s="80"/>
      <c r="G414" s="80"/>
      <c r="H414" s="80"/>
      <c r="I414" s="190"/>
      <c r="J414" s="80"/>
      <c r="K414" s="80"/>
      <c r="L414" s="190"/>
      <c r="M414" s="111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190"/>
      <c r="Y414" s="80"/>
      <c r="Z414" s="80"/>
      <c r="AA414" s="190"/>
      <c r="AB414" s="190"/>
      <c r="AC414" s="111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</row>
    <row r="415" spans="1:64">
      <c r="A415" s="80"/>
      <c r="B415" s="80"/>
      <c r="C415" s="80"/>
      <c r="D415" s="80"/>
      <c r="E415" s="80"/>
      <c r="F415" s="80"/>
      <c r="G415" s="80"/>
      <c r="H415" s="80"/>
      <c r="I415" s="190"/>
      <c r="J415" s="80"/>
      <c r="K415" s="80"/>
      <c r="L415" s="190"/>
      <c r="M415" s="111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190"/>
      <c r="Y415" s="80"/>
      <c r="Z415" s="80"/>
      <c r="AA415" s="190"/>
      <c r="AB415" s="190"/>
      <c r="AC415" s="111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</row>
    <row r="416" spans="1:64">
      <c r="A416" s="80"/>
      <c r="B416" s="80"/>
      <c r="C416" s="80"/>
      <c r="D416" s="80"/>
      <c r="E416" s="80"/>
      <c r="F416" s="80"/>
      <c r="G416" s="80"/>
      <c r="H416" s="80"/>
      <c r="I416" s="190"/>
      <c r="J416" s="80"/>
      <c r="K416" s="80"/>
      <c r="L416" s="190"/>
      <c r="M416" s="111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190"/>
      <c r="Y416" s="80"/>
      <c r="Z416" s="80"/>
      <c r="AA416" s="190"/>
      <c r="AB416" s="190"/>
      <c r="AC416" s="111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</row>
    <row r="417" spans="1:64">
      <c r="A417" s="80"/>
      <c r="B417" s="80"/>
      <c r="C417" s="80"/>
      <c r="D417" s="80"/>
      <c r="E417" s="80"/>
      <c r="F417" s="80"/>
      <c r="G417" s="80"/>
      <c r="H417" s="80"/>
      <c r="I417" s="190"/>
      <c r="J417" s="80"/>
      <c r="K417" s="80"/>
      <c r="L417" s="190"/>
      <c r="M417" s="111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190"/>
      <c r="Y417" s="80"/>
      <c r="Z417" s="80"/>
      <c r="AA417" s="190"/>
      <c r="AB417" s="190"/>
      <c r="AC417" s="111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</row>
    <row r="418" spans="1:64">
      <c r="A418" s="80"/>
      <c r="B418" s="80"/>
      <c r="C418" s="80"/>
      <c r="D418" s="80"/>
      <c r="E418" s="80"/>
      <c r="F418" s="80"/>
      <c r="G418" s="80"/>
      <c r="H418" s="80"/>
      <c r="I418" s="190"/>
      <c r="J418" s="80"/>
      <c r="K418" s="80"/>
      <c r="L418" s="190"/>
      <c r="M418" s="111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190"/>
      <c r="Y418" s="80"/>
      <c r="Z418" s="80"/>
      <c r="AA418" s="190"/>
      <c r="AB418" s="190"/>
      <c r="AC418" s="111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</row>
    <row r="419" spans="1:64">
      <c r="A419" s="80"/>
      <c r="B419" s="80"/>
      <c r="C419" s="80"/>
      <c r="D419" s="80"/>
      <c r="E419" s="80"/>
      <c r="F419" s="80"/>
      <c r="G419" s="80"/>
      <c r="H419" s="80"/>
      <c r="I419" s="190"/>
      <c r="J419" s="80"/>
      <c r="K419" s="80"/>
      <c r="L419" s="190"/>
      <c r="M419" s="111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190"/>
      <c r="Y419" s="80"/>
      <c r="Z419" s="80"/>
      <c r="AA419" s="190"/>
      <c r="AB419" s="190"/>
      <c r="AC419" s="111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</row>
    <row r="420" spans="1:64">
      <c r="A420" s="80"/>
      <c r="B420" s="80"/>
      <c r="C420" s="80"/>
      <c r="D420" s="80"/>
      <c r="E420" s="80"/>
      <c r="F420" s="80"/>
      <c r="G420" s="80"/>
      <c r="H420" s="80"/>
      <c r="I420" s="190"/>
      <c r="J420" s="80"/>
      <c r="K420" s="80"/>
      <c r="L420" s="190"/>
      <c r="M420" s="111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190"/>
      <c r="Y420" s="80"/>
      <c r="Z420" s="80"/>
      <c r="AA420" s="190"/>
      <c r="AB420" s="190"/>
      <c r="AC420" s="111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</row>
    <row r="421" spans="1:64">
      <c r="A421" s="80"/>
      <c r="B421" s="80"/>
      <c r="C421" s="80"/>
      <c r="D421" s="80"/>
      <c r="E421" s="80"/>
      <c r="F421" s="80"/>
      <c r="G421" s="80"/>
      <c r="H421" s="80"/>
      <c r="I421" s="190"/>
      <c r="J421" s="80"/>
      <c r="K421" s="80"/>
      <c r="L421" s="190"/>
      <c r="M421" s="111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190"/>
      <c r="Y421" s="80"/>
      <c r="Z421" s="80"/>
      <c r="AA421" s="190"/>
      <c r="AB421" s="190"/>
      <c r="AC421" s="111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</row>
    <row r="422" spans="1:64">
      <c r="A422" s="80"/>
      <c r="B422" s="80"/>
      <c r="C422" s="80"/>
      <c r="D422" s="80"/>
      <c r="E422" s="80"/>
      <c r="F422" s="80"/>
      <c r="G422" s="80"/>
      <c r="H422" s="80"/>
      <c r="I422" s="190"/>
      <c r="J422" s="80"/>
      <c r="K422" s="80"/>
      <c r="L422" s="190"/>
      <c r="M422" s="111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190"/>
      <c r="Y422" s="80"/>
      <c r="Z422" s="80"/>
      <c r="AA422" s="190"/>
      <c r="AB422" s="190"/>
      <c r="AC422" s="111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</row>
    <row r="423" spans="1:64">
      <c r="A423" s="80"/>
      <c r="B423" s="80"/>
      <c r="C423" s="80"/>
      <c r="D423" s="80"/>
      <c r="E423" s="80"/>
      <c r="F423" s="80"/>
      <c r="G423" s="80"/>
      <c r="H423" s="80"/>
      <c r="I423" s="190"/>
      <c r="J423" s="80"/>
      <c r="K423" s="80"/>
      <c r="L423" s="190"/>
      <c r="M423" s="111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190"/>
      <c r="Y423" s="80"/>
      <c r="Z423" s="80"/>
      <c r="AA423" s="190"/>
      <c r="AB423" s="190"/>
      <c r="AC423" s="111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</row>
    <row r="424" spans="1:64">
      <c r="A424" s="80"/>
      <c r="B424" s="80"/>
      <c r="C424" s="80"/>
      <c r="D424" s="80"/>
      <c r="E424" s="80"/>
      <c r="F424" s="80"/>
      <c r="G424" s="80"/>
      <c r="H424" s="80"/>
      <c r="I424" s="190"/>
      <c r="J424" s="80"/>
      <c r="K424" s="80"/>
      <c r="L424" s="190"/>
      <c r="M424" s="111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190"/>
      <c r="Y424" s="80"/>
      <c r="Z424" s="80"/>
      <c r="AA424" s="190"/>
      <c r="AB424" s="190"/>
      <c r="AC424" s="111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</row>
    <row r="425" spans="1:64">
      <c r="A425" s="80"/>
      <c r="B425" s="80"/>
      <c r="C425" s="80"/>
      <c r="D425" s="80"/>
      <c r="E425" s="80"/>
      <c r="F425" s="80"/>
      <c r="G425" s="80"/>
      <c r="H425" s="80"/>
      <c r="I425" s="190"/>
      <c r="J425" s="80"/>
      <c r="K425" s="80"/>
      <c r="L425" s="190"/>
      <c r="M425" s="111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190"/>
      <c r="Y425" s="80"/>
      <c r="Z425" s="80"/>
      <c r="AA425" s="190"/>
      <c r="AB425" s="190"/>
      <c r="AC425" s="111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</row>
    <row r="426" spans="1:64">
      <c r="A426" s="80"/>
      <c r="B426" s="80"/>
      <c r="C426" s="80"/>
      <c r="D426" s="80"/>
      <c r="E426" s="80"/>
      <c r="F426" s="80"/>
      <c r="G426" s="80"/>
      <c r="H426" s="80"/>
      <c r="I426" s="190"/>
      <c r="J426" s="80"/>
      <c r="K426" s="80"/>
      <c r="L426" s="190"/>
      <c r="M426" s="111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190"/>
      <c r="Y426" s="80"/>
      <c r="Z426" s="80"/>
      <c r="AA426" s="190"/>
      <c r="AB426" s="190"/>
      <c r="AC426" s="111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</row>
    <row r="427" spans="1:64">
      <c r="A427" s="80"/>
      <c r="B427" s="80"/>
      <c r="C427" s="80"/>
      <c r="D427" s="80"/>
      <c r="E427" s="80"/>
      <c r="F427" s="80"/>
      <c r="G427" s="80"/>
      <c r="H427" s="80"/>
      <c r="I427" s="190"/>
      <c r="J427" s="80"/>
      <c r="K427" s="80"/>
      <c r="L427" s="190"/>
      <c r="M427" s="111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190"/>
      <c r="Y427" s="80"/>
      <c r="Z427" s="80"/>
      <c r="AA427" s="190"/>
      <c r="AB427" s="190"/>
      <c r="AC427" s="111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</row>
    <row r="428" spans="1:64">
      <c r="A428" s="80"/>
      <c r="B428" s="80"/>
      <c r="C428" s="80"/>
      <c r="D428" s="80"/>
      <c r="E428" s="80"/>
      <c r="F428" s="80"/>
      <c r="G428" s="80"/>
      <c r="H428" s="80"/>
      <c r="I428" s="190"/>
      <c r="J428" s="80"/>
      <c r="K428" s="80"/>
      <c r="L428" s="190"/>
      <c r="M428" s="111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190"/>
      <c r="Y428" s="80"/>
      <c r="Z428" s="80"/>
      <c r="AA428" s="190"/>
      <c r="AB428" s="190"/>
      <c r="AC428" s="111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</row>
    <row r="429" spans="1:64">
      <c r="A429" s="80"/>
      <c r="B429" s="80"/>
      <c r="C429" s="80"/>
      <c r="D429" s="80"/>
      <c r="E429" s="80"/>
      <c r="F429" s="80"/>
      <c r="G429" s="80"/>
      <c r="H429" s="80"/>
      <c r="I429" s="190"/>
      <c r="J429" s="80"/>
      <c r="K429" s="80"/>
      <c r="L429" s="190"/>
      <c r="M429" s="111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190"/>
      <c r="Y429" s="80"/>
      <c r="Z429" s="80"/>
      <c r="AA429" s="190"/>
      <c r="AB429" s="190"/>
      <c r="AC429" s="111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</row>
    <row r="430" spans="1:64">
      <c r="A430" s="80"/>
      <c r="B430" s="80"/>
      <c r="C430" s="80"/>
      <c r="D430" s="80"/>
      <c r="E430" s="80"/>
      <c r="F430" s="80"/>
      <c r="G430" s="80"/>
      <c r="H430" s="80"/>
      <c r="I430" s="190"/>
      <c r="J430" s="80"/>
      <c r="K430" s="80"/>
      <c r="L430" s="190"/>
      <c r="M430" s="111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190"/>
      <c r="Y430" s="80"/>
      <c r="Z430" s="80"/>
      <c r="AA430" s="190"/>
      <c r="AB430" s="190"/>
      <c r="AC430" s="111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</row>
    <row r="431" spans="1:64">
      <c r="A431" s="80"/>
      <c r="B431" s="80"/>
      <c r="C431" s="80"/>
      <c r="D431" s="80"/>
      <c r="E431" s="80"/>
      <c r="F431" s="80"/>
      <c r="G431" s="80"/>
      <c r="H431" s="80"/>
      <c r="I431" s="190"/>
      <c r="J431" s="80"/>
      <c r="K431" s="80"/>
      <c r="L431" s="190"/>
      <c r="M431" s="111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190"/>
      <c r="Y431" s="80"/>
      <c r="Z431" s="80"/>
      <c r="AA431" s="190"/>
      <c r="AB431" s="190"/>
      <c r="AC431" s="111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</row>
    <row r="432" spans="1:64">
      <c r="A432" s="80"/>
      <c r="B432" s="80"/>
      <c r="C432" s="80"/>
      <c r="D432" s="80"/>
      <c r="E432" s="80"/>
      <c r="F432" s="80"/>
      <c r="G432" s="80"/>
      <c r="H432" s="80"/>
      <c r="I432" s="190"/>
      <c r="J432" s="80"/>
      <c r="K432" s="80"/>
      <c r="L432" s="190"/>
      <c r="M432" s="111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190"/>
      <c r="Y432" s="80"/>
      <c r="Z432" s="80"/>
      <c r="AA432" s="190"/>
      <c r="AB432" s="190"/>
      <c r="AC432" s="111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</row>
    <row r="433" spans="1:64">
      <c r="A433" s="80"/>
      <c r="B433" s="80"/>
      <c r="C433" s="80"/>
      <c r="D433" s="80"/>
      <c r="E433" s="80"/>
      <c r="F433" s="80"/>
      <c r="G433" s="80"/>
      <c r="H433" s="80"/>
      <c r="I433" s="190"/>
      <c r="J433" s="80"/>
      <c r="K433" s="80"/>
      <c r="L433" s="190"/>
      <c r="M433" s="111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190"/>
      <c r="Y433" s="80"/>
      <c r="Z433" s="80"/>
      <c r="AA433" s="190"/>
      <c r="AB433" s="190"/>
      <c r="AC433" s="111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</row>
    <row r="434" spans="1:64">
      <c r="A434" s="80"/>
      <c r="B434" s="80"/>
      <c r="C434" s="80"/>
      <c r="D434" s="80"/>
      <c r="E434" s="80"/>
      <c r="F434" s="80"/>
      <c r="G434" s="80"/>
      <c r="H434" s="80"/>
      <c r="I434" s="190"/>
      <c r="J434" s="80"/>
      <c r="K434" s="80"/>
      <c r="L434" s="190"/>
      <c r="M434" s="111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190"/>
      <c r="Y434" s="80"/>
      <c r="Z434" s="80"/>
      <c r="AA434" s="190"/>
      <c r="AB434" s="190"/>
      <c r="AC434" s="111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</row>
    <row r="435" spans="1:64">
      <c r="A435" s="80"/>
      <c r="B435" s="80"/>
      <c r="C435" s="80"/>
      <c r="D435" s="80"/>
      <c r="E435" s="80"/>
      <c r="F435" s="80"/>
      <c r="G435" s="80"/>
      <c r="H435" s="80"/>
      <c r="I435" s="190"/>
      <c r="J435" s="80"/>
      <c r="K435" s="80"/>
      <c r="L435" s="190"/>
      <c r="M435" s="111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190"/>
      <c r="Y435" s="80"/>
      <c r="Z435" s="80"/>
      <c r="AA435" s="190"/>
      <c r="AB435" s="190"/>
      <c r="AC435" s="111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</row>
    <row r="436" spans="1:64">
      <c r="A436" s="80"/>
      <c r="B436" s="80"/>
      <c r="C436" s="80"/>
      <c r="D436" s="80"/>
      <c r="E436" s="80"/>
      <c r="F436" s="80"/>
      <c r="G436" s="80"/>
      <c r="H436" s="80"/>
      <c r="I436" s="190"/>
      <c r="J436" s="80"/>
      <c r="K436" s="80"/>
      <c r="L436" s="190"/>
      <c r="M436" s="111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190"/>
      <c r="Y436" s="80"/>
      <c r="Z436" s="80"/>
      <c r="AA436" s="190"/>
      <c r="AB436" s="190"/>
      <c r="AC436" s="111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</row>
    <row r="437" spans="1:64">
      <c r="A437" s="80"/>
      <c r="B437" s="80"/>
      <c r="C437" s="80"/>
      <c r="D437" s="80"/>
      <c r="E437" s="80"/>
      <c r="F437" s="80"/>
      <c r="G437" s="80"/>
      <c r="H437" s="80"/>
      <c r="I437" s="190"/>
      <c r="J437" s="80"/>
      <c r="K437" s="80"/>
      <c r="L437" s="190"/>
      <c r="M437" s="111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190"/>
      <c r="Y437" s="80"/>
      <c r="Z437" s="80"/>
      <c r="AA437" s="190"/>
      <c r="AB437" s="190"/>
      <c r="AC437" s="111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</row>
    <row r="438" spans="1:64">
      <c r="A438" s="80"/>
      <c r="B438" s="80"/>
      <c r="C438" s="80"/>
      <c r="D438" s="80"/>
      <c r="E438" s="80"/>
      <c r="F438" s="80"/>
      <c r="G438" s="80"/>
      <c r="H438" s="80"/>
      <c r="I438" s="190"/>
      <c r="J438" s="80"/>
      <c r="K438" s="80"/>
      <c r="L438" s="190"/>
      <c r="M438" s="111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190"/>
      <c r="Y438" s="80"/>
      <c r="Z438" s="80"/>
      <c r="AA438" s="190"/>
      <c r="AB438" s="190"/>
      <c r="AC438" s="111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</row>
    <row r="439" spans="1:64">
      <c r="A439" s="80"/>
      <c r="B439" s="80"/>
      <c r="C439" s="80"/>
      <c r="D439" s="80"/>
      <c r="E439" s="80"/>
      <c r="F439" s="80"/>
      <c r="G439" s="80"/>
      <c r="H439" s="80"/>
      <c r="I439" s="190"/>
      <c r="J439" s="80"/>
      <c r="K439" s="80"/>
      <c r="L439" s="190"/>
      <c r="M439" s="111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190"/>
      <c r="Y439" s="80"/>
      <c r="Z439" s="80"/>
      <c r="AA439" s="190"/>
      <c r="AB439" s="190"/>
      <c r="AC439" s="111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</row>
    <row r="440" spans="1:64">
      <c r="A440" s="80"/>
      <c r="B440" s="80"/>
      <c r="C440" s="80"/>
      <c r="D440" s="80"/>
      <c r="E440" s="80"/>
      <c r="F440" s="80"/>
      <c r="G440" s="80"/>
      <c r="H440" s="80"/>
      <c r="I440" s="190"/>
      <c r="J440" s="80"/>
      <c r="K440" s="80"/>
      <c r="L440" s="190"/>
      <c r="M440" s="111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190"/>
      <c r="Y440" s="80"/>
      <c r="Z440" s="80"/>
      <c r="AA440" s="190"/>
      <c r="AB440" s="190"/>
      <c r="AC440" s="111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</row>
    <row r="441" spans="1:64">
      <c r="A441" s="80"/>
      <c r="B441" s="80"/>
      <c r="C441" s="80"/>
      <c r="D441" s="80"/>
      <c r="E441" s="80"/>
      <c r="F441" s="80"/>
      <c r="G441" s="80"/>
      <c r="H441" s="80"/>
      <c r="I441" s="190"/>
      <c r="J441" s="80"/>
      <c r="K441" s="80"/>
      <c r="L441" s="190"/>
      <c r="M441" s="111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190"/>
      <c r="Y441" s="80"/>
      <c r="Z441" s="80"/>
      <c r="AA441" s="190"/>
      <c r="AB441" s="190"/>
      <c r="AC441" s="111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</row>
    <row r="442" spans="1:64">
      <c r="A442" s="80"/>
      <c r="B442" s="80"/>
      <c r="C442" s="80"/>
      <c r="D442" s="80"/>
      <c r="E442" s="80"/>
      <c r="F442" s="80"/>
      <c r="G442" s="80"/>
      <c r="H442" s="80"/>
      <c r="I442" s="190"/>
      <c r="J442" s="80"/>
      <c r="K442" s="80"/>
      <c r="L442" s="190"/>
      <c r="M442" s="111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190"/>
      <c r="Y442" s="80"/>
      <c r="Z442" s="80"/>
      <c r="AA442" s="190"/>
      <c r="AB442" s="190"/>
      <c r="AC442" s="111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</row>
    <row r="443" spans="1:64">
      <c r="A443" s="80"/>
      <c r="B443" s="80"/>
      <c r="C443" s="80"/>
      <c r="D443" s="80"/>
      <c r="E443" s="80"/>
      <c r="F443" s="80"/>
      <c r="G443" s="80"/>
      <c r="H443" s="80"/>
      <c r="I443" s="190"/>
      <c r="J443" s="80"/>
      <c r="K443" s="80"/>
      <c r="L443" s="190"/>
      <c r="M443" s="111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190"/>
      <c r="Y443" s="80"/>
      <c r="Z443" s="80"/>
      <c r="AA443" s="190"/>
      <c r="AB443" s="190"/>
      <c r="AC443" s="111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</row>
    <row r="444" spans="1:64">
      <c r="A444" s="80"/>
      <c r="B444" s="80"/>
      <c r="C444" s="80"/>
      <c r="D444" s="80"/>
      <c r="E444" s="80"/>
      <c r="F444" s="80"/>
      <c r="G444" s="80"/>
      <c r="H444" s="80"/>
      <c r="I444" s="190"/>
      <c r="J444" s="80"/>
      <c r="K444" s="80"/>
      <c r="L444" s="190"/>
      <c r="M444" s="111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190"/>
      <c r="Y444" s="80"/>
      <c r="Z444" s="80"/>
      <c r="AA444" s="190"/>
      <c r="AB444" s="190"/>
      <c r="AC444" s="111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</row>
    <row r="445" spans="1:64">
      <c r="A445" s="80"/>
      <c r="B445" s="80"/>
      <c r="C445" s="80"/>
      <c r="D445" s="80"/>
      <c r="E445" s="80"/>
      <c r="F445" s="80"/>
      <c r="G445" s="80"/>
      <c r="H445" s="80"/>
      <c r="I445" s="190"/>
      <c r="J445" s="80"/>
      <c r="K445" s="80"/>
      <c r="L445" s="190"/>
      <c r="M445" s="111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190"/>
      <c r="Y445" s="80"/>
      <c r="Z445" s="80"/>
      <c r="AA445" s="190"/>
      <c r="AB445" s="190"/>
      <c r="AC445" s="111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</row>
    <row r="446" spans="1:64">
      <c r="A446" s="80"/>
      <c r="B446" s="80"/>
      <c r="C446" s="80"/>
      <c r="D446" s="80"/>
      <c r="E446" s="80"/>
      <c r="F446" s="80"/>
      <c r="G446" s="80"/>
      <c r="H446" s="80"/>
      <c r="I446" s="190"/>
      <c r="J446" s="80"/>
      <c r="K446" s="80"/>
      <c r="L446" s="190"/>
      <c r="M446" s="111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190"/>
      <c r="Y446" s="80"/>
      <c r="Z446" s="80"/>
      <c r="AA446" s="190"/>
      <c r="AB446" s="190"/>
      <c r="AC446" s="111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</row>
    <row r="447" spans="1:64">
      <c r="A447" s="80"/>
      <c r="B447" s="80"/>
      <c r="C447" s="80"/>
      <c r="D447" s="80"/>
      <c r="E447" s="80"/>
      <c r="F447" s="80"/>
      <c r="G447" s="80"/>
      <c r="H447" s="80"/>
      <c r="I447" s="190"/>
      <c r="J447" s="80"/>
      <c r="K447" s="80"/>
      <c r="L447" s="190"/>
      <c r="M447" s="111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190"/>
      <c r="Y447" s="80"/>
      <c r="Z447" s="80"/>
      <c r="AA447" s="190"/>
      <c r="AB447" s="190"/>
      <c r="AC447" s="111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</row>
    <row r="448" spans="1:64">
      <c r="A448" s="80"/>
      <c r="B448" s="80"/>
      <c r="C448" s="80"/>
      <c r="D448" s="80"/>
      <c r="E448" s="80"/>
      <c r="F448" s="80"/>
      <c r="G448" s="80"/>
      <c r="H448" s="80"/>
      <c r="I448" s="190"/>
      <c r="J448" s="80"/>
      <c r="K448" s="80"/>
      <c r="L448" s="190"/>
      <c r="M448" s="111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190"/>
      <c r="Y448" s="80"/>
      <c r="Z448" s="80"/>
      <c r="AA448" s="190"/>
      <c r="AB448" s="190"/>
      <c r="AC448" s="111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</row>
    <row r="449" spans="1:64">
      <c r="A449" s="80"/>
      <c r="B449" s="80"/>
      <c r="C449" s="80"/>
      <c r="D449" s="80"/>
      <c r="E449" s="80"/>
      <c r="F449" s="80"/>
      <c r="G449" s="80"/>
      <c r="H449" s="80"/>
      <c r="I449" s="190"/>
      <c r="J449" s="80"/>
      <c r="K449" s="80"/>
      <c r="L449" s="190"/>
      <c r="M449" s="111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190"/>
      <c r="Y449" s="80"/>
      <c r="Z449" s="80"/>
      <c r="AA449" s="190"/>
      <c r="AB449" s="190"/>
      <c r="AC449" s="111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</row>
    <row r="450" spans="1:64">
      <c r="A450" s="80"/>
      <c r="B450" s="80"/>
      <c r="C450" s="80"/>
      <c r="D450" s="80"/>
      <c r="E450" s="80"/>
      <c r="F450" s="80"/>
      <c r="G450" s="80"/>
      <c r="H450" s="80"/>
      <c r="I450" s="190"/>
      <c r="J450" s="80"/>
      <c r="K450" s="80"/>
      <c r="L450" s="190"/>
      <c r="M450" s="111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190"/>
      <c r="Y450" s="80"/>
      <c r="Z450" s="80"/>
      <c r="AA450" s="190"/>
      <c r="AB450" s="190"/>
      <c r="AC450" s="111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</row>
    <row r="451" spans="1:64">
      <c r="A451" s="80"/>
      <c r="B451" s="80"/>
      <c r="C451" s="80"/>
      <c r="D451" s="80"/>
      <c r="E451" s="80"/>
      <c r="F451" s="80"/>
      <c r="G451" s="80"/>
      <c r="H451" s="80"/>
      <c r="I451" s="190"/>
      <c r="J451" s="80"/>
      <c r="K451" s="80"/>
      <c r="L451" s="190"/>
      <c r="M451" s="111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190"/>
      <c r="Y451" s="80"/>
      <c r="Z451" s="80"/>
      <c r="AA451" s="190"/>
      <c r="AB451" s="190"/>
      <c r="AC451" s="111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</row>
    <row r="452" spans="1:64">
      <c r="A452" s="80"/>
      <c r="B452" s="80"/>
      <c r="C452" s="80"/>
      <c r="D452" s="80"/>
      <c r="E452" s="80"/>
      <c r="F452" s="80"/>
      <c r="G452" s="80"/>
      <c r="H452" s="80"/>
      <c r="I452" s="190"/>
      <c r="J452" s="80"/>
      <c r="K452" s="80"/>
      <c r="L452" s="190"/>
      <c r="M452" s="111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190"/>
      <c r="Y452" s="80"/>
      <c r="Z452" s="80"/>
      <c r="AA452" s="190"/>
      <c r="AB452" s="190"/>
      <c r="AC452" s="111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</row>
    <row r="453" spans="1:64">
      <c r="A453" s="80"/>
      <c r="B453" s="80"/>
      <c r="C453" s="80"/>
      <c r="D453" s="80"/>
      <c r="E453" s="80"/>
      <c r="F453" s="80"/>
      <c r="G453" s="80"/>
      <c r="H453" s="80"/>
      <c r="I453" s="190"/>
      <c r="J453" s="80"/>
      <c r="K453" s="80"/>
      <c r="L453" s="190"/>
      <c r="M453" s="111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190"/>
      <c r="Y453" s="80"/>
      <c r="Z453" s="80"/>
      <c r="AA453" s="190"/>
      <c r="AB453" s="190"/>
      <c r="AC453" s="111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</row>
    <row r="454" spans="1:64">
      <c r="A454" s="80"/>
      <c r="B454" s="80"/>
      <c r="C454" s="80"/>
      <c r="D454" s="80"/>
      <c r="E454" s="80"/>
      <c r="F454" s="80"/>
      <c r="G454" s="80"/>
      <c r="H454" s="80"/>
      <c r="I454" s="190"/>
      <c r="J454" s="80"/>
      <c r="K454" s="80"/>
      <c r="L454" s="190"/>
      <c r="M454" s="111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190"/>
      <c r="Y454" s="80"/>
      <c r="Z454" s="80"/>
      <c r="AA454" s="190"/>
      <c r="AB454" s="190"/>
      <c r="AC454" s="111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</row>
    <row r="455" spans="1:64">
      <c r="A455" s="80"/>
      <c r="B455" s="80"/>
      <c r="C455" s="80"/>
      <c r="D455" s="80"/>
      <c r="E455" s="80"/>
      <c r="F455" s="80"/>
      <c r="G455" s="80"/>
      <c r="H455" s="80"/>
      <c r="I455" s="190"/>
      <c r="J455" s="80"/>
      <c r="K455" s="80"/>
      <c r="L455" s="190"/>
      <c r="M455" s="111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190"/>
      <c r="Y455" s="80"/>
      <c r="Z455" s="80"/>
      <c r="AA455" s="190"/>
      <c r="AB455" s="190"/>
      <c r="AC455" s="111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</row>
    <row r="456" spans="1:64">
      <c r="A456" s="80"/>
      <c r="B456" s="80"/>
      <c r="C456" s="80"/>
      <c r="D456" s="80"/>
      <c r="E456" s="80"/>
      <c r="F456" s="80"/>
      <c r="G456" s="80"/>
      <c r="H456" s="80"/>
      <c r="I456" s="190"/>
      <c r="J456" s="80"/>
      <c r="K456" s="80"/>
      <c r="L456" s="190"/>
      <c r="M456" s="111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190"/>
      <c r="Y456" s="80"/>
      <c r="Z456" s="80"/>
      <c r="AA456" s="190"/>
      <c r="AB456" s="190"/>
      <c r="AC456" s="111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</row>
    <row r="457" spans="1:64">
      <c r="A457" s="80"/>
      <c r="B457" s="80"/>
      <c r="C457" s="80"/>
      <c r="D457" s="80"/>
      <c r="E457" s="80"/>
      <c r="F457" s="80"/>
      <c r="G457" s="80"/>
      <c r="H457" s="80"/>
      <c r="I457" s="190"/>
      <c r="J457" s="80"/>
      <c r="K457" s="80"/>
      <c r="L457" s="190"/>
      <c r="M457" s="111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190"/>
      <c r="Y457" s="80"/>
      <c r="Z457" s="80"/>
      <c r="AA457" s="190"/>
      <c r="AB457" s="190"/>
      <c r="AC457" s="111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</row>
    <row r="458" spans="1:64">
      <c r="A458" s="80"/>
      <c r="B458" s="80"/>
      <c r="C458" s="80"/>
      <c r="D458" s="80"/>
      <c r="E458" s="80"/>
      <c r="F458" s="80"/>
      <c r="G458" s="80"/>
      <c r="H458" s="80"/>
      <c r="I458" s="190"/>
      <c r="J458" s="80"/>
      <c r="K458" s="80"/>
      <c r="L458" s="190"/>
      <c r="M458" s="111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190"/>
      <c r="Y458" s="80"/>
      <c r="Z458" s="80"/>
      <c r="AA458" s="190"/>
      <c r="AB458" s="190"/>
      <c r="AC458" s="111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</row>
    <row r="459" spans="1:64">
      <c r="A459" s="80"/>
      <c r="B459" s="80"/>
      <c r="C459" s="80"/>
      <c r="D459" s="80"/>
      <c r="E459" s="80"/>
      <c r="F459" s="80"/>
      <c r="G459" s="80"/>
      <c r="H459" s="80"/>
      <c r="I459" s="190"/>
      <c r="J459" s="80"/>
      <c r="K459" s="80"/>
      <c r="L459" s="190"/>
      <c r="M459" s="111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190"/>
      <c r="Y459" s="80"/>
      <c r="Z459" s="80"/>
      <c r="AA459" s="190"/>
      <c r="AB459" s="190"/>
      <c r="AC459" s="111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</row>
    <row r="460" spans="1:64">
      <c r="A460" s="80"/>
      <c r="B460" s="80"/>
      <c r="C460" s="80"/>
      <c r="D460" s="80"/>
      <c r="E460" s="80"/>
      <c r="F460" s="80"/>
      <c r="G460" s="80"/>
      <c r="H460" s="80"/>
      <c r="I460" s="190"/>
      <c r="J460" s="80"/>
      <c r="K460" s="80"/>
      <c r="L460" s="190"/>
      <c r="M460" s="111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190"/>
      <c r="Y460" s="80"/>
      <c r="Z460" s="80"/>
      <c r="AA460" s="190"/>
      <c r="AB460" s="190"/>
      <c r="AC460" s="111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</row>
    <row r="461" spans="1:64">
      <c r="A461" s="80"/>
      <c r="B461" s="80"/>
      <c r="C461" s="80"/>
      <c r="D461" s="80"/>
      <c r="E461" s="80"/>
      <c r="F461" s="80"/>
      <c r="G461" s="80"/>
      <c r="H461" s="80"/>
      <c r="I461" s="190"/>
      <c r="J461" s="80"/>
      <c r="K461" s="80"/>
      <c r="L461" s="190"/>
      <c r="M461" s="111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190"/>
      <c r="Y461" s="80"/>
      <c r="Z461" s="80"/>
      <c r="AA461" s="190"/>
      <c r="AB461" s="190"/>
      <c r="AC461" s="111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</row>
    <row r="462" spans="1:64">
      <c r="A462" s="80"/>
      <c r="B462" s="80"/>
      <c r="C462" s="80"/>
      <c r="D462" s="80"/>
      <c r="E462" s="80"/>
      <c r="F462" s="80"/>
      <c r="G462" s="80"/>
      <c r="H462" s="80"/>
      <c r="I462" s="190"/>
      <c r="J462" s="80"/>
      <c r="K462" s="80"/>
      <c r="L462" s="190"/>
      <c r="M462" s="111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190"/>
      <c r="Y462" s="80"/>
      <c r="Z462" s="80"/>
      <c r="AA462" s="190"/>
      <c r="AB462" s="190"/>
      <c r="AC462" s="111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</row>
    <row r="463" spans="1:64">
      <c r="A463" s="80"/>
      <c r="B463" s="80"/>
      <c r="C463" s="80"/>
      <c r="D463" s="80"/>
      <c r="E463" s="80"/>
      <c r="F463" s="80"/>
      <c r="G463" s="80"/>
      <c r="H463" s="80"/>
      <c r="I463" s="190"/>
      <c r="J463" s="80"/>
      <c r="K463" s="80"/>
      <c r="L463" s="190"/>
      <c r="M463" s="111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190"/>
      <c r="Y463" s="80"/>
      <c r="Z463" s="80"/>
      <c r="AA463" s="190"/>
      <c r="AB463" s="190"/>
      <c r="AC463" s="111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</row>
    <row r="464" spans="1:64">
      <c r="A464" s="80"/>
      <c r="B464" s="80"/>
      <c r="C464" s="80"/>
      <c r="D464" s="80"/>
      <c r="E464" s="80"/>
      <c r="F464" s="80"/>
      <c r="G464" s="80"/>
      <c r="H464" s="80"/>
      <c r="I464" s="190"/>
      <c r="J464" s="80"/>
      <c r="K464" s="80"/>
      <c r="L464" s="190"/>
      <c r="M464" s="111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190"/>
      <c r="Y464" s="80"/>
      <c r="Z464" s="80"/>
      <c r="AA464" s="190"/>
      <c r="AB464" s="190"/>
      <c r="AC464" s="111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</row>
    <row r="465" spans="1:64">
      <c r="A465" s="80"/>
      <c r="B465" s="80"/>
      <c r="C465" s="80"/>
      <c r="D465" s="80"/>
      <c r="E465" s="80"/>
      <c r="F465" s="80"/>
      <c r="G465" s="80"/>
      <c r="H465" s="80"/>
      <c r="I465" s="190"/>
      <c r="J465" s="80"/>
      <c r="K465" s="80"/>
      <c r="L465" s="190"/>
      <c r="M465" s="111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190"/>
      <c r="Y465" s="80"/>
      <c r="Z465" s="80"/>
      <c r="AA465" s="190"/>
      <c r="AB465" s="190"/>
      <c r="AC465" s="111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</row>
    <row r="466" spans="1:64">
      <c r="A466" s="80"/>
      <c r="B466" s="80"/>
      <c r="C466" s="80"/>
      <c r="D466" s="80"/>
      <c r="E466" s="80"/>
      <c r="F466" s="80"/>
      <c r="G466" s="80"/>
      <c r="H466" s="80"/>
      <c r="I466" s="190"/>
      <c r="J466" s="80"/>
      <c r="K466" s="80"/>
      <c r="L466" s="190"/>
      <c r="M466" s="111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190"/>
      <c r="Y466" s="80"/>
      <c r="Z466" s="80"/>
      <c r="AA466" s="190"/>
      <c r="AB466" s="190"/>
      <c r="AC466" s="111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</row>
    <row r="467" spans="1:64">
      <c r="A467" s="80"/>
      <c r="B467" s="80"/>
      <c r="C467" s="80"/>
      <c r="D467" s="80"/>
      <c r="E467" s="80"/>
      <c r="F467" s="80"/>
      <c r="G467" s="80"/>
      <c r="H467" s="80"/>
      <c r="I467" s="190"/>
      <c r="J467" s="80"/>
      <c r="K467" s="80"/>
      <c r="L467" s="190"/>
      <c r="M467" s="111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190"/>
      <c r="Y467" s="80"/>
      <c r="Z467" s="80"/>
      <c r="AA467" s="190"/>
      <c r="AB467" s="190"/>
      <c r="AC467" s="111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</row>
    <row r="468" spans="1:64">
      <c r="A468" s="80"/>
      <c r="B468" s="80"/>
      <c r="C468" s="80"/>
      <c r="D468" s="80"/>
      <c r="E468" s="80"/>
      <c r="F468" s="80"/>
      <c r="G468" s="80"/>
      <c r="H468" s="80"/>
      <c r="I468" s="190"/>
      <c r="J468" s="80"/>
      <c r="K468" s="80"/>
      <c r="L468" s="190"/>
      <c r="M468" s="111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190"/>
      <c r="Y468" s="80"/>
      <c r="Z468" s="80"/>
      <c r="AA468" s="190"/>
      <c r="AB468" s="190"/>
      <c r="AC468" s="111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</row>
    <row r="469" spans="1:64">
      <c r="A469" s="80"/>
      <c r="B469" s="80"/>
      <c r="C469" s="80"/>
      <c r="D469" s="80"/>
      <c r="E469" s="80"/>
      <c r="F469" s="80"/>
      <c r="G469" s="80"/>
      <c r="H469" s="80"/>
      <c r="I469" s="190"/>
      <c r="J469" s="80"/>
      <c r="K469" s="80"/>
      <c r="L469" s="190"/>
      <c r="M469" s="111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190"/>
      <c r="Y469" s="80"/>
      <c r="Z469" s="80"/>
      <c r="AA469" s="190"/>
      <c r="AB469" s="190"/>
      <c r="AC469" s="111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zoomScaleSheetLayoutView="100" workbookViewId="0">
      <selection activeCell="B13" sqref="B13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403" t="s">
        <v>249</v>
      </c>
      <c r="B1" s="403"/>
      <c r="C1" s="403"/>
      <c r="D1" s="403"/>
    </row>
    <row r="3" spans="1:6" ht="25.5">
      <c r="A3" s="64" t="s">
        <v>119</v>
      </c>
      <c r="B3" s="64" t="s">
        <v>120</v>
      </c>
      <c r="C3" s="64" t="s">
        <v>121</v>
      </c>
      <c r="D3" s="64" t="s">
        <v>138</v>
      </c>
    </row>
    <row r="4" spans="1:6" ht="25.5" customHeight="1">
      <c r="A4" s="58" t="s">
        <v>122</v>
      </c>
      <c r="B4" s="371">
        <v>32556595955</v>
      </c>
      <c r="C4" s="372">
        <v>20</v>
      </c>
      <c r="D4" s="372">
        <f>+C4/100*B4</f>
        <v>6511319191</v>
      </c>
    </row>
    <row r="5" spans="1:6" ht="25.5" customHeight="1">
      <c r="A5" s="58" t="s">
        <v>151</v>
      </c>
      <c r="B5" s="371">
        <v>879482811</v>
      </c>
      <c r="C5" s="372">
        <v>100</v>
      </c>
      <c r="D5" s="372">
        <f t="shared" ref="D5:D12" si="0">+C5/100*B5</f>
        <v>879482811</v>
      </c>
      <c r="E5" s="233" t="s">
        <v>184</v>
      </c>
    </row>
    <row r="6" spans="1:6" ht="25.5" customHeight="1">
      <c r="A6" s="58" t="s">
        <v>150</v>
      </c>
      <c r="B6" s="371">
        <v>275623933</v>
      </c>
      <c r="C6" s="372">
        <v>100</v>
      </c>
      <c r="D6" s="372">
        <f t="shared" si="0"/>
        <v>275623933</v>
      </c>
    </row>
    <row r="7" spans="1:6" ht="25.5" customHeight="1">
      <c r="A7" s="58" t="s">
        <v>123</v>
      </c>
      <c r="B7" s="371">
        <v>988038740</v>
      </c>
      <c r="C7" s="372">
        <v>20</v>
      </c>
      <c r="D7" s="372">
        <f t="shared" si="0"/>
        <v>197607748</v>
      </c>
    </row>
    <row r="8" spans="1:6" ht="25.5" customHeight="1">
      <c r="A8" s="58" t="s">
        <v>137</v>
      </c>
      <c r="B8" s="371">
        <v>1683772415.1303682</v>
      </c>
      <c r="C8" s="372">
        <v>20</v>
      </c>
      <c r="D8" s="372">
        <f t="shared" si="0"/>
        <v>336754483.02607369</v>
      </c>
    </row>
    <row r="9" spans="1:6" ht="25.5" customHeight="1">
      <c r="A9" s="370" t="s">
        <v>338</v>
      </c>
      <c r="B9" s="373">
        <v>-41428270</v>
      </c>
      <c r="C9" s="374">
        <v>20</v>
      </c>
      <c r="D9" s="372">
        <f t="shared" si="0"/>
        <v>-8285654</v>
      </c>
    </row>
    <row r="10" spans="1:6" ht="25.5" customHeight="1">
      <c r="A10" s="58" t="s">
        <v>143</v>
      </c>
      <c r="B10" s="371">
        <v>758082262</v>
      </c>
      <c r="C10" s="372">
        <v>20</v>
      </c>
      <c r="D10" s="372">
        <f t="shared" si="0"/>
        <v>151616452.40000001</v>
      </c>
      <c r="E10" s="24"/>
    </row>
    <row r="11" spans="1:6" ht="25.5" customHeight="1">
      <c r="A11" s="58" t="s">
        <v>142</v>
      </c>
      <c r="B11" s="371">
        <v>196144488</v>
      </c>
      <c r="C11" s="372">
        <v>20</v>
      </c>
      <c r="D11" s="372">
        <f t="shared" si="0"/>
        <v>39228897.600000001</v>
      </c>
    </row>
    <row r="12" spans="1:6" ht="25.5" customHeight="1">
      <c r="A12" s="58" t="s">
        <v>136</v>
      </c>
      <c r="B12" s="371">
        <v>935474525</v>
      </c>
      <c r="C12" s="372">
        <v>20</v>
      </c>
      <c r="D12" s="372">
        <f t="shared" si="0"/>
        <v>187094905</v>
      </c>
    </row>
    <row r="13" spans="1:6">
      <c r="A13" s="65" t="s">
        <v>53</v>
      </c>
      <c r="B13" s="375">
        <f>SUM(B4:B12)</f>
        <v>38231786859.130371</v>
      </c>
      <c r="C13" s="375"/>
      <c r="D13" s="375">
        <f>SUM(D4:D12)</f>
        <v>8570442767.0260735</v>
      </c>
      <c r="E13" s="69">
        <f>+D13-D6-D12</f>
        <v>8107723929.0260735</v>
      </c>
      <c r="F13" s="66" t="e">
        <f>+D4+D5+D7+D8+#REF!+D10+D11</f>
        <v>#REF!</v>
      </c>
    </row>
    <row r="14" spans="1:6">
      <c r="A14" s="12"/>
      <c r="B14" s="13"/>
      <c r="C14" s="14"/>
      <c r="D14" s="13"/>
    </row>
    <row r="15" spans="1:6">
      <c r="A15" s="15" t="s">
        <v>321</v>
      </c>
    </row>
    <row r="16" spans="1:6">
      <c r="A16" s="11" t="s">
        <v>184</v>
      </c>
    </row>
    <row r="20" spans="2:2">
      <c r="B20" s="11" t="s">
        <v>184</v>
      </c>
    </row>
    <row r="21" spans="2:2">
      <c r="B21" s="11" t="s">
        <v>184</v>
      </c>
    </row>
    <row r="22" spans="2:2">
      <c r="B22" s="212" t="s">
        <v>184</v>
      </c>
    </row>
    <row r="23" spans="2:2">
      <c r="B23" s="212" t="s">
        <v>184</v>
      </c>
    </row>
    <row r="24" spans="2:2">
      <c r="B24" s="11" t="s">
        <v>184</v>
      </c>
    </row>
    <row r="25" spans="2:2">
      <c r="B25" s="24" t="s">
        <v>184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6" zoomScaleSheetLayoutView="100" workbookViewId="0">
      <selection activeCell="I7" sqref="I7:I57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414" t="s">
        <v>144</v>
      </c>
      <c r="B1" s="414"/>
      <c r="C1" s="414"/>
      <c r="D1" s="414"/>
      <c r="E1" s="414"/>
      <c r="F1" s="414"/>
      <c r="G1" s="414"/>
      <c r="H1" s="414"/>
      <c r="I1" s="415"/>
      <c r="J1" s="415"/>
      <c r="K1" s="415"/>
      <c r="L1" s="415"/>
      <c r="M1" s="415"/>
      <c r="N1" s="415"/>
      <c r="O1" s="415"/>
      <c r="P1" s="415"/>
      <c r="Q1" s="415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ht="8.25" customHeight="1" thickBot="1">
      <c r="A2" s="80"/>
      <c r="B2" s="80"/>
      <c r="C2" s="80"/>
      <c r="D2" s="80"/>
      <c r="E2" s="80"/>
      <c r="F2" s="80"/>
      <c r="G2" s="80"/>
      <c r="H2" s="80"/>
      <c r="I2" s="81"/>
      <c r="J2" s="80"/>
      <c r="K2" s="80"/>
      <c r="L2" s="80"/>
      <c r="M2" s="80"/>
      <c r="N2" s="80"/>
      <c r="O2" s="80"/>
      <c r="P2" s="80"/>
      <c r="Q2" s="82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</row>
    <row r="3" spans="1:63" ht="69" customHeight="1" thickBot="1">
      <c r="A3" s="418" t="s">
        <v>0</v>
      </c>
      <c r="B3" s="416" t="s">
        <v>111</v>
      </c>
      <c r="C3" s="421" t="s">
        <v>112</v>
      </c>
      <c r="D3" s="410" t="s">
        <v>113</v>
      </c>
      <c r="E3" s="410" t="s">
        <v>132</v>
      </c>
      <c r="F3" s="410" t="s">
        <v>126</v>
      </c>
      <c r="G3" s="410" t="s">
        <v>145</v>
      </c>
      <c r="H3" s="412" t="s">
        <v>146</v>
      </c>
      <c r="I3" s="416" t="s">
        <v>180</v>
      </c>
      <c r="J3" s="83" t="s">
        <v>181</v>
      </c>
      <c r="K3" s="416" t="s">
        <v>316</v>
      </c>
      <c r="L3" s="416" t="s">
        <v>182</v>
      </c>
      <c r="M3" s="416" t="s">
        <v>317</v>
      </c>
      <c r="N3" s="83" t="s">
        <v>318</v>
      </c>
      <c r="O3" s="416" t="s">
        <v>319</v>
      </c>
      <c r="P3" s="416" t="s">
        <v>320</v>
      </c>
      <c r="Q3" s="416" t="s">
        <v>315</v>
      </c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</row>
    <row r="4" spans="1:63" ht="20.45" customHeight="1" thickBot="1">
      <c r="A4" s="419"/>
      <c r="B4" s="420"/>
      <c r="C4" s="422"/>
      <c r="D4" s="411"/>
      <c r="E4" s="411"/>
      <c r="F4" s="411"/>
      <c r="G4" s="411"/>
      <c r="H4" s="413"/>
      <c r="I4" s="420"/>
      <c r="J4" s="84">
        <f>IF(I60&lt;I61,I60,I61)</f>
        <v>1.2011813321793584E-2</v>
      </c>
      <c r="K4" s="417"/>
      <c r="L4" s="420"/>
      <c r="M4" s="420"/>
      <c r="N4" s="85">
        <f>+L58/M58</f>
        <v>1.000000000000006</v>
      </c>
      <c r="O4" s="420"/>
      <c r="P4" s="420"/>
      <c r="Q4" s="42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</row>
    <row r="5" spans="1:63" ht="20.45" customHeight="1">
      <c r="A5" s="86"/>
      <c r="B5" s="87" t="s">
        <v>109</v>
      </c>
      <c r="C5" s="86"/>
      <c r="D5" s="86"/>
      <c r="E5" s="86"/>
      <c r="F5" s="86"/>
      <c r="G5" s="86"/>
      <c r="H5" s="86"/>
      <c r="I5" s="87" t="s">
        <v>109</v>
      </c>
      <c r="J5" s="87" t="s">
        <v>109</v>
      </c>
      <c r="K5" s="88" t="s">
        <v>109</v>
      </c>
      <c r="L5" s="87" t="s">
        <v>109</v>
      </c>
      <c r="M5" s="89" t="s">
        <v>109</v>
      </c>
      <c r="N5" s="87" t="s">
        <v>109</v>
      </c>
      <c r="O5" s="87" t="s">
        <v>109</v>
      </c>
      <c r="P5" s="87"/>
      <c r="Q5" s="87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</row>
    <row r="6" spans="1:63" ht="15.75" thickBot="1">
      <c r="A6" s="90"/>
      <c r="B6" s="90"/>
      <c r="C6" s="90"/>
      <c r="D6" s="90"/>
      <c r="E6" s="90"/>
      <c r="F6" s="90"/>
      <c r="G6" s="90"/>
      <c r="H6" s="90"/>
      <c r="I6" s="90" t="s">
        <v>184</v>
      </c>
      <c r="J6" s="90"/>
      <c r="K6" s="91" t="s">
        <v>127</v>
      </c>
      <c r="L6" s="91" t="s">
        <v>128</v>
      </c>
      <c r="M6" s="91" t="s">
        <v>129</v>
      </c>
      <c r="N6" s="91" t="s">
        <v>130</v>
      </c>
      <c r="O6" s="91"/>
      <c r="P6" s="91"/>
      <c r="Q6" s="91" t="s">
        <v>131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</row>
    <row r="7" spans="1:63" ht="12.75" customHeight="1" thickTop="1">
      <c r="A7" s="72" t="s">
        <v>1</v>
      </c>
      <c r="B7" s="92">
        <v>7961092.290000001</v>
      </c>
      <c r="C7" s="92">
        <v>1176115.3700000003</v>
      </c>
      <c r="D7" s="92">
        <v>243429.76000000001</v>
      </c>
      <c r="E7" s="92">
        <v>414772.02999999991</v>
      </c>
      <c r="F7" s="92">
        <v>10300.939999999999</v>
      </c>
      <c r="G7" s="92">
        <v>174909.15999999997</v>
      </c>
      <c r="H7" s="92">
        <v>47521.079999999987</v>
      </c>
      <c r="I7" s="92">
        <f>SUM(B7:H7)</f>
        <v>10028140.630000001</v>
      </c>
      <c r="J7" s="92">
        <f>(+I7*J$4)+I7</f>
        <v>10148596.783212254</v>
      </c>
      <c r="K7" s="92">
        <f>+'COEF Art 14 F I'!AH8</f>
        <v>20738906.887797844</v>
      </c>
      <c r="L7" s="92">
        <f t="shared" ref="L7:L57" si="0">IF(K7&lt;J7,J7-K7,0)</f>
        <v>0</v>
      </c>
      <c r="M7" s="92">
        <f t="shared" ref="M7:M57" si="1">IF(K7&gt;J7,K7-J7,0)</f>
        <v>10590310.10458559</v>
      </c>
      <c r="N7" s="92">
        <f>+M7*N$4</f>
        <v>10590310.104585653</v>
      </c>
      <c r="O7" s="92">
        <f t="shared" ref="O7:O57" si="2">IF(L7&lt;&gt;0,K7+L7,K7-N7)</f>
        <v>10148596.78321219</v>
      </c>
      <c r="P7" s="93">
        <f t="shared" ref="P7:P58" si="3">+(O7-I7)/I7</f>
        <v>1.2011813321787218E-2</v>
      </c>
      <c r="Q7" s="378">
        <f>+O7/O$58</f>
        <v>1.2517195790152258E-3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</row>
    <row r="8" spans="1:63" ht="12.75" customHeight="1">
      <c r="A8" s="73" t="s">
        <v>2</v>
      </c>
      <c r="B8" s="94">
        <v>15769151.479999999</v>
      </c>
      <c r="C8" s="95">
        <v>2329622.7000000002</v>
      </c>
      <c r="D8" s="95">
        <v>482180.15000000008</v>
      </c>
      <c r="E8" s="95">
        <v>821571.08</v>
      </c>
      <c r="F8" s="95">
        <v>20403.87</v>
      </c>
      <c r="G8" s="95">
        <v>346456.14</v>
      </c>
      <c r="H8" s="95">
        <v>94128.719999999987</v>
      </c>
      <c r="I8" s="94">
        <f t="shared" ref="I8:I57" si="4">SUM(B8:H8)</f>
        <v>19863514.139999997</v>
      </c>
      <c r="J8" s="94">
        <f t="shared" ref="J8:J57" si="5">(+I8*J$4)+I8</f>
        <v>20102110.963764485</v>
      </c>
      <c r="K8" s="94">
        <f>+'COEF Art 14 F I'!AH9</f>
        <v>10990749.30275799</v>
      </c>
      <c r="L8" s="94">
        <f t="shared" si="0"/>
        <v>9111361.6610064954</v>
      </c>
      <c r="M8" s="94">
        <f t="shared" si="1"/>
        <v>0</v>
      </c>
      <c r="N8" s="94">
        <f t="shared" ref="N8:N57" si="6">+M8*N$4</f>
        <v>0</v>
      </c>
      <c r="O8" s="94">
        <f t="shared" si="2"/>
        <v>20102110.963764485</v>
      </c>
      <c r="P8" s="96">
        <f t="shared" si="3"/>
        <v>1.201181332179363E-2</v>
      </c>
      <c r="Q8" s="379">
        <f t="shared" ref="Q8:Q57" si="7">+O8/O$58</f>
        <v>2.4793778302931455E-3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</row>
    <row r="9" spans="1:63" ht="12.75" customHeight="1">
      <c r="A9" s="73" t="s">
        <v>3</v>
      </c>
      <c r="B9" s="94">
        <v>16404570.699999999</v>
      </c>
      <c r="C9" s="95">
        <v>2423495.0299999998</v>
      </c>
      <c r="D9" s="95">
        <v>501609.65</v>
      </c>
      <c r="E9" s="95">
        <v>854676.37000000011</v>
      </c>
      <c r="F9" s="95">
        <v>21226.04</v>
      </c>
      <c r="G9" s="95">
        <v>360416.6</v>
      </c>
      <c r="H9" s="95">
        <v>97921.680000000008</v>
      </c>
      <c r="I9" s="94">
        <f t="shared" si="4"/>
        <v>20663916.07</v>
      </c>
      <c r="J9" s="94">
        <f t="shared" si="5"/>
        <v>20912127.172330052</v>
      </c>
      <c r="K9" s="94">
        <f>+'COEF Art 14 F I'!AH10</f>
        <v>27333561.563217238</v>
      </c>
      <c r="L9" s="94">
        <f t="shared" si="0"/>
        <v>0</v>
      </c>
      <c r="M9" s="94">
        <f t="shared" si="1"/>
        <v>6421434.3908871859</v>
      </c>
      <c r="N9" s="94">
        <f t="shared" si="6"/>
        <v>6421434.3908872241</v>
      </c>
      <c r="O9" s="94">
        <f t="shared" si="2"/>
        <v>20912127.172330014</v>
      </c>
      <c r="P9" s="96">
        <f t="shared" si="3"/>
        <v>1.2011813321791822E-2</v>
      </c>
      <c r="Q9" s="379">
        <f t="shared" si="7"/>
        <v>2.5792845631390469E-3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</row>
    <row r="10" spans="1:63" ht="12.75" customHeight="1">
      <c r="A10" s="73" t="s">
        <v>4</v>
      </c>
      <c r="B10" s="94">
        <v>45373965.81000001</v>
      </c>
      <c r="C10" s="95">
        <v>6703228.169999999</v>
      </c>
      <c r="D10" s="95">
        <v>1387419.3800000001</v>
      </c>
      <c r="E10" s="95">
        <v>2363978.77</v>
      </c>
      <c r="F10" s="95">
        <v>58709.840000000004</v>
      </c>
      <c r="G10" s="95">
        <v>996888.63000000012</v>
      </c>
      <c r="H10" s="95">
        <v>270845.03999999992</v>
      </c>
      <c r="I10" s="94">
        <f t="shared" si="4"/>
        <v>57155035.640000023</v>
      </c>
      <c r="J10" s="94">
        <f t="shared" si="5"/>
        <v>57841571.258508161</v>
      </c>
      <c r="K10" s="94">
        <f>+'COEF Art 14 F I'!AH11</f>
        <v>70155677.814162254</v>
      </c>
      <c r="L10" s="94">
        <f t="shared" si="0"/>
        <v>0</v>
      </c>
      <c r="M10" s="94">
        <f t="shared" si="1"/>
        <v>12314106.555654094</v>
      </c>
      <c r="N10" s="94">
        <f t="shared" si="6"/>
        <v>12314106.555654168</v>
      </c>
      <c r="O10" s="94">
        <f t="shared" si="2"/>
        <v>57841571.258508086</v>
      </c>
      <c r="P10" s="96">
        <f t="shared" si="3"/>
        <v>1.2011813321792252E-2</v>
      </c>
      <c r="Q10" s="379">
        <f t="shared" si="7"/>
        <v>7.1341318186022894E-3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</row>
    <row r="11" spans="1:63" ht="12.75" customHeight="1">
      <c r="A11" s="73" t="s">
        <v>5</v>
      </c>
      <c r="B11" s="94">
        <v>57306237.120000005</v>
      </c>
      <c r="C11" s="95">
        <v>8466017.379999999</v>
      </c>
      <c r="D11" s="95">
        <v>1752277.57</v>
      </c>
      <c r="E11" s="95">
        <v>2985648.85</v>
      </c>
      <c r="F11" s="95">
        <v>74149.13</v>
      </c>
      <c r="G11" s="95">
        <v>1259046.6000000001</v>
      </c>
      <c r="H11" s="95">
        <v>342070.80000000005</v>
      </c>
      <c r="I11" s="94">
        <f t="shared" si="4"/>
        <v>72185447.449999973</v>
      </c>
      <c r="J11" s="94">
        <f t="shared" si="5"/>
        <v>73052525.569319516</v>
      </c>
      <c r="K11" s="94">
        <f>+'COEF Art 14 F I'!AH12</f>
        <v>59383234.760271788</v>
      </c>
      <c r="L11" s="94">
        <f t="shared" si="0"/>
        <v>13669290.809047729</v>
      </c>
      <c r="M11" s="94">
        <f t="shared" si="1"/>
        <v>0</v>
      </c>
      <c r="N11" s="94">
        <f t="shared" si="6"/>
        <v>0</v>
      </c>
      <c r="O11" s="94">
        <f t="shared" si="2"/>
        <v>73052525.569319516</v>
      </c>
      <c r="P11" s="96">
        <f t="shared" si="3"/>
        <v>1.2011813321793624E-2</v>
      </c>
      <c r="Q11" s="379">
        <f t="shared" si="7"/>
        <v>9.0102384107810657E-3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</row>
    <row r="12" spans="1:63" ht="12.75" customHeight="1">
      <c r="A12" s="73" t="s">
        <v>6</v>
      </c>
      <c r="B12" s="94">
        <v>390968214.71999997</v>
      </c>
      <c r="C12" s="95">
        <v>57758873.440000005</v>
      </c>
      <c r="D12" s="95">
        <v>11954804.030000003</v>
      </c>
      <c r="E12" s="95">
        <v>20369402.180000003</v>
      </c>
      <c r="F12" s="95">
        <v>505877.82000000007</v>
      </c>
      <c r="G12" s="95">
        <v>8589766.5599999987</v>
      </c>
      <c r="H12" s="95">
        <v>2333756.4</v>
      </c>
      <c r="I12" s="94">
        <f t="shared" si="4"/>
        <v>492480695.14999998</v>
      </c>
      <c r="J12" s="94">
        <f t="shared" si="5"/>
        <v>498396281.32472891</v>
      </c>
      <c r="K12" s="94">
        <f>+'COEF Art 14 F I'!AH13</f>
        <v>611035044.99427044</v>
      </c>
      <c r="L12" s="94">
        <f t="shared" si="0"/>
        <v>0</v>
      </c>
      <c r="M12" s="94">
        <f t="shared" si="1"/>
        <v>112638763.66954154</v>
      </c>
      <c r="N12" s="94">
        <f t="shared" si="6"/>
        <v>112638763.66954221</v>
      </c>
      <c r="O12" s="94">
        <f t="shared" si="2"/>
        <v>498396281.32472825</v>
      </c>
      <c r="P12" s="96">
        <f t="shared" si="3"/>
        <v>1.2011813321792244E-2</v>
      </c>
      <c r="Q12" s="379">
        <f t="shared" si="7"/>
        <v>6.1471787358279871E-2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</row>
    <row r="13" spans="1:63" ht="12.75" customHeight="1">
      <c r="A13" s="73" t="s">
        <v>7</v>
      </c>
      <c r="B13" s="94">
        <v>65415439.799999997</v>
      </c>
      <c r="C13" s="95">
        <v>9664013.5300000012</v>
      </c>
      <c r="D13" s="95">
        <v>2000236.1900000002</v>
      </c>
      <c r="E13" s="95">
        <v>3408137.44</v>
      </c>
      <c r="F13" s="95">
        <v>84641.71</v>
      </c>
      <c r="G13" s="95">
        <v>1437209.8199999998</v>
      </c>
      <c r="H13" s="95">
        <v>390476.03999999986</v>
      </c>
      <c r="I13" s="94">
        <f t="shared" si="4"/>
        <v>82400154.529999986</v>
      </c>
      <c r="J13" s="94">
        <f t="shared" si="5"/>
        <v>83389929.803901285</v>
      </c>
      <c r="K13" s="94">
        <f>+'COEF Art 14 F I'!AH14</f>
        <v>79086906.560829237</v>
      </c>
      <c r="L13" s="94">
        <f t="shared" si="0"/>
        <v>4303023.2430720478</v>
      </c>
      <c r="M13" s="94">
        <f t="shared" si="1"/>
        <v>0</v>
      </c>
      <c r="N13" s="94">
        <f t="shared" si="6"/>
        <v>0</v>
      </c>
      <c r="O13" s="94">
        <f t="shared" si="2"/>
        <v>83389929.803901285</v>
      </c>
      <c r="P13" s="96">
        <f t="shared" si="3"/>
        <v>1.2011813321793522E-2</v>
      </c>
      <c r="Q13" s="379">
        <f t="shared" si="7"/>
        <v>1.0285245345535383E-2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</row>
    <row r="14" spans="1:63" ht="12.75" customHeight="1">
      <c r="A14" s="73" t="s">
        <v>8</v>
      </c>
      <c r="B14" s="94">
        <v>10401401.620000001</v>
      </c>
      <c r="C14" s="95">
        <v>1536629.36</v>
      </c>
      <c r="D14" s="95">
        <v>318048.15000000002</v>
      </c>
      <c r="E14" s="95">
        <v>541911.89</v>
      </c>
      <c r="F14" s="95">
        <v>13458.469999999998</v>
      </c>
      <c r="G14" s="95">
        <v>228524.00000000003</v>
      </c>
      <c r="H14" s="95">
        <v>62087.75999999998</v>
      </c>
      <c r="I14" s="94">
        <f t="shared" si="4"/>
        <v>13102061.250000002</v>
      </c>
      <c r="J14" s="94">
        <f t="shared" si="5"/>
        <v>13259440.763865707</v>
      </c>
      <c r="K14" s="94">
        <f>+'COEF Art 14 F I'!AH15</f>
        <v>7711972.1457338706</v>
      </c>
      <c r="L14" s="94">
        <f t="shared" si="0"/>
        <v>5547468.6181318369</v>
      </c>
      <c r="M14" s="94">
        <f t="shared" si="1"/>
        <v>0</v>
      </c>
      <c r="N14" s="94">
        <f t="shared" si="6"/>
        <v>0</v>
      </c>
      <c r="O14" s="94">
        <f t="shared" si="2"/>
        <v>13259440.763865707</v>
      </c>
      <c r="P14" s="96">
        <f t="shared" si="3"/>
        <v>1.2011813321793588E-2</v>
      </c>
      <c r="Q14" s="379">
        <f t="shared" si="7"/>
        <v>1.6354085166116988E-3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</row>
    <row r="15" spans="1:63" ht="12.75" customHeight="1">
      <c r="A15" s="73" t="s">
        <v>9</v>
      </c>
      <c r="B15" s="94">
        <v>103391967.3</v>
      </c>
      <c r="C15" s="95">
        <v>15274396.569999997</v>
      </c>
      <c r="D15" s="95">
        <v>3161460.84</v>
      </c>
      <c r="E15" s="95">
        <v>5386710.4800000004</v>
      </c>
      <c r="F15" s="95">
        <v>133779.93</v>
      </c>
      <c r="G15" s="95">
        <v>2271573.06</v>
      </c>
      <c r="H15" s="95">
        <v>617164.44000000006</v>
      </c>
      <c r="I15" s="94">
        <f t="shared" si="4"/>
        <v>130237052.62</v>
      </c>
      <c r="J15" s="94">
        <f t="shared" si="5"/>
        <v>131801435.78365205</v>
      </c>
      <c r="K15" s="94">
        <f>+'COEF Art 14 F I'!AH16</f>
        <v>103780138.76104695</v>
      </c>
      <c r="L15" s="94">
        <f t="shared" si="0"/>
        <v>28021297.022605106</v>
      </c>
      <c r="M15" s="94">
        <f t="shared" si="1"/>
        <v>0</v>
      </c>
      <c r="N15" s="94">
        <f t="shared" si="6"/>
        <v>0</v>
      </c>
      <c r="O15" s="94">
        <f t="shared" si="2"/>
        <v>131801435.78365205</v>
      </c>
      <c r="P15" s="96">
        <f t="shared" si="3"/>
        <v>1.2011813321793579E-2</v>
      </c>
      <c r="Q15" s="379">
        <f t="shared" si="7"/>
        <v>1.625628066981857E-2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</row>
    <row r="16" spans="1:63" ht="12.75" customHeight="1">
      <c r="A16" s="73" t="s">
        <v>10</v>
      </c>
      <c r="B16" s="94">
        <v>17178452.890000001</v>
      </c>
      <c r="C16" s="95">
        <v>2537822.9000000004</v>
      </c>
      <c r="D16" s="95">
        <v>525272.97</v>
      </c>
      <c r="E16" s="95">
        <v>894995.54</v>
      </c>
      <c r="F16" s="95">
        <v>22227.370000000003</v>
      </c>
      <c r="G16" s="95">
        <v>377419.17</v>
      </c>
      <c r="H16" s="95">
        <v>102541.07999999997</v>
      </c>
      <c r="I16" s="94">
        <f t="shared" si="4"/>
        <v>21638731.919999998</v>
      </c>
      <c r="J16" s="94">
        <f t="shared" si="5"/>
        <v>21898652.328343373</v>
      </c>
      <c r="K16" s="94">
        <f>+'COEF Art 14 F I'!AH17</f>
        <v>54448309.806745403</v>
      </c>
      <c r="L16" s="94">
        <f t="shared" si="0"/>
        <v>0</v>
      </c>
      <c r="M16" s="94">
        <f t="shared" si="1"/>
        <v>32549657.47840203</v>
      </c>
      <c r="N16" s="94">
        <f t="shared" si="6"/>
        <v>32549657.478402223</v>
      </c>
      <c r="O16" s="94">
        <f t="shared" si="2"/>
        <v>21898652.328343179</v>
      </c>
      <c r="P16" s="96">
        <f t="shared" si="3"/>
        <v>1.2011813321784571E-2</v>
      </c>
      <c r="Q16" s="379">
        <f t="shared" si="7"/>
        <v>2.7009617643670453E-3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</row>
    <row r="17" spans="1:63" s="1" customFormat="1" ht="12.75" customHeight="1">
      <c r="A17" s="73" t="s">
        <v>11</v>
      </c>
      <c r="B17" s="94">
        <v>24957742.009999994</v>
      </c>
      <c r="C17" s="95">
        <v>3687079.94</v>
      </c>
      <c r="D17" s="95">
        <v>763143.66</v>
      </c>
      <c r="E17" s="95">
        <v>1300295.69</v>
      </c>
      <c r="F17" s="95">
        <v>32293.07</v>
      </c>
      <c r="G17" s="95">
        <v>548334.04</v>
      </c>
      <c r="H17" s="95">
        <v>148977</v>
      </c>
      <c r="I17" s="94">
        <f t="shared" si="4"/>
        <v>31437865.409999996</v>
      </c>
      <c r="J17" s="94">
        <f t="shared" si="5"/>
        <v>31815491.180540588</v>
      </c>
      <c r="K17" s="94">
        <f>+'COEF Art 14 F I'!AH18</f>
        <v>17705770.302513532</v>
      </c>
      <c r="L17" s="94">
        <f t="shared" si="0"/>
        <v>14109720.878027055</v>
      </c>
      <c r="M17" s="94">
        <f t="shared" si="1"/>
        <v>0</v>
      </c>
      <c r="N17" s="94">
        <f t="shared" si="6"/>
        <v>0</v>
      </c>
      <c r="O17" s="94">
        <f t="shared" si="2"/>
        <v>31815491.180540588</v>
      </c>
      <c r="P17" s="96">
        <f t="shared" si="3"/>
        <v>1.2011813321793572E-2</v>
      </c>
      <c r="Q17" s="379">
        <f t="shared" si="7"/>
        <v>3.9240965108147639E-3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</row>
    <row r="18" spans="1:63" ht="12.75" customHeight="1">
      <c r="A18" s="73" t="s">
        <v>12</v>
      </c>
      <c r="B18" s="94">
        <v>52489783.149999991</v>
      </c>
      <c r="C18" s="95">
        <v>7754468.5899999999</v>
      </c>
      <c r="D18" s="95">
        <v>1605002.8</v>
      </c>
      <c r="E18" s="95">
        <v>2734712.13</v>
      </c>
      <c r="F18" s="95">
        <v>67917.070000000007</v>
      </c>
      <c r="G18" s="95">
        <v>1153226.7</v>
      </c>
      <c r="H18" s="95">
        <v>313320.48000000004</v>
      </c>
      <c r="I18" s="94">
        <f t="shared" si="4"/>
        <v>66118430.919999994</v>
      </c>
      <c r="J18" s="94">
        <f t="shared" si="5"/>
        <v>66912633.169340938</v>
      </c>
      <c r="K18" s="94">
        <f>+'COEF Art 14 F I'!AH19</f>
        <v>52100316.322559647</v>
      </c>
      <c r="L18" s="94">
        <f t="shared" si="0"/>
        <v>14812316.846781291</v>
      </c>
      <c r="M18" s="94">
        <f t="shared" si="1"/>
        <v>0</v>
      </c>
      <c r="N18" s="94">
        <f t="shared" si="6"/>
        <v>0</v>
      </c>
      <c r="O18" s="94">
        <f t="shared" si="2"/>
        <v>66912633.169340938</v>
      </c>
      <c r="P18" s="96">
        <f t="shared" si="3"/>
        <v>1.2011813321793572E-2</v>
      </c>
      <c r="Q18" s="379">
        <f t="shared" si="7"/>
        <v>8.2529491328374189E-3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</row>
    <row r="19" spans="1:63" ht="12.75" customHeight="1">
      <c r="A19" s="73" t="s">
        <v>13</v>
      </c>
      <c r="B19" s="94">
        <v>26707303.090000011</v>
      </c>
      <c r="C19" s="95">
        <v>3945547.709999999</v>
      </c>
      <c r="D19" s="95">
        <v>816640.74000000011</v>
      </c>
      <c r="E19" s="95">
        <v>1391447.5900000003</v>
      </c>
      <c r="F19" s="95">
        <v>34556.86</v>
      </c>
      <c r="G19" s="95">
        <v>586772.76</v>
      </c>
      <c r="H19" s="95">
        <v>159420.48000000007</v>
      </c>
      <c r="I19" s="94">
        <f t="shared" si="4"/>
        <v>33641689.230000012</v>
      </c>
      <c r="J19" s="94">
        <f t="shared" si="5"/>
        <v>34045786.920860566</v>
      </c>
      <c r="K19" s="94">
        <f>+'COEF Art 14 F I'!AH20</f>
        <v>43075058.970702052</v>
      </c>
      <c r="L19" s="94">
        <f t="shared" si="0"/>
        <v>0</v>
      </c>
      <c r="M19" s="94">
        <f t="shared" si="1"/>
        <v>9029272.0498414859</v>
      </c>
      <c r="N19" s="94">
        <f t="shared" si="6"/>
        <v>9029272.0498415399</v>
      </c>
      <c r="O19" s="94">
        <f t="shared" si="2"/>
        <v>34045786.920860514</v>
      </c>
      <c r="P19" s="96">
        <f t="shared" si="3"/>
        <v>1.2011813321792054E-2</v>
      </c>
      <c r="Q19" s="379">
        <f t="shared" si="7"/>
        <v>4.1991793527866462E-3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1:63" ht="12.75" customHeight="1">
      <c r="A20" s="73" t="s">
        <v>14</v>
      </c>
      <c r="B20" s="94">
        <v>146285856.51000002</v>
      </c>
      <c r="C20" s="95">
        <v>21611235.77</v>
      </c>
      <c r="D20" s="95">
        <v>4473045.8500000006</v>
      </c>
      <c r="E20" s="95">
        <v>7621477.4600000009</v>
      </c>
      <c r="F20" s="95">
        <v>189280.80000000002</v>
      </c>
      <c r="G20" s="95">
        <v>3213973.1799999997</v>
      </c>
      <c r="H20" s="95">
        <v>873205.32</v>
      </c>
      <c r="I20" s="94">
        <f t="shared" si="4"/>
        <v>184268074.89000005</v>
      </c>
      <c r="J20" s="94">
        <f t="shared" si="5"/>
        <v>186481468.606745</v>
      </c>
      <c r="K20" s="94">
        <f>+'COEF Art 14 F I'!AH21</f>
        <v>229111241.3089096</v>
      </c>
      <c r="L20" s="94">
        <f t="shared" si="0"/>
        <v>0</v>
      </c>
      <c r="M20" s="94">
        <f t="shared" si="1"/>
        <v>42629772.70216459</v>
      </c>
      <c r="N20" s="94">
        <f t="shared" si="6"/>
        <v>42629772.702164844</v>
      </c>
      <c r="O20" s="94">
        <f t="shared" si="2"/>
        <v>186481468.60674477</v>
      </c>
      <c r="P20" s="96">
        <f t="shared" si="3"/>
        <v>1.2011813321792285E-2</v>
      </c>
      <c r="Q20" s="379">
        <f t="shared" si="7"/>
        <v>2.3000470938475272E-2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</row>
    <row r="21" spans="1:63" ht="12.75" customHeight="1">
      <c r="A21" s="73" t="s">
        <v>15</v>
      </c>
      <c r="B21" s="94">
        <v>18674970.939999998</v>
      </c>
      <c r="C21" s="95">
        <v>2758907.88</v>
      </c>
      <c r="D21" s="95">
        <v>571032.65</v>
      </c>
      <c r="E21" s="95">
        <v>972963.99999999977</v>
      </c>
      <c r="F21" s="95">
        <v>24163.729999999996</v>
      </c>
      <c r="G21" s="95">
        <v>410298.41999999993</v>
      </c>
      <c r="H21" s="95">
        <v>111474.11999999998</v>
      </c>
      <c r="I21" s="94">
        <f t="shared" si="4"/>
        <v>23523811.739999998</v>
      </c>
      <c r="J21" s="94">
        <f t="shared" si="5"/>
        <v>23806375.375237893</v>
      </c>
      <c r="K21" s="94">
        <f>+'COEF Art 14 F I'!AH22</f>
        <v>6472766.1842346387</v>
      </c>
      <c r="L21" s="94">
        <f t="shared" si="0"/>
        <v>17333609.191003256</v>
      </c>
      <c r="M21" s="94">
        <f t="shared" si="1"/>
        <v>0</v>
      </c>
      <c r="N21" s="94">
        <f t="shared" si="6"/>
        <v>0</v>
      </c>
      <c r="O21" s="94">
        <f t="shared" si="2"/>
        <v>23806375.375237893</v>
      </c>
      <c r="P21" s="96">
        <f t="shared" si="3"/>
        <v>1.2011813321793527E-2</v>
      </c>
      <c r="Q21" s="379">
        <f t="shared" si="7"/>
        <v>2.9362587556798557E-3</v>
      </c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1:63" ht="12.75" customHeight="1">
      <c r="A22" s="73" t="s">
        <v>16</v>
      </c>
      <c r="B22" s="94">
        <v>13004749.23</v>
      </c>
      <c r="C22" s="95">
        <v>1921229.47</v>
      </c>
      <c r="D22" s="95">
        <v>397651.83999999997</v>
      </c>
      <c r="E22" s="95">
        <v>677546.05000000016</v>
      </c>
      <c r="F22" s="95">
        <v>16826.969999999998</v>
      </c>
      <c r="G22" s="95">
        <v>285720.82</v>
      </c>
      <c r="H22" s="95">
        <v>77627.520000000004</v>
      </c>
      <c r="I22" s="94">
        <f t="shared" si="4"/>
        <v>16381351.900000002</v>
      </c>
      <c r="J22" s="94">
        <f t="shared" si="5"/>
        <v>16578121.640981412</v>
      </c>
      <c r="K22" s="94">
        <f>+'COEF Art 14 F I'!AH23</f>
        <v>20386620.635284476</v>
      </c>
      <c r="L22" s="94">
        <f t="shared" si="0"/>
        <v>0</v>
      </c>
      <c r="M22" s="94">
        <f t="shared" si="1"/>
        <v>3808498.9943030644</v>
      </c>
      <c r="N22" s="94">
        <f t="shared" si="6"/>
        <v>3808498.9943030872</v>
      </c>
      <c r="O22" s="94">
        <f t="shared" si="2"/>
        <v>16578121.640981389</v>
      </c>
      <c r="P22" s="96">
        <f t="shared" si="3"/>
        <v>1.2011813321792259E-2</v>
      </c>
      <c r="Q22" s="379">
        <f t="shared" si="7"/>
        <v>2.04473188605138E-3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1:63" ht="12.75" customHeight="1">
      <c r="A23" s="73" t="s">
        <v>17</v>
      </c>
      <c r="B23" s="94">
        <v>114053395.42999996</v>
      </c>
      <c r="C23" s="95">
        <v>16849440.399999999</v>
      </c>
      <c r="D23" s="95">
        <v>3487459.9400000004</v>
      </c>
      <c r="E23" s="95">
        <v>5942169.7300000004</v>
      </c>
      <c r="F23" s="95">
        <v>147574.87</v>
      </c>
      <c r="G23" s="95">
        <v>2505809.9700000002</v>
      </c>
      <c r="H23" s="95">
        <v>680804.28</v>
      </c>
      <c r="I23" s="94">
        <f t="shared" si="4"/>
        <v>143666654.61999995</v>
      </c>
      <c r="J23" s="94">
        <f t="shared" si="5"/>
        <v>145392351.65586197</v>
      </c>
      <c r="K23" s="94">
        <f>+'COEF Art 14 F I'!AH24</f>
        <v>130928623.97306347</v>
      </c>
      <c r="L23" s="94">
        <f t="shared" si="0"/>
        <v>14463727.682798505</v>
      </c>
      <c r="M23" s="94">
        <f t="shared" si="1"/>
        <v>0</v>
      </c>
      <c r="N23" s="94">
        <f t="shared" si="6"/>
        <v>0</v>
      </c>
      <c r="O23" s="94">
        <f t="shared" si="2"/>
        <v>145392351.65586197</v>
      </c>
      <c r="P23" s="96">
        <f t="shared" si="3"/>
        <v>1.2011813321793553E-2</v>
      </c>
      <c r="Q23" s="379">
        <f t="shared" si="7"/>
        <v>1.7932573053622333E-2</v>
      </c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</row>
    <row r="24" spans="1:63" ht="12.75" customHeight="1">
      <c r="A24" s="73" t="s">
        <v>18</v>
      </c>
      <c r="B24" s="94">
        <v>139890405.95999998</v>
      </c>
      <c r="C24" s="95">
        <v>20666417.229999997</v>
      </c>
      <c r="D24" s="95">
        <v>4277489.3999999994</v>
      </c>
      <c r="E24" s="95">
        <v>7288275.1599999983</v>
      </c>
      <c r="F24" s="95">
        <v>181005.63999999998</v>
      </c>
      <c r="G24" s="95">
        <v>3073461.9500000007</v>
      </c>
      <c r="H24" s="95">
        <v>835029.84000000032</v>
      </c>
      <c r="I24" s="94">
        <f t="shared" si="4"/>
        <v>176212085.17999995</v>
      </c>
      <c r="J24" s="94">
        <f t="shared" si="5"/>
        <v>178328711.85222611</v>
      </c>
      <c r="K24" s="94">
        <f>+'COEF Art 14 F I'!AH25</f>
        <v>237038535.5550428</v>
      </c>
      <c r="L24" s="94">
        <f t="shared" si="0"/>
        <v>0</v>
      </c>
      <c r="M24" s="94">
        <f t="shared" si="1"/>
        <v>58709823.702816695</v>
      </c>
      <c r="N24" s="94">
        <f t="shared" si="6"/>
        <v>58709823.702817045</v>
      </c>
      <c r="O24" s="94">
        <f t="shared" si="2"/>
        <v>178328711.85222575</v>
      </c>
      <c r="P24" s="96">
        <f t="shared" si="3"/>
        <v>1.2011813321791621E-2</v>
      </c>
      <c r="Q24" s="379">
        <f t="shared" si="7"/>
        <v>2.199491662682293E-2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</row>
    <row r="25" spans="1:63" ht="12.75" customHeight="1">
      <c r="A25" s="73" t="s">
        <v>19</v>
      </c>
      <c r="B25" s="94">
        <v>21921102.199999996</v>
      </c>
      <c r="C25" s="95">
        <v>3238468.27</v>
      </c>
      <c r="D25" s="95">
        <v>670291.01</v>
      </c>
      <c r="E25" s="95">
        <v>1142087.0899999999</v>
      </c>
      <c r="F25" s="95">
        <v>28363.940000000002</v>
      </c>
      <c r="G25" s="95">
        <v>481617.55</v>
      </c>
      <c r="H25" s="95">
        <v>130850.75999999997</v>
      </c>
      <c r="I25" s="94">
        <f t="shared" si="4"/>
        <v>27612780.82</v>
      </c>
      <c r="J25" s="94">
        <f t="shared" si="5"/>
        <v>27944460.388505444</v>
      </c>
      <c r="K25" s="94">
        <f>+'COEF Art 14 F I'!AH26</f>
        <v>27252817.703132335</v>
      </c>
      <c r="L25" s="94">
        <f t="shared" si="0"/>
        <v>691642.68537310883</v>
      </c>
      <c r="M25" s="94">
        <f t="shared" si="1"/>
        <v>0</v>
      </c>
      <c r="N25" s="94">
        <f t="shared" si="6"/>
        <v>0</v>
      </c>
      <c r="O25" s="94">
        <f t="shared" si="2"/>
        <v>27944460.388505444</v>
      </c>
      <c r="P25" s="96">
        <f t="shared" si="3"/>
        <v>1.201181332179363E-2</v>
      </c>
      <c r="Q25" s="379">
        <f t="shared" si="7"/>
        <v>3.4466467572314371E-3</v>
      </c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</row>
    <row r="26" spans="1:63" ht="12.75" customHeight="1">
      <c r="A26" s="73" t="s">
        <v>20</v>
      </c>
      <c r="B26" s="94">
        <v>299648492.95999986</v>
      </c>
      <c r="C26" s="95">
        <v>44267944.899999991</v>
      </c>
      <c r="D26" s="95">
        <v>9162481.4399999995</v>
      </c>
      <c r="E26" s="95">
        <v>15611654.469999999</v>
      </c>
      <c r="F26" s="95">
        <v>387718.30000000005</v>
      </c>
      <c r="G26" s="95">
        <v>6583426.7300000004</v>
      </c>
      <c r="H26" s="95">
        <v>1788653.2799999996</v>
      </c>
      <c r="I26" s="94">
        <f t="shared" si="4"/>
        <v>377450372.07999986</v>
      </c>
      <c r="J26" s="94">
        <f t="shared" si="5"/>
        <v>381984235.48766637</v>
      </c>
      <c r="K26" s="94">
        <f>+'COEF Art 14 F I'!AH27</f>
        <v>338526557.62354302</v>
      </c>
      <c r="L26" s="94">
        <f t="shared" si="0"/>
        <v>43457677.864123344</v>
      </c>
      <c r="M26" s="94">
        <f t="shared" si="1"/>
        <v>0</v>
      </c>
      <c r="N26" s="94">
        <f t="shared" si="6"/>
        <v>0</v>
      </c>
      <c r="O26" s="94">
        <f t="shared" si="2"/>
        <v>381984235.48766637</v>
      </c>
      <c r="P26" s="96">
        <f t="shared" si="3"/>
        <v>1.201181332179363E-2</v>
      </c>
      <c r="Q26" s="379">
        <f t="shared" si="7"/>
        <v>4.7113621385176038E-2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</row>
    <row r="27" spans="1:63" s="1" customFormat="1" ht="12.75" customHeight="1">
      <c r="A27" s="73" t="s">
        <v>21</v>
      </c>
      <c r="B27" s="94">
        <v>44241967.469999991</v>
      </c>
      <c r="C27" s="95">
        <v>6535994.7699999996</v>
      </c>
      <c r="D27" s="95">
        <v>1352805.76</v>
      </c>
      <c r="E27" s="95">
        <v>2305001.75</v>
      </c>
      <c r="F27" s="95">
        <v>57245.14</v>
      </c>
      <c r="G27" s="95">
        <v>972018.05999999994</v>
      </c>
      <c r="H27" s="95">
        <v>264087.84000000003</v>
      </c>
      <c r="I27" s="94">
        <f t="shared" si="4"/>
        <v>55729120.789999999</v>
      </c>
      <c r="J27" s="94">
        <f t="shared" si="5"/>
        <v>56398528.585517168</v>
      </c>
      <c r="K27" s="94">
        <f>+'COEF Art 14 F I'!AH28</f>
        <v>53729063.599697806</v>
      </c>
      <c r="L27" s="94">
        <f t="shared" si="0"/>
        <v>2669464.9858193621</v>
      </c>
      <c r="M27" s="94">
        <f t="shared" si="1"/>
        <v>0</v>
      </c>
      <c r="N27" s="94">
        <f t="shared" si="6"/>
        <v>0</v>
      </c>
      <c r="O27" s="94">
        <f t="shared" si="2"/>
        <v>56398528.585517168</v>
      </c>
      <c r="P27" s="96">
        <f t="shared" si="3"/>
        <v>1.201181332179364E-2</v>
      </c>
      <c r="Q27" s="379">
        <f t="shared" si="7"/>
        <v>6.9561481223611348E-3</v>
      </c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</row>
    <row r="28" spans="1:63" ht="12.75" customHeight="1">
      <c r="A28" s="73" t="s">
        <v>22</v>
      </c>
      <c r="B28" s="94">
        <v>7096430.4199999999</v>
      </c>
      <c r="C28" s="95">
        <v>1048376.3099999999</v>
      </c>
      <c r="D28" s="95">
        <v>216990.62</v>
      </c>
      <c r="E28" s="95">
        <v>369723.23999999987</v>
      </c>
      <c r="F28" s="95">
        <v>9182.14</v>
      </c>
      <c r="G28" s="95">
        <v>155912.12000000002</v>
      </c>
      <c r="H28" s="95">
        <v>42359.760000000009</v>
      </c>
      <c r="I28" s="94">
        <f t="shared" si="4"/>
        <v>8938974.6099999994</v>
      </c>
      <c r="J28" s="94">
        <f t="shared" si="5"/>
        <v>9046347.9043035712</v>
      </c>
      <c r="K28" s="94">
        <f>+'COEF Art 14 F I'!AH29</f>
        <v>13866484.464761468</v>
      </c>
      <c r="L28" s="94">
        <f t="shared" si="0"/>
        <v>0</v>
      </c>
      <c r="M28" s="94">
        <f t="shared" si="1"/>
        <v>4820136.5604578964</v>
      </c>
      <c r="N28" s="94">
        <f t="shared" si="6"/>
        <v>4820136.5604579253</v>
      </c>
      <c r="O28" s="94">
        <f t="shared" si="2"/>
        <v>9046347.9043035433</v>
      </c>
      <c r="P28" s="96">
        <f t="shared" si="3"/>
        <v>1.201181332179037E-2</v>
      </c>
      <c r="Q28" s="379">
        <f t="shared" si="7"/>
        <v>1.115769108999524E-3</v>
      </c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</row>
    <row r="29" spans="1:63" ht="12.75" customHeight="1">
      <c r="A29" s="73" t="s">
        <v>23</v>
      </c>
      <c r="B29" s="94">
        <v>32863508.580000002</v>
      </c>
      <c r="C29" s="95">
        <v>4855021.8699999992</v>
      </c>
      <c r="D29" s="95">
        <v>1004881.7299999999</v>
      </c>
      <c r="E29" s="95">
        <v>1712185.2700000003</v>
      </c>
      <c r="F29" s="95">
        <v>42522.45</v>
      </c>
      <c r="G29" s="95">
        <v>722027.67</v>
      </c>
      <c r="H29" s="95">
        <v>196167.95999999996</v>
      </c>
      <c r="I29" s="94">
        <f t="shared" si="4"/>
        <v>41396315.530000009</v>
      </c>
      <c r="J29" s="94">
        <f t="shared" si="5"/>
        <v>41893560.344356433</v>
      </c>
      <c r="K29" s="94">
        <f>+'COEF Art 14 F I'!AH30</f>
        <v>43844390.857187569</v>
      </c>
      <c r="L29" s="94">
        <f t="shared" si="0"/>
        <v>0</v>
      </c>
      <c r="M29" s="94">
        <f t="shared" si="1"/>
        <v>1950830.5128311366</v>
      </c>
      <c r="N29" s="94">
        <f t="shared" si="6"/>
        <v>1950830.5128311482</v>
      </c>
      <c r="O29" s="94">
        <f t="shared" si="2"/>
        <v>41893560.344356418</v>
      </c>
      <c r="P29" s="96">
        <f t="shared" si="3"/>
        <v>1.2011813321793205E-2</v>
      </c>
      <c r="Q29" s="379">
        <f t="shared" si="7"/>
        <v>5.1671172712695959E-3</v>
      </c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</row>
    <row r="30" spans="1:63" ht="12.75" customHeight="1">
      <c r="A30" s="73" t="s">
        <v>24</v>
      </c>
      <c r="B30" s="94">
        <v>32021360.150000002</v>
      </c>
      <c r="C30" s="95">
        <v>4730608.8600000003</v>
      </c>
      <c r="D30" s="95">
        <v>979130.96</v>
      </c>
      <c r="E30" s="95">
        <v>1668309.4500000004</v>
      </c>
      <c r="F30" s="95">
        <v>41432.769999999997</v>
      </c>
      <c r="G30" s="95">
        <v>703525.24999999988</v>
      </c>
      <c r="H30" s="95">
        <v>191141.04000000004</v>
      </c>
      <c r="I30" s="94">
        <f t="shared" si="4"/>
        <v>40335508.480000012</v>
      </c>
      <c r="J30" s="94">
        <f t="shared" si="5"/>
        <v>40820011.078101397</v>
      </c>
      <c r="K30" s="94">
        <f>+'COEF Art 14 F I'!AH31</f>
        <v>72600514.929572165</v>
      </c>
      <c r="L30" s="94">
        <f t="shared" si="0"/>
        <v>0</v>
      </c>
      <c r="M30" s="94">
        <f t="shared" si="1"/>
        <v>31780503.851470768</v>
      </c>
      <c r="N30" s="94">
        <f t="shared" si="6"/>
        <v>31780503.851470958</v>
      </c>
      <c r="O30" s="94">
        <f t="shared" si="2"/>
        <v>40820011.078101203</v>
      </c>
      <c r="P30" s="96">
        <f t="shared" si="3"/>
        <v>1.2011813321788849E-2</v>
      </c>
      <c r="Q30" s="379">
        <f t="shared" si="7"/>
        <v>5.034706587870294E-3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</row>
    <row r="31" spans="1:63" ht="12.75" customHeight="1">
      <c r="A31" s="73" t="s">
        <v>25</v>
      </c>
      <c r="B31" s="94">
        <v>512493199.22000003</v>
      </c>
      <c r="C31" s="95">
        <v>75712113.450000003</v>
      </c>
      <c r="D31" s="95">
        <v>15670725.99</v>
      </c>
      <c r="E31" s="95">
        <v>26700840.909999996</v>
      </c>
      <c r="F31" s="95">
        <v>663120.25000000012</v>
      </c>
      <c r="G31" s="95">
        <v>11259731.030000001</v>
      </c>
      <c r="H31" s="95">
        <v>3059159.8800000008</v>
      </c>
      <c r="I31" s="94">
        <f t="shared" si="4"/>
        <v>645558890.73000002</v>
      </c>
      <c r="J31" s="94">
        <f t="shared" si="5"/>
        <v>653313223.61367297</v>
      </c>
      <c r="K31" s="94">
        <f>+'COEF Art 14 F I'!AH32</f>
        <v>534343431.24916708</v>
      </c>
      <c r="L31" s="94">
        <f t="shared" si="0"/>
        <v>118969792.36450589</v>
      </c>
      <c r="M31" s="94">
        <f t="shared" si="1"/>
        <v>0</v>
      </c>
      <c r="N31" s="94">
        <f t="shared" si="6"/>
        <v>0</v>
      </c>
      <c r="O31" s="94">
        <f t="shared" si="2"/>
        <v>653313223.61367297</v>
      </c>
      <c r="P31" s="96">
        <f t="shared" si="3"/>
        <v>1.2011813321793661E-2</v>
      </c>
      <c r="Q31" s="379">
        <f t="shared" si="7"/>
        <v>8.0579115585667341E-2</v>
      </c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</row>
    <row r="32" spans="1:63" ht="12.75" customHeight="1">
      <c r="A32" s="73" t="s">
        <v>26</v>
      </c>
      <c r="B32" s="94">
        <v>13196489.440000005</v>
      </c>
      <c r="C32" s="95">
        <v>1949555.8299999996</v>
      </c>
      <c r="D32" s="95">
        <v>403514.75000000006</v>
      </c>
      <c r="E32" s="95">
        <v>687535.7200000002</v>
      </c>
      <c r="F32" s="95">
        <v>17075.079999999998</v>
      </c>
      <c r="G32" s="95">
        <v>289933.42</v>
      </c>
      <c r="H32" s="95">
        <v>78772.079999999973</v>
      </c>
      <c r="I32" s="94">
        <f t="shared" si="4"/>
        <v>16622876.320000006</v>
      </c>
      <c r="J32" s="94">
        <f t="shared" si="5"/>
        <v>16822547.207227111</v>
      </c>
      <c r="K32" s="94">
        <f>+'COEF Art 14 F I'!AH33</f>
        <v>5867590.8209692817</v>
      </c>
      <c r="L32" s="94">
        <f t="shared" si="0"/>
        <v>10954956.386257829</v>
      </c>
      <c r="M32" s="94">
        <f t="shared" si="1"/>
        <v>0</v>
      </c>
      <c r="N32" s="94">
        <f t="shared" si="6"/>
        <v>0</v>
      </c>
      <c r="O32" s="94">
        <f t="shared" si="2"/>
        <v>16822547.207227111</v>
      </c>
      <c r="P32" s="96">
        <f t="shared" si="3"/>
        <v>1.2011813321793692E-2</v>
      </c>
      <c r="Q32" s="379">
        <f t="shared" si="7"/>
        <v>2.0748791343278864E-3</v>
      </c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</row>
    <row r="33" spans="1:63" ht="12.75" customHeight="1">
      <c r="A33" s="73" t="s">
        <v>27</v>
      </c>
      <c r="B33" s="94">
        <v>22715715.980000004</v>
      </c>
      <c r="C33" s="95">
        <v>3355858.8999999994</v>
      </c>
      <c r="D33" s="95">
        <v>694588.26</v>
      </c>
      <c r="E33" s="95">
        <v>1183486.3899999999</v>
      </c>
      <c r="F33" s="95">
        <v>29392.100000000002</v>
      </c>
      <c r="G33" s="95">
        <v>499075.59</v>
      </c>
      <c r="H33" s="95">
        <v>135594</v>
      </c>
      <c r="I33" s="94">
        <f t="shared" si="4"/>
        <v>28613711.220000006</v>
      </c>
      <c r="J33" s="94">
        <f t="shared" si="5"/>
        <v>28957413.777618356</v>
      </c>
      <c r="K33" s="94">
        <f>+'COEF Art 14 F I'!AH34</f>
        <v>12972800.212457577</v>
      </c>
      <c r="L33" s="94">
        <f t="shared" si="0"/>
        <v>15984613.565160779</v>
      </c>
      <c r="M33" s="94">
        <f t="shared" si="1"/>
        <v>0</v>
      </c>
      <c r="N33" s="94">
        <f t="shared" si="6"/>
        <v>0</v>
      </c>
      <c r="O33" s="94">
        <f t="shared" si="2"/>
        <v>28957413.777618356</v>
      </c>
      <c r="P33" s="96">
        <f t="shared" si="3"/>
        <v>1.2011813321793555E-2</v>
      </c>
      <c r="Q33" s="379">
        <f t="shared" si="7"/>
        <v>3.5715835949901185E-3</v>
      </c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</row>
    <row r="34" spans="1:63" ht="12.75" customHeight="1">
      <c r="A34" s="73" t="s">
        <v>28</v>
      </c>
      <c r="B34" s="94">
        <v>13037091.569999998</v>
      </c>
      <c r="C34" s="95">
        <v>1926007.5099999998</v>
      </c>
      <c r="D34" s="95">
        <v>398640.79</v>
      </c>
      <c r="E34" s="95">
        <v>679231.07999999973</v>
      </c>
      <c r="F34" s="95">
        <v>16868.82</v>
      </c>
      <c r="G34" s="95">
        <v>286431.42</v>
      </c>
      <c r="H34" s="95">
        <v>77820.60000000002</v>
      </c>
      <c r="I34" s="94">
        <f t="shared" si="4"/>
        <v>16422091.789999997</v>
      </c>
      <c r="J34" s="94">
        <f t="shared" si="5"/>
        <v>16619350.890934836</v>
      </c>
      <c r="K34" s="94">
        <f>+'COEF Art 14 F I'!AH35</f>
        <v>5718283.8505053092</v>
      </c>
      <c r="L34" s="94">
        <f t="shared" si="0"/>
        <v>10901067.040429527</v>
      </c>
      <c r="M34" s="94">
        <f t="shared" si="1"/>
        <v>0</v>
      </c>
      <c r="N34" s="94">
        <f t="shared" si="6"/>
        <v>0</v>
      </c>
      <c r="O34" s="94">
        <f t="shared" si="2"/>
        <v>16619350.890934836</v>
      </c>
      <c r="P34" s="96">
        <f t="shared" si="3"/>
        <v>1.2011813321793576E-2</v>
      </c>
      <c r="Q34" s="379">
        <f t="shared" si="7"/>
        <v>2.0498170678254959E-3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</row>
    <row r="35" spans="1:63" ht="12.75" customHeight="1">
      <c r="A35" s="73" t="s">
        <v>29</v>
      </c>
      <c r="B35" s="94">
        <v>18185303.399999999</v>
      </c>
      <c r="C35" s="95">
        <v>2686567.8599999994</v>
      </c>
      <c r="D35" s="95">
        <v>556059.87999999989</v>
      </c>
      <c r="E35" s="95">
        <v>947452.34000000008</v>
      </c>
      <c r="F35" s="95">
        <v>23530.159999999996</v>
      </c>
      <c r="G35" s="95">
        <v>399540.18</v>
      </c>
      <c r="H35" s="95">
        <v>108551.15999999997</v>
      </c>
      <c r="I35" s="94">
        <f t="shared" si="4"/>
        <v>22907004.979999997</v>
      </c>
      <c r="J35" s="94">
        <f t="shared" si="5"/>
        <v>23182159.647581153</v>
      </c>
      <c r="K35" s="94">
        <f>+'COEF Art 14 F I'!AH36</f>
        <v>14019216.464589499</v>
      </c>
      <c r="L35" s="94">
        <f t="shared" si="0"/>
        <v>9162943.1829916537</v>
      </c>
      <c r="M35" s="94">
        <f t="shared" si="1"/>
        <v>0</v>
      </c>
      <c r="N35" s="94">
        <f t="shared" si="6"/>
        <v>0</v>
      </c>
      <c r="O35" s="94">
        <f t="shared" si="2"/>
        <v>23182159.647581153</v>
      </c>
      <c r="P35" s="96">
        <f t="shared" si="3"/>
        <v>1.2011813321793583E-2</v>
      </c>
      <c r="Q35" s="379">
        <f t="shared" si="7"/>
        <v>2.859268501309944E-3</v>
      </c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</row>
    <row r="36" spans="1:63" ht="12.75" customHeight="1">
      <c r="A36" s="73" t="s">
        <v>30</v>
      </c>
      <c r="B36" s="94">
        <v>17116674.110000003</v>
      </c>
      <c r="C36" s="95">
        <v>2528696.1400000006</v>
      </c>
      <c r="D36" s="95">
        <v>523383.95</v>
      </c>
      <c r="E36" s="95">
        <v>891776.89000000013</v>
      </c>
      <c r="F36" s="95">
        <v>22147.440000000002</v>
      </c>
      <c r="G36" s="95">
        <v>376061.87</v>
      </c>
      <c r="H36" s="95">
        <v>102172.32</v>
      </c>
      <c r="I36" s="94">
        <f t="shared" si="4"/>
        <v>21560912.720000006</v>
      </c>
      <c r="J36" s="94">
        <f t="shared" si="5"/>
        <v>21819898.37864013</v>
      </c>
      <c r="K36" s="94">
        <f>+'COEF Art 14 F I'!AH37</f>
        <v>31442036.499861572</v>
      </c>
      <c r="L36" s="94">
        <f t="shared" si="0"/>
        <v>0</v>
      </c>
      <c r="M36" s="94">
        <f t="shared" si="1"/>
        <v>9622138.1212214418</v>
      </c>
      <c r="N36" s="94">
        <f t="shared" si="6"/>
        <v>9622138.1212214995</v>
      </c>
      <c r="O36" s="94">
        <f t="shared" si="2"/>
        <v>21819898.378640071</v>
      </c>
      <c r="P36" s="96">
        <f t="shared" si="3"/>
        <v>1.2011813321790778E-2</v>
      </c>
      <c r="Q36" s="379">
        <f t="shared" si="7"/>
        <v>2.6912483169935887E-3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</row>
    <row r="37" spans="1:63" ht="12.75" customHeight="1">
      <c r="A37" s="73" t="s">
        <v>31</v>
      </c>
      <c r="B37" s="94">
        <v>159003898.21000001</v>
      </c>
      <c r="C37" s="95">
        <v>23490109.129999999</v>
      </c>
      <c r="D37" s="95">
        <v>4861930.8899999997</v>
      </c>
      <c r="E37" s="95">
        <v>8284086.0999999996</v>
      </c>
      <c r="F37" s="95">
        <v>205736.78</v>
      </c>
      <c r="G37" s="95">
        <v>3493394.91</v>
      </c>
      <c r="H37" s="95">
        <v>949121.5199999999</v>
      </c>
      <c r="I37" s="94">
        <f t="shared" si="4"/>
        <v>200288277.53999999</v>
      </c>
      <c r="J37" s="94">
        <f t="shared" si="5"/>
        <v>202694102.94035405</v>
      </c>
      <c r="K37" s="94">
        <f>+'COEF Art 14 F I'!AH38</f>
        <v>279959584.29707074</v>
      </c>
      <c r="L37" s="94">
        <f t="shared" si="0"/>
        <v>0</v>
      </c>
      <c r="M37" s="94">
        <f t="shared" si="1"/>
        <v>77265481.356716692</v>
      </c>
      <c r="N37" s="94">
        <f t="shared" si="6"/>
        <v>77265481.356717154</v>
      </c>
      <c r="O37" s="94">
        <f t="shared" si="2"/>
        <v>202694102.94035357</v>
      </c>
      <c r="P37" s="96">
        <f t="shared" si="3"/>
        <v>1.2011813321791178E-2</v>
      </c>
      <c r="Q37" s="379">
        <f t="shared" si="7"/>
        <v>2.5000123920684833E-2</v>
      </c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</row>
    <row r="38" spans="1:63" ht="12.75" customHeight="1">
      <c r="A38" s="73" t="s">
        <v>32</v>
      </c>
      <c r="B38" s="94">
        <v>30986252.440000001</v>
      </c>
      <c r="C38" s="95">
        <v>4577689.37</v>
      </c>
      <c r="D38" s="95">
        <v>947480.03999999992</v>
      </c>
      <c r="E38" s="95">
        <v>1614380.4300000004</v>
      </c>
      <c r="F38" s="95">
        <v>40093.439999999995</v>
      </c>
      <c r="G38" s="95">
        <v>680783.39999999991</v>
      </c>
      <c r="H38" s="95">
        <v>184962.24</v>
      </c>
      <c r="I38" s="94">
        <f t="shared" si="4"/>
        <v>39031641.359999999</v>
      </c>
      <c r="J38" s="94">
        <f t="shared" si="5"/>
        <v>39500482.149659514</v>
      </c>
      <c r="K38" s="94">
        <f>+'COEF Art 14 F I'!AH39</f>
        <v>25272447.81724583</v>
      </c>
      <c r="L38" s="94">
        <f t="shared" si="0"/>
        <v>14228034.332413685</v>
      </c>
      <c r="M38" s="94">
        <f t="shared" si="1"/>
        <v>0</v>
      </c>
      <c r="N38" s="94">
        <f t="shared" si="6"/>
        <v>0</v>
      </c>
      <c r="O38" s="94">
        <f t="shared" si="2"/>
        <v>39500482.149659514</v>
      </c>
      <c r="P38" s="96">
        <f t="shared" si="3"/>
        <v>1.2011813321793522E-2</v>
      </c>
      <c r="Q38" s="379">
        <f t="shared" si="7"/>
        <v>4.8719569752795518E-3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</row>
    <row r="39" spans="1:63" s="1" customFormat="1" ht="12.75" customHeight="1">
      <c r="A39" s="73" t="s">
        <v>33</v>
      </c>
      <c r="B39" s="94">
        <v>113608223.21000001</v>
      </c>
      <c r="C39" s="95">
        <v>16783673.820000004</v>
      </c>
      <c r="D39" s="95">
        <v>3473847.7300000004</v>
      </c>
      <c r="E39" s="95">
        <v>5918976.2900000019</v>
      </c>
      <c r="F39" s="95">
        <v>146998.86000000002</v>
      </c>
      <c r="G39" s="95">
        <v>2496029.2800000003</v>
      </c>
      <c r="H39" s="95">
        <v>678147</v>
      </c>
      <c r="I39" s="94">
        <f t="shared" si="4"/>
        <v>143105896.19000003</v>
      </c>
      <c r="J39" s="94">
        <f t="shared" si="5"/>
        <v>144824857.50028229</v>
      </c>
      <c r="K39" s="94">
        <f>+'COEF Art 14 F I'!AH40</f>
        <v>134130841.68740198</v>
      </c>
      <c r="L39" s="94">
        <f t="shared" si="0"/>
        <v>10694015.812880307</v>
      </c>
      <c r="M39" s="94">
        <f t="shared" si="1"/>
        <v>0</v>
      </c>
      <c r="N39" s="94">
        <f t="shared" si="6"/>
        <v>0</v>
      </c>
      <c r="O39" s="94">
        <f t="shared" si="2"/>
        <v>144824857.50028229</v>
      </c>
      <c r="P39" s="96">
        <f t="shared" si="3"/>
        <v>1.2011813321793642E-2</v>
      </c>
      <c r="Q39" s="379">
        <f t="shared" si="7"/>
        <v>1.7862578791293292E-2</v>
      </c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</row>
    <row r="40" spans="1:63" ht="12.75" customHeight="1">
      <c r="A40" s="73" t="s">
        <v>34</v>
      </c>
      <c r="B40" s="94">
        <v>24240160.689999998</v>
      </c>
      <c r="C40" s="95">
        <v>3581069.57</v>
      </c>
      <c r="D40" s="95">
        <v>741201.86</v>
      </c>
      <c r="E40" s="95">
        <v>1262909.7900000003</v>
      </c>
      <c r="F40" s="95">
        <v>31364.6</v>
      </c>
      <c r="G40" s="95">
        <v>532568.40999999992</v>
      </c>
      <c r="H40" s="95">
        <v>144693.72</v>
      </c>
      <c r="I40" s="94">
        <f t="shared" si="4"/>
        <v>30533968.639999997</v>
      </c>
      <c r="J40" s="94">
        <f t="shared" si="5"/>
        <v>30900736.971277177</v>
      </c>
      <c r="K40" s="94">
        <f>+'COEF Art 14 F I'!AH41</f>
        <v>19077675.087287985</v>
      </c>
      <c r="L40" s="94">
        <f t="shared" si="0"/>
        <v>11823061.883989193</v>
      </c>
      <c r="M40" s="94">
        <f t="shared" si="1"/>
        <v>0</v>
      </c>
      <c r="N40" s="94">
        <f t="shared" si="6"/>
        <v>0</v>
      </c>
      <c r="O40" s="94">
        <f t="shared" si="2"/>
        <v>30900736.971277177</v>
      </c>
      <c r="P40" s="96">
        <f t="shared" si="3"/>
        <v>1.2011813321793616E-2</v>
      </c>
      <c r="Q40" s="379">
        <f t="shared" si="7"/>
        <v>3.8112714791201669E-3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</row>
    <row r="41" spans="1:63" ht="12.75" customHeight="1">
      <c r="A41" s="73" t="s">
        <v>35</v>
      </c>
      <c r="B41" s="94">
        <v>23299723.010000002</v>
      </c>
      <c r="C41" s="95">
        <v>3442135.9600000004</v>
      </c>
      <c r="D41" s="95">
        <v>712445.71</v>
      </c>
      <c r="E41" s="95">
        <v>1213913.06</v>
      </c>
      <c r="F41" s="95">
        <v>30147.759999999998</v>
      </c>
      <c r="G41" s="95">
        <v>511906.51999999996</v>
      </c>
      <c r="H41" s="95">
        <v>139080</v>
      </c>
      <c r="I41" s="94">
        <f t="shared" si="4"/>
        <v>29349352.020000003</v>
      </c>
      <c r="J41" s="94">
        <f t="shared" si="5"/>
        <v>29701890.957579847</v>
      </c>
      <c r="K41" s="94">
        <f>+'COEF Art 14 F I'!AH42</f>
        <v>2336961.7824540976</v>
      </c>
      <c r="L41" s="94">
        <f t="shared" si="0"/>
        <v>27364929.175125748</v>
      </c>
      <c r="M41" s="94">
        <f t="shared" si="1"/>
        <v>0</v>
      </c>
      <c r="N41" s="94">
        <f t="shared" si="6"/>
        <v>0</v>
      </c>
      <c r="O41" s="94">
        <f t="shared" si="2"/>
        <v>29701890.957579844</v>
      </c>
      <c r="P41" s="96">
        <f t="shared" si="3"/>
        <v>1.2011813321793411E-2</v>
      </c>
      <c r="Q41" s="379">
        <f t="shared" si="7"/>
        <v>3.6634067979603407E-3</v>
      </c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</row>
    <row r="42" spans="1:63" ht="12.75" customHeight="1">
      <c r="A42" s="73" t="s">
        <v>36</v>
      </c>
      <c r="B42" s="94">
        <v>24464426.359999999</v>
      </c>
      <c r="C42" s="95">
        <v>3614200.9799999995</v>
      </c>
      <c r="D42" s="95">
        <v>748059.33</v>
      </c>
      <c r="E42" s="95">
        <v>1274594.0100000002</v>
      </c>
      <c r="F42" s="95">
        <v>31654.780000000002</v>
      </c>
      <c r="G42" s="95">
        <v>537495.63</v>
      </c>
      <c r="H42" s="95">
        <v>146032.32000000001</v>
      </c>
      <c r="I42" s="94">
        <f t="shared" si="4"/>
        <v>30816463.41</v>
      </c>
      <c r="J42" s="94">
        <f t="shared" si="5"/>
        <v>31186625.015718803</v>
      </c>
      <c r="K42" s="94">
        <f>+'COEF Art 14 F I'!AH43</f>
        <v>58615051.440833904</v>
      </c>
      <c r="L42" s="94">
        <f t="shared" si="0"/>
        <v>0</v>
      </c>
      <c r="M42" s="94">
        <f t="shared" si="1"/>
        <v>27428426.425115101</v>
      </c>
      <c r="N42" s="94">
        <f t="shared" si="6"/>
        <v>27428426.425115265</v>
      </c>
      <c r="O42" s="94">
        <f t="shared" si="2"/>
        <v>31186625.015718639</v>
      </c>
      <c r="P42" s="96">
        <f t="shared" si="3"/>
        <v>1.2011813321788269E-2</v>
      </c>
      <c r="Q42" s="379">
        <f t="shared" si="7"/>
        <v>3.8465326753503405E-3</v>
      </c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</row>
    <row r="43" spans="1:63" ht="12.75" customHeight="1">
      <c r="A43" s="73" t="s">
        <v>37</v>
      </c>
      <c r="B43" s="94">
        <v>34459204.980000004</v>
      </c>
      <c r="C43" s="95">
        <v>5090758.7399999993</v>
      </c>
      <c r="D43" s="95">
        <v>1053674</v>
      </c>
      <c r="E43" s="95">
        <v>1795320.8699999996</v>
      </c>
      <c r="F43" s="95">
        <v>44587.119999999995</v>
      </c>
      <c r="G43" s="95">
        <v>757085.92</v>
      </c>
      <c r="H43" s="95">
        <v>205692.96000000008</v>
      </c>
      <c r="I43" s="94">
        <f t="shared" si="4"/>
        <v>43406324.590000004</v>
      </c>
      <c r="J43" s="94">
        <f t="shared" si="5"/>
        <v>43927713.25796026</v>
      </c>
      <c r="K43" s="94">
        <f>+'COEF Art 14 F I'!AH44</f>
        <v>36446346.611700773</v>
      </c>
      <c r="L43" s="94">
        <f t="shared" si="0"/>
        <v>7481366.6462594867</v>
      </c>
      <c r="M43" s="94">
        <f t="shared" si="1"/>
        <v>0</v>
      </c>
      <c r="N43" s="94">
        <f t="shared" si="6"/>
        <v>0</v>
      </c>
      <c r="O43" s="94">
        <f t="shared" si="2"/>
        <v>43927713.25796026</v>
      </c>
      <c r="P43" s="96">
        <f t="shared" si="3"/>
        <v>1.2011813321793534E-2</v>
      </c>
      <c r="Q43" s="379">
        <f t="shared" si="7"/>
        <v>5.4180080183412211E-3</v>
      </c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</row>
    <row r="44" spans="1:63" s="1" customFormat="1" ht="12.75" customHeight="1">
      <c r="A44" s="73" t="s">
        <v>38</v>
      </c>
      <c r="B44" s="94">
        <v>80844476.999999985</v>
      </c>
      <c r="C44" s="95">
        <v>11943390.130000003</v>
      </c>
      <c r="D44" s="95">
        <v>2472016.5099999998</v>
      </c>
      <c r="E44" s="95">
        <v>4211988.58</v>
      </c>
      <c r="F44" s="95">
        <v>104605.51999999999</v>
      </c>
      <c r="G44" s="95">
        <v>1776193.46</v>
      </c>
      <c r="H44" s="95">
        <v>482574.59999999992</v>
      </c>
      <c r="I44" s="94">
        <f t="shared" si="4"/>
        <v>101835245.79999998</v>
      </c>
      <c r="J44" s="94">
        <f t="shared" si="5"/>
        <v>103058471.76212855</v>
      </c>
      <c r="K44" s="94">
        <f>+'COEF Art 14 F I'!AH45</f>
        <v>97883261.092973381</v>
      </c>
      <c r="L44" s="94">
        <f t="shared" si="0"/>
        <v>5175210.6691551656</v>
      </c>
      <c r="M44" s="94">
        <f t="shared" si="1"/>
        <v>0</v>
      </c>
      <c r="N44" s="94">
        <f t="shared" si="6"/>
        <v>0</v>
      </c>
      <c r="O44" s="94">
        <f t="shared" si="2"/>
        <v>103058471.76212855</v>
      </c>
      <c r="P44" s="96">
        <f t="shared" si="3"/>
        <v>1.2011813321793591E-2</v>
      </c>
      <c r="Q44" s="379">
        <f t="shared" si="7"/>
        <v>1.2711147131339024E-2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</row>
    <row r="45" spans="1:63" ht="12.75" customHeight="1">
      <c r="A45" s="73" t="s">
        <v>39</v>
      </c>
      <c r="B45" s="94">
        <v>1673093482.5799999</v>
      </c>
      <c r="C45" s="95">
        <v>247170974.37999997</v>
      </c>
      <c r="D45" s="95">
        <v>51158902.350000001</v>
      </c>
      <c r="E45" s="95">
        <v>87167991.600000009</v>
      </c>
      <c r="F45" s="95">
        <v>2164833.0099999998</v>
      </c>
      <c r="G45" s="95">
        <v>36758697.729999997</v>
      </c>
      <c r="H45" s="95">
        <v>9986982.0399999991</v>
      </c>
      <c r="I45" s="94">
        <f t="shared" si="4"/>
        <v>2107501863.6899996</v>
      </c>
      <c r="J45" s="94">
        <f t="shared" si="5"/>
        <v>2132816782.6519759</v>
      </c>
      <c r="K45" s="94">
        <f>+'COEF Art 14 F I'!AH46</f>
        <v>2128456678.562037</v>
      </c>
      <c r="L45" s="94">
        <f t="shared" si="0"/>
        <v>4360104.089938879</v>
      </c>
      <c r="M45" s="94">
        <f t="shared" si="1"/>
        <v>0</v>
      </c>
      <c r="N45" s="94">
        <f t="shared" si="6"/>
        <v>0</v>
      </c>
      <c r="O45" s="94">
        <f t="shared" si="2"/>
        <v>2132816782.6519759</v>
      </c>
      <c r="P45" s="96">
        <f t="shared" si="3"/>
        <v>1.2011813321793558E-2</v>
      </c>
      <c r="Q45" s="379">
        <f t="shared" si="7"/>
        <v>0.2630598675192159</v>
      </c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</row>
    <row r="46" spans="1:63" ht="12.75" customHeight="1">
      <c r="A46" s="73" t="s">
        <v>40</v>
      </c>
      <c r="B46" s="94">
        <v>8640862.4000000004</v>
      </c>
      <c r="C46" s="95">
        <v>1276539.7600000002</v>
      </c>
      <c r="D46" s="95">
        <v>264215.39</v>
      </c>
      <c r="E46" s="95">
        <v>450188.04</v>
      </c>
      <c r="F46" s="95">
        <v>11180.5</v>
      </c>
      <c r="G46" s="95">
        <v>189844.06</v>
      </c>
      <c r="H46" s="95">
        <v>51578.75999999998</v>
      </c>
      <c r="I46" s="94">
        <f t="shared" si="4"/>
        <v>10884408.91</v>
      </c>
      <c r="J46" s="94">
        <f t="shared" si="5"/>
        <v>11015150.397944987</v>
      </c>
      <c r="K46" s="94">
        <f>+'COEF Art 14 F I'!AH47</f>
        <v>22103266.002900265</v>
      </c>
      <c r="L46" s="94">
        <f t="shared" si="0"/>
        <v>0</v>
      </c>
      <c r="M46" s="94">
        <f t="shared" si="1"/>
        <v>11088115.604955278</v>
      </c>
      <c r="N46" s="94">
        <f t="shared" si="6"/>
        <v>11088115.604955345</v>
      </c>
      <c r="O46" s="94">
        <f t="shared" si="2"/>
        <v>11015150.39794492</v>
      </c>
      <c r="P46" s="96">
        <f t="shared" si="3"/>
        <v>1.2011813321787412E-2</v>
      </c>
      <c r="Q46" s="379">
        <f t="shared" si="7"/>
        <v>1.3585995890301726E-3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</row>
    <row r="47" spans="1:63" s="1" customFormat="1" ht="12.75" customHeight="1">
      <c r="A47" s="73" t="s">
        <v>41</v>
      </c>
      <c r="B47" s="94">
        <v>36380011.600000001</v>
      </c>
      <c r="C47" s="95">
        <v>5374525.1199999992</v>
      </c>
      <c r="D47" s="95">
        <v>1112407.3199999998</v>
      </c>
      <c r="E47" s="95">
        <v>1895394.74</v>
      </c>
      <c r="F47" s="95">
        <v>47072.480000000003</v>
      </c>
      <c r="G47" s="95">
        <v>799286.98999999987</v>
      </c>
      <c r="H47" s="95">
        <v>217158.48000000007</v>
      </c>
      <c r="I47" s="94">
        <f t="shared" si="4"/>
        <v>45825856.729999997</v>
      </c>
      <c r="J47" s="94">
        <f t="shared" si="5"/>
        <v>46376308.366352014</v>
      </c>
      <c r="K47" s="94">
        <f>+'COEF Art 14 F I'!AH48</f>
        <v>77888290.541355938</v>
      </c>
      <c r="L47" s="94">
        <f t="shared" si="0"/>
        <v>0</v>
      </c>
      <c r="M47" s="94">
        <f t="shared" si="1"/>
        <v>31511982.175003923</v>
      </c>
      <c r="N47" s="94">
        <f t="shared" si="6"/>
        <v>31511982.175004113</v>
      </c>
      <c r="O47" s="94">
        <f t="shared" si="2"/>
        <v>46376308.366351828</v>
      </c>
      <c r="P47" s="96">
        <f t="shared" si="3"/>
        <v>1.2011813321789506E-2</v>
      </c>
      <c r="Q47" s="379">
        <f t="shared" si="7"/>
        <v>5.7200157247982043E-3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</row>
    <row r="48" spans="1:63" ht="12.75" customHeight="1">
      <c r="A48" s="73" t="s">
        <v>42</v>
      </c>
      <c r="B48" s="94">
        <v>18327006.490000002</v>
      </c>
      <c r="C48" s="95">
        <v>2707502.0599999996</v>
      </c>
      <c r="D48" s="95">
        <v>560392.80000000005</v>
      </c>
      <c r="E48" s="95">
        <v>954835.08000000007</v>
      </c>
      <c r="F48" s="95">
        <v>23713.5</v>
      </c>
      <c r="G48" s="95">
        <v>402653.45</v>
      </c>
      <c r="H48" s="95">
        <v>109397.04</v>
      </c>
      <c r="I48" s="94">
        <f t="shared" si="4"/>
        <v>23085500.419999998</v>
      </c>
      <c r="J48" s="94">
        <f t="shared" si="5"/>
        <v>23362799.141485225</v>
      </c>
      <c r="K48" s="94">
        <f>+'COEF Art 14 F I'!AH49</f>
        <v>21519294.072244484</v>
      </c>
      <c r="L48" s="94">
        <f t="shared" si="0"/>
        <v>1843505.0692407414</v>
      </c>
      <c r="M48" s="94">
        <f t="shared" si="1"/>
        <v>0</v>
      </c>
      <c r="N48" s="94">
        <f t="shared" si="6"/>
        <v>0</v>
      </c>
      <c r="O48" s="94">
        <f t="shared" si="2"/>
        <v>23362799.141485225</v>
      </c>
      <c r="P48" s="96">
        <f t="shared" si="3"/>
        <v>1.2011813321793583E-2</v>
      </c>
      <c r="Q48" s="379">
        <f t="shared" si="7"/>
        <v>2.8815484278941943E-3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</row>
    <row r="49" spans="1:63" ht="12.75" customHeight="1">
      <c r="A49" s="73" t="s">
        <v>43</v>
      </c>
      <c r="B49" s="94">
        <v>20536773.130000003</v>
      </c>
      <c r="C49" s="95">
        <v>3033957.3300000005</v>
      </c>
      <c r="D49" s="95">
        <v>627961.79000000015</v>
      </c>
      <c r="E49" s="95">
        <v>1069963.7</v>
      </c>
      <c r="F49" s="95">
        <v>26572.749999999996</v>
      </c>
      <c r="G49" s="95">
        <v>451203.14000000007</v>
      </c>
      <c r="H49" s="95">
        <v>122587.56000000001</v>
      </c>
      <c r="I49" s="94">
        <f t="shared" si="4"/>
        <v>25869019.400000002</v>
      </c>
      <c r="J49" s="94">
        <f t="shared" si="5"/>
        <v>26179753.231850658</v>
      </c>
      <c r="K49" s="94">
        <f>+'COEF Art 14 F I'!AH50</f>
        <v>13442364.931113722</v>
      </c>
      <c r="L49" s="94">
        <f t="shared" si="0"/>
        <v>12737388.300736936</v>
      </c>
      <c r="M49" s="94">
        <f t="shared" si="1"/>
        <v>0</v>
      </c>
      <c r="N49" s="94">
        <f t="shared" si="6"/>
        <v>0</v>
      </c>
      <c r="O49" s="94">
        <f t="shared" si="2"/>
        <v>26179753.231850658</v>
      </c>
      <c r="P49" s="96">
        <f t="shared" si="3"/>
        <v>1.2011813321793532E-2</v>
      </c>
      <c r="Q49" s="379">
        <f t="shared" si="7"/>
        <v>3.2289892281760824E-3</v>
      </c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</row>
    <row r="50" spans="1:63" ht="12.75" customHeight="1">
      <c r="A50" s="73" t="s">
        <v>44</v>
      </c>
      <c r="B50" s="94">
        <v>59087516.599999994</v>
      </c>
      <c r="C50" s="95">
        <v>8729170.9900000002</v>
      </c>
      <c r="D50" s="95">
        <v>1806744.53</v>
      </c>
      <c r="E50" s="95">
        <v>3078453.2899999996</v>
      </c>
      <c r="F50" s="95">
        <v>76453.959999999992</v>
      </c>
      <c r="G50" s="95">
        <v>1298182.18</v>
      </c>
      <c r="H50" s="95">
        <v>352703.52</v>
      </c>
      <c r="I50" s="94">
        <f t="shared" si="4"/>
        <v>74429225.069999993</v>
      </c>
      <c r="J50" s="94">
        <f t="shared" si="5"/>
        <v>75323255.027226597</v>
      </c>
      <c r="K50" s="94">
        <f>+'COEF Art 14 F I'!AH51</f>
        <v>50340189.973876655</v>
      </c>
      <c r="L50" s="94">
        <f t="shared" si="0"/>
        <v>24983065.053349942</v>
      </c>
      <c r="M50" s="94">
        <f t="shared" si="1"/>
        <v>0</v>
      </c>
      <c r="N50" s="94">
        <f t="shared" si="6"/>
        <v>0</v>
      </c>
      <c r="O50" s="94">
        <f t="shared" si="2"/>
        <v>75323255.027226597</v>
      </c>
      <c r="P50" s="96">
        <f t="shared" si="3"/>
        <v>1.2011813321793656E-2</v>
      </c>
      <c r="Q50" s="379">
        <f t="shared" si="7"/>
        <v>9.2903083142194098E-3</v>
      </c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</row>
    <row r="51" spans="1:63" ht="12.75" customHeight="1">
      <c r="A51" s="73" t="s">
        <v>45</v>
      </c>
      <c r="B51" s="94">
        <v>50847905.830000006</v>
      </c>
      <c r="C51" s="95">
        <v>7511909.2699999977</v>
      </c>
      <c r="D51" s="95">
        <v>1554798.39</v>
      </c>
      <c r="E51" s="95">
        <v>2649170.4499999993</v>
      </c>
      <c r="F51" s="95">
        <v>65792.62</v>
      </c>
      <c r="G51" s="95">
        <v>1117153.83</v>
      </c>
      <c r="H51" s="95">
        <v>303519.84000000003</v>
      </c>
      <c r="I51" s="94">
        <f t="shared" si="4"/>
        <v>64050250.229999997</v>
      </c>
      <c r="J51" s="94">
        <f t="shared" si="5"/>
        <v>64819609.878976926</v>
      </c>
      <c r="K51" s="94">
        <f>+'COEF Art 14 F I'!AH52</f>
        <v>78770458.791854739</v>
      </c>
      <c r="L51" s="94">
        <f t="shared" si="0"/>
        <v>0</v>
      </c>
      <c r="M51" s="94">
        <f t="shared" si="1"/>
        <v>13950848.912877813</v>
      </c>
      <c r="N51" s="94">
        <f t="shared" si="6"/>
        <v>13950848.912877897</v>
      </c>
      <c r="O51" s="94">
        <f t="shared" si="2"/>
        <v>64819609.878976844</v>
      </c>
      <c r="P51" s="96">
        <f t="shared" si="3"/>
        <v>1.2011813321792351E-2</v>
      </c>
      <c r="Q51" s="379">
        <f t="shared" si="7"/>
        <v>7.994797361922901E-3</v>
      </c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</row>
    <row r="52" spans="1:63" ht="12.75" customHeight="1">
      <c r="A52" s="73" t="s">
        <v>46</v>
      </c>
      <c r="B52" s="94">
        <v>460099828.91000009</v>
      </c>
      <c r="C52" s="95">
        <v>67971888.239999995</v>
      </c>
      <c r="D52" s="95">
        <v>14068671.27</v>
      </c>
      <c r="E52" s="95">
        <v>23971151.900000002</v>
      </c>
      <c r="F52" s="95">
        <v>595327.93999999994</v>
      </c>
      <c r="G52" s="95">
        <v>10108622.569999998</v>
      </c>
      <c r="H52" s="95">
        <v>2746414.7999999993</v>
      </c>
      <c r="I52" s="94">
        <f t="shared" si="4"/>
        <v>579561905.63000011</v>
      </c>
      <c r="J52" s="94">
        <f t="shared" si="5"/>
        <v>586523495.04885066</v>
      </c>
      <c r="K52" s="94">
        <f>+'COEF Art 14 F I'!AH53</f>
        <v>557630268.46359825</v>
      </c>
      <c r="L52" s="94">
        <f t="shared" si="0"/>
        <v>28893226.585252404</v>
      </c>
      <c r="M52" s="94">
        <f t="shared" si="1"/>
        <v>0</v>
      </c>
      <c r="N52" s="94">
        <f t="shared" si="6"/>
        <v>0</v>
      </c>
      <c r="O52" s="94">
        <f t="shared" si="2"/>
        <v>586523495.04885066</v>
      </c>
      <c r="P52" s="96">
        <f t="shared" si="3"/>
        <v>1.2011813321793635E-2</v>
      </c>
      <c r="Q52" s="379">
        <f t="shared" si="7"/>
        <v>7.2341325405650025E-2</v>
      </c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</row>
    <row r="53" spans="1:63" ht="12.75" customHeight="1">
      <c r="A53" s="73" t="s">
        <v>47</v>
      </c>
      <c r="B53" s="94">
        <v>889030126.80000007</v>
      </c>
      <c r="C53" s="95">
        <v>131339010.85000001</v>
      </c>
      <c r="D53" s="95">
        <v>27184258.32</v>
      </c>
      <c r="E53" s="95">
        <v>46318374.57</v>
      </c>
      <c r="F53" s="95">
        <v>1150325.31</v>
      </c>
      <c r="G53" s="95">
        <v>19532435</v>
      </c>
      <c r="H53" s="95">
        <v>5306773.32</v>
      </c>
      <c r="I53" s="94">
        <f t="shared" si="4"/>
        <v>1119861304.1700001</v>
      </c>
      <c r="J53" s="94">
        <f t="shared" si="5"/>
        <v>1133312869.1019905</v>
      </c>
      <c r="K53" s="94">
        <f>+'COEF Art 14 F I'!AH54</f>
        <v>1084493910.1090794</v>
      </c>
      <c r="L53" s="94">
        <f t="shared" si="0"/>
        <v>48818958.9929111</v>
      </c>
      <c r="M53" s="94">
        <f t="shared" si="1"/>
        <v>0</v>
      </c>
      <c r="N53" s="94">
        <f t="shared" si="6"/>
        <v>0</v>
      </c>
      <c r="O53" s="94">
        <f t="shared" si="2"/>
        <v>1133312869.1019905</v>
      </c>
      <c r="P53" s="96">
        <f t="shared" si="3"/>
        <v>1.2011813321793621E-2</v>
      </c>
      <c r="Q53" s="379">
        <f t="shared" si="7"/>
        <v>0.13978187701293965</v>
      </c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</row>
    <row r="54" spans="1:63" s="1" customFormat="1" ht="12.75" customHeight="1">
      <c r="A54" s="73" t="s">
        <v>48</v>
      </c>
      <c r="B54" s="94">
        <v>239562344.57999995</v>
      </c>
      <c r="C54" s="95">
        <v>35391243.140000008</v>
      </c>
      <c r="D54" s="95">
        <v>7325201.3199999984</v>
      </c>
      <c r="E54" s="95">
        <v>12481172.560000001</v>
      </c>
      <c r="F54" s="95">
        <v>309972.21000000002</v>
      </c>
      <c r="G54" s="95">
        <v>5263304.1199999992</v>
      </c>
      <c r="H54" s="95">
        <v>1429988.76</v>
      </c>
      <c r="I54" s="94">
        <f t="shared" si="4"/>
        <v>301763226.68999994</v>
      </c>
      <c r="J54" s="94">
        <f t="shared" si="5"/>
        <v>305387950.23638231</v>
      </c>
      <c r="K54" s="94">
        <f>+'COEF Art 14 F I'!AH55</f>
        <v>284776443.15941143</v>
      </c>
      <c r="L54" s="94">
        <f t="shared" si="0"/>
        <v>20611507.076970875</v>
      </c>
      <c r="M54" s="94">
        <f t="shared" si="1"/>
        <v>0</v>
      </c>
      <c r="N54" s="94">
        <f t="shared" si="6"/>
        <v>0</v>
      </c>
      <c r="O54" s="94">
        <f t="shared" si="2"/>
        <v>305387950.23638231</v>
      </c>
      <c r="P54" s="96">
        <f t="shared" si="3"/>
        <v>1.2011813321793614E-2</v>
      </c>
      <c r="Q54" s="379">
        <f t="shared" si="7"/>
        <v>3.7666298570314845E-2</v>
      </c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</row>
    <row r="55" spans="1:63" s="1" customFormat="1" ht="12.75" customHeight="1">
      <c r="A55" s="73" t="s">
        <v>49</v>
      </c>
      <c r="B55" s="94">
        <v>76359741.650000021</v>
      </c>
      <c r="C55" s="95">
        <v>11280847.090000002</v>
      </c>
      <c r="D55" s="95">
        <v>2334884.8199999998</v>
      </c>
      <c r="E55" s="95">
        <v>3978334.3599999989</v>
      </c>
      <c r="F55" s="95">
        <v>98802.669999999984</v>
      </c>
      <c r="G55" s="95">
        <v>1677661.5900000003</v>
      </c>
      <c r="H55" s="95">
        <v>455804.40000000008</v>
      </c>
      <c r="I55" s="94">
        <f t="shared" si="4"/>
        <v>96186076.580000028</v>
      </c>
      <c r="J55" s="94">
        <f t="shared" si="5"/>
        <v>97341445.776034728</v>
      </c>
      <c r="K55" s="94">
        <f>+'COEF Art 14 F I'!AH56</f>
        <v>148362890.07973349</v>
      </c>
      <c r="L55" s="94">
        <f t="shared" si="0"/>
        <v>0</v>
      </c>
      <c r="M55" s="94">
        <f t="shared" si="1"/>
        <v>51021444.303698763</v>
      </c>
      <c r="N55" s="94">
        <f t="shared" si="6"/>
        <v>51021444.303699069</v>
      </c>
      <c r="O55" s="94">
        <f t="shared" si="2"/>
        <v>97341445.776034415</v>
      </c>
      <c r="P55" s="96">
        <f t="shared" si="3"/>
        <v>1.2011813321790304E-2</v>
      </c>
      <c r="Q55" s="379">
        <f t="shared" si="7"/>
        <v>1.2006013849034372E-2</v>
      </c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</row>
    <row r="56" spans="1:63" ht="12.75" customHeight="1">
      <c r="A56" s="73" t="s">
        <v>50</v>
      </c>
      <c r="B56" s="94">
        <v>15342654.370000001</v>
      </c>
      <c r="C56" s="95">
        <v>2266615.0499999998</v>
      </c>
      <c r="D56" s="95">
        <v>469138.98000000004</v>
      </c>
      <c r="E56" s="95">
        <v>799350.69000000006</v>
      </c>
      <c r="F56" s="95">
        <v>19852.02</v>
      </c>
      <c r="G56" s="95">
        <v>337085.74999999994</v>
      </c>
      <c r="H56" s="95">
        <v>91582.920000000027</v>
      </c>
      <c r="I56" s="94">
        <f t="shared" si="4"/>
        <v>19326279.780000005</v>
      </c>
      <c r="J56" s="94">
        <f t="shared" si="5"/>
        <v>19558423.444922119</v>
      </c>
      <c r="K56" s="94">
        <f>+'COEF Art 14 F I'!AH57</f>
        <v>31445795.953752227</v>
      </c>
      <c r="L56" s="94">
        <f t="shared" si="0"/>
        <v>0</v>
      </c>
      <c r="M56" s="94">
        <f t="shared" si="1"/>
        <v>11887372.508830108</v>
      </c>
      <c r="N56" s="94">
        <f t="shared" si="6"/>
        <v>11887372.508830179</v>
      </c>
      <c r="O56" s="94">
        <f t="shared" si="2"/>
        <v>19558423.444922049</v>
      </c>
      <c r="P56" s="96">
        <f t="shared" si="3"/>
        <v>1.2011813321789943E-2</v>
      </c>
      <c r="Q56" s="379">
        <f t="shared" si="7"/>
        <v>2.4123198589559611E-3</v>
      </c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</row>
    <row r="57" spans="1:63" ht="12.75" customHeight="1">
      <c r="A57" s="73" t="s">
        <v>51</v>
      </c>
      <c r="B57" s="94">
        <v>21137744.940000005</v>
      </c>
      <c r="C57" s="95">
        <v>3122740.67</v>
      </c>
      <c r="D57" s="95">
        <v>646337.98</v>
      </c>
      <c r="E57" s="95">
        <v>1101274.25</v>
      </c>
      <c r="F57" s="95">
        <v>27350.35</v>
      </c>
      <c r="G57" s="95">
        <v>464406.77999999997</v>
      </c>
      <c r="H57" s="95">
        <v>126174.84000000003</v>
      </c>
      <c r="I57" s="94">
        <f t="shared" si="4"/>
        <v>26626029.81000001</v>
      </c>
      <c r="J57" s="94">
        <f t="shared" si="5"/>
        <v>26945856.709578242</v>
      </c>
      <c r="K57" s="94">
        <f>+'COEF Art 14 F I'!AH58</f>
        <v>19105284.443559043</v>
      </c>
      <c r="L57" s="94">
        <f t="shared" si="0"/>
        <v>7840572.266019199</v>
      </c>
      <c r="M57" s="94">
        <f t="shared" si="1"/>
        <v>0</v>
      </c>
      <c r="N57" s="94">
        <f t="shared" si="6"/>
        <v>0</v>
      </c>
      <c r="O57" s="94">
        <f t="shared" si="2"/>
        <v>26945856.709578242</v>
      </c>
      <c r="P57" s="96">
        <f t="shared" si="3"/>
        <v>1.2011813321793626E-2</v>
      </c>
      <c r="Q57" s="379">
        <f t="shared" si="7"/>
        <v>3.3234798009230027E-3</v>
      </c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</row>
    <row r="58" spans="1:63" s="23" customFormat="1" ht="16.5" customHeight="1" thickBot="1">
      <c r="A58" s="97" t="s">
        <v>52</v>
      </c>
      <c r="B58" s="98">
        <f>SUM(B7:B57)</f>
        <v>6360124401.3299999</v>
      </c>
      <c r="C58" s="98">
        <f t="shared" ref="C58:I58" si="8">SUM(C7:C57)</f>
        <v>939599707.75999987</v>
      </c>
      <c r="D58" s="98">
        <f t="shared" si="8"/>
        <v>194476272.03999993</v>
      </c>
      <c r="E58" s="98">
        <f t="shared" si="8"/>
        <v>331361801.39999998</v>
      </c>
      <c r="F58" s="98">
        <f t="shared" si="8"/>
        <v>8229430.8999999994</v>
      </c>
      <c r="G58" s="98">
        <f t="shared" si="8"/>
        <v>139735103.19000003</v>
      </c>
      <c r="H58" s="98">
        <f t="shared" si="8"/>
        <v>37964673.400000006</v>
      </c>
      <c r="I58" s="98">
        <f t="shared" si="8"/>
        <v>8011491390.0199976</v>
      </c>
      <c r="J58" s="98">
        <f t="shared" ref="J58:O58" si="9">SUM(J7:J57)</f>
        <v>8107723929.0260782</v>
      </c>
      <c r="K58" s="98">
        <f t="shared" si="9"/>
        <v>8107723929.0260744</v>
      </c>
      <c r="L58" s="98">
        <f t="shared" si="9"/>
        <v>561018919.98137844</v>
      </c>
      <c r="M58" s="98">
        <f t="shared" si="9"/>
        <v>561018919.9813751</v>
      </c>
      <c r="N58" s="98">
        <f t="shared" si="9"/>
        <v>561018919.98137856</v>
      </c>
      <c r="O58" s="98">
        <f t="shared" si="9"/>
        <v>8107723929.0260744</v>
      </c>
      <c r="P58" s="99">
        <f t="shared" si="3"/>
        <v>1.2011813321793584E-2</v>
      </c>
      <c r="Q58" s="100">
        <f>SUM(Q7:Q57)</f>
        <v>0.99999999999999978</v>
      </c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</row>
    <row r="59" spans="1:63" ht="15" thickTop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102"/>
      <c r="L59" s="103"/>
      <c r="M59" s="103"/>
      <c r="N59" s="103"/>
      <c r="O59" s="104"/>
      <c r="P59" s="103"/>
      <c r="Q59" s="10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</row>
    <row r="60" spans="1:63">
      <c r="A60" s="106" t="s">
        <v>178</v>
      </c>
      <c r="B60" s="106"/>
      <c r="C60" s="106"/>
      <c r="D60" s="106"/>
      <c r="E60" s="106"/>
      <c r="F60" s="106"/>
      <c r="G60" s="106"/>
      <c r="H60" s="106"/>
      <c r="I60" s="107">
        <v>3.15E-2</v>
      </c>
      <c r="J60" s="80"/>
      <c r="K60" s="108"/>
      <c r="L60" s="80"/>
      <c r="M60" s="80"/>
      <c r="N60" s="80"/>
      <c r="O60" s="80"/>
      <c r="P60" s="80"/>
      <c r="Q60" s="82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</row>
    <row r="61" spans="1:63">
      <c r="A61" s="106" t="s">
        <v>183</v>
      </c>
      <c r="B61" s="106"/>
      <c r="C61" s="106"/>
      <c r="D61" s="106"/>
      <c r="E61" s="106"/>
      <c r="F61" s="106"/>
      <c r="G61" s="106"/>
      <c r="H61" s="106"/>
      <c r="I61" s="107">
        <f>+(K58-I58)/I58</f>
        <v>1.2011813321793584E-2</v>
      </c>
      <c r="J61" s="80"/>
      <c r="K61" s="109"/>
      <c r="L61" s="80"/>
      <c r="M61" s="80"/>
      <c r="N61" s="80"/>
      <c r="O61" s="80"/>
      <c r="P61" s="80"/>
      <c r="Q61" s="82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</row>
    <row r="62" spans="1:6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2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</row>
    <row r="63" spans="1: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2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</row>
    <row r="64" spans="1:6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2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</row>
    <row r="65" spans="1:6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110"/>
      <c r="O65" s="80"/>
      <c r="P65" s="80"/>
      <c r="Q65" s="82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</row>
    <row r="66" spans="1:6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2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</row>
    <row r="67" spans="1:6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2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</row>
    <row r="68" spans="1:6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2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</row>
    <row r="69" spans="1:6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2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</row>
    <row r="70" spans="1:6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2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</row>
    <row r="71" spans="1:6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2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</row>
    <row r="72" spans="1:6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2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</row>
    <row r="73" spans="1:6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2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</row>
    <row r="74" spans="1:6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2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</row>
    <row r="75" spans="1:6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2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</row>
    <row r="76" spans="1:6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2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</row>
    <row r="77" spans="1:6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2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</row>
    <row r="78" spans="1:6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2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</row>
    <row r="79" spans="1:6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2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</row>
    <row r="80" spans="1:6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2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</row>
    <row r="81" spans="1:6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2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</row>
    <row r="82" spans="1:6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2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</row>
    <row r="83" spans="1:6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2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</row>
    <row r="84" spans="1:6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2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</row>
    <row r="85" spans="1:6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2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</row>
    <row r="86" spans="1:6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2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</row>
    <row r="87" spans="1:6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2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</row>
    <row r="88" spans="1:6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2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</row>
    <row r="89" spans="1:6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2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</row>
    <row r="90" spans="1:6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2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</row>
    <row r="91" spans="1:6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2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</row>
    <row r="92" spans="1:6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2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</row>
    <row r="93" spans="1:6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2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</row>
    <row r="94" spans="1:6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2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</row>
    <row r="95" spans="1:6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2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</row>
    <row r="96" spans="1:6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2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</row>
    <row r="97" spans="1:6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2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</row>
    <row r="98" spans="1:6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2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</row>
    <row r="99" spans="1:6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2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</row>
    <row r="100" spans="1:6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2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</row>
    <row r="101" spans="1:6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2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</row>
    <row r="102" spans="1:6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2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</row>
    <row r="103" spans="1:6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2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</row>
    <row r="104" spans="1:6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2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</row>
    <row r="105" spans="1:6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2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</row>
    <row r="106" spans="1:6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2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</row>
    <row r="107" spans="1:6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2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</row>
    <row r="108" spans="1:6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2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</row>
    <row r="109" spans="1:6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2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</row>
    <row r="110" spans="1:6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2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</row>
    <row r="111" spans="1:6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2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</row>
    <row r="112" spans="1:6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2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</row>
    <row r="113" spans="1:6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2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</row>
    <row r="114" spans="1:6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2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</row>
    <row r="115" spans="1:6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2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</row>
    <row r="116" spans="1:6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2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</row>
    <row r="117" spans="1:6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2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</row>
    <row r="118" spans="1:6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2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</row>
    <row r="119" spans="1:6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2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</row>
    <row r="120" spans="1:6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2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</row>
    <row r="121" spans="1:6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2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</row>
    <row r="122" spans="1:6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2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</row>
    <row r="123" spans="1:6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2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</row>
    <row r="124" spans="1:6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2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</row>
    <row r="125" spans="1:6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2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</row>
    <row r="126" spans="1:6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2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</row>
    <row r="127" spans="1:6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2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</row>
    <row r="128" spans="1:6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2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</row>
    <row r="129" spans="1:6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2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</row>
    <row r="130" spans="1:6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2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</row>
    <row r="131" spans="1:6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2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</row>
    <row r="132" spans="1:6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2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</row>
    <row r="133" spans="1:6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2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</row>
    <row r="134" spans="1:6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2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</row>
    <row r="135" spans="1:6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2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</row>
    <row r="136" spans="1:6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2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</row>
    <row r="137" spans="1:6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2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</row>
    <row r="138" spans="1:6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2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</row>
    <row r="139" spans="1:6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2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</row>
    <row r="140" spans="1:6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2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</row>
    <row r="141" spans="1:6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2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</row>
    <row r="142" spans="1:6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2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</row>
    <row r="143" spans="1:6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2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</row>
    <row r="144" spans="1:6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2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</row>
    <row r="145" spans="1:6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2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</row>
    <row r="146" spans="1:6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2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</row>
    <row r="147" spans="1:6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2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</row>
    <row r="148" spans="1:6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2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</row>
    <row r="149" spans="1:6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2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</row>
    <row r="150" spans="1:6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2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</row>
    <row r="151" spans="1:6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2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</row>
    <row r="152" spans="1:6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2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</row>
    <row r="153" spans="1:6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2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</row>
    <row r="154" spans="1:6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2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</row>
    <row r="155" spans="1:6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2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</row>
    <row r="156" spans="1:6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2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</row>
    <row r="157" spans="1:6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2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</row>
    <row r="158" spans="1:6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2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</row>
    <row r="159" spans="1:6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2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</row>
    <row r="160" spans="1:6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2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</row>
    <row r="161" spans="1:6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2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</row>
    <row r="162" spans="1:6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2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</row>
    <row r="163" spans="1: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2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</row>
    <row r="164" spans="1:6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2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</row>
    <row r="165" spans="1:6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2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</row>
    <row r="166" spans="1:6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2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</row>
    <row r="167" spans="1:6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2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</row>
    <row r="168" spans="1:6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2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</row>
    <row r="169" spans="1:6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2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</row>
    <row r="170" spans="1:6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2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</row>
    <row r="171" spans="1:6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2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</row>
    <row r="172" spans="1:6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2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</row>
    <row r="173" spans="1:6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2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</row>
    <row r="174" spans="1:6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2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</row>
    <row r="175" spans="1:6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2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</row>
    <row r="176" spans="1:6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2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</row>
    <row r="177" spans="1:6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2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</row>
    <row r="178" spans="1:6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2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</row>
    <row r="179" spans="1:6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2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</row>
    <row r="180" spans="1:6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2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</row>
    <row r="181" spans="1:6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2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</row>
    <row r="182" spans="1:6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2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</row>
    <row r="183" spans="1:6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2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</row>
    <row r="184" spans="1:6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2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</row>
    <row r="185" spans="1:6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2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</row>
    <row r="186" spans="1:6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2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</row>
    <row r="187" spans="1:6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2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</row>
    <row r="188" spans="1:6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2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</row>
    <row r="189" spans="1:6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2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</row>
    <row r="190" spans="1:6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2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</row>
    <row r="191" spans="1:6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2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</row>
    <row r="192" spans="1:6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2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</row>
    <row r="193" spans="1:6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2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</row>
    <row r="194" spans="1:6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2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</row>
    <row r="195" spans="1:6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2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</row>
    <row r="196" spans="1:6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2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</row>
    <row r="197" spans="1:6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2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</row>
    <row r="198" spans="1:6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2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</row>
    <row r="199" spans="1:6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2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</row>
    <row r="200" spans="1:6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2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</row>
    <row r="201" spans="1:6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2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</row>
    <row r="202" spans="1:6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2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</row>
    <row r="203" spans="1:6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2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</row>
    <row r="204" spans="1:6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2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</row>
    <row r="205" spans="1:6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2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</row>
    <row r="206" spans="1:6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2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</row>
    <row r="207" spans="1:6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2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</row>
    <row r="208" spans="1:6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2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</row>
    <row r="209" spans="1:6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2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</row>
    <row r="210" spans="1:6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2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</row>
    <row r="211" spans="1:6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2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</row>
    <row r="212" spans="1:6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2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</row>
    <row r="213" spans="1:6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2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</row>
    <row r="214" spans="1:6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2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</row>
    <row r="215" spans="1:6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2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</row>
    <row r="216" spans="1:6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2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</row>
    <row r="217" spans="1:6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2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</row>
    <row r="218" spans="1:6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2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</row>
    <row r="219" spans="1:6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2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</row>
    <row r="220" spans="1:6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2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</row>
    <row r="221" spans="1:6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2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</row>
    <row r="222" spans="1:6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2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</row>
    <row r="223" spans="1:6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2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</row>
    <row r="224" spans="1:6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2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</row>
    <row r="225" spans="1:6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2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</row>
    <row r="226" spans="1:6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2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</row>
    <row r="227" spans="1:6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2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</row>
    <row r="228" spans="1:6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2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</row>
    <row r="229" spans="1:6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2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</row>
    <row r="230" spans="1:6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2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</row>
    <row r="231" spans="1:6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2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</row>
    <row r="232" spans="1:6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2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</row>
    <row r="233" spans="1:6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2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</row>
    <row r="234" spans="1:6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2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</row>
    <row r="235" spans="1:6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2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</row>
    <row r="236" spans="1:6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2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</row>
    <row r="237" spans="1:6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2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</row>
    <row r="238" spans="1:6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2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</row>
    <row r="239" spans="1:6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2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</row>
    <row r="240" spans="1:6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2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</row>
    <row r="241" spans="1:6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2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</row>
    <row r="242" spans="1:6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2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</row>
    <row r="243" spans="1:6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2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</row>
    <row r="244" spans="1:6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2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</row>
    <row r="245" spans="1:6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2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</row>
    <row r="246" spans="1:6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2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2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</row>
    <row r="248" spans="1:6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2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</row>
    <row r="249" spans="1:6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2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</row>
    <row r="250" spans="1:6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2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</row>
    <row r="251" spans="1:6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2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</row>
    <row r="252" spans="1:6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2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</row>
    <row r="253" spans="1:6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2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</row>
    <row r="254" spans="1:6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2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</row>
    <row r="255" spans="1:6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2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</row>
    <row r="256" spans="1:6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2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</row>
    <row r="257" spans="1:6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2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</row>
    <row r="258" spans="1:6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2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</row>
    <row r="259" spans="1:6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2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</row>
    <row r="260" spans="1:6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2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</row>
    <row r="261" spans="1:6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2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</row>
    <row r="262" spans="1:6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2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</row>
    <row r="263" spans="1: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2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</row>
    <row r="264" spans="1:6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2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</row>
    <row r="265" spans="1:6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2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</row>
    <row r="266" spans="1:6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2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</row>
    <row r="267" spans="1:6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2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</row>
    <row r="268" spans="1:6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2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</row>
    <row r="269" spans="1:6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2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</row>
    <row r="270" spans="1:6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2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</row>
    <row r="271" spans="1:6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2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</row>
    <row r="272" spans="1:6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2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</row>
    <row r="273" spans="1:6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2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</row>
    <row r="274" spans="1:6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2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</row>
    <row r="275" spans="1:6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2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</row>
    <row r="276" spans="1:6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2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</row>
    <row r="277" spans="1:6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2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</row>
    <row r="278" spans="1:6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2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</row>
    <row r="279" spans="1:6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2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</row>
    <row r="280" spans="1:6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2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</row>
    <row r="281" spans="1:6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2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</row>
    <row r="282" spans="1:6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2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</row>
    <row r="283" spans="1:6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2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</row>
    <row r="284" spans="1:6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2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2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</row>
    <row r="286" spans="1:6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2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</row>
    <row r="287" spans="1:6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2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2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</row>
    <row r="289" spans="1:6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2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</row>
    <row r="290" spans="1:6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2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</row>
    <row r="291" spans="1:6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2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</row>
    <row r="292" spans="1:6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2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</row>
    <row r="293" spans="1:6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2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</row>
    <row r="294" spans="1:6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2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</row>
    <row r="295" spans="1:6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2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</row>
    <row r="296" spans="1:6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2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</row>
    <row r="297" spans="1:6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2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</row>
    <row r="298" spans="1:6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2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</row>
    <row r="299" spans="1:6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2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</row>
    <row r="300" spans="1:6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2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</row>
    <row r="301" spans="1:6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2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</row>
    <row r="302" spans="1:6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2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</row>
    <row r="303" spans="1:6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2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</row>
    <row r="304" spans="1:6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2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</row>
    <row r="305" spans="1:6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2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</row>
    <row r="306" spans="1:6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2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</row>
    <row r="307" spans="1:6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2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</row>
    <row r="308" spans="1:6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2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</row>
    <row r="309" spans="1:6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2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</row>
    <row r="310" spans="1:6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2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</row>
    <row r="311" spans="1:6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2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</row>
    <row r="312" spans="1:6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2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</row>
    <row r="313" spans="1:6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2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</row>
    <row r="314" spans="1:6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2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</row>
    <row r="315" spans="1:6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2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</row>
    <row r="316" spans="1:6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2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</row>
    <row r="317" spans="1:6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2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</row>
    <row r="318" spans="1:6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2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</row>
    <row r="319" spans="1:6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2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</row>
    <row r="320" spans="1:6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2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</row>
    <row r="321" spans="1:6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2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</row>
    <row r="322" spans="1:6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2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</row>
    <row r="323" spans="1:6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2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</row>
    <row r="324" spans="1:6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2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</row>
    <row r="325" spans="1:6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2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</row>
    <row r="326" spans="1:6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2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</row>
    <row r="327" spans="1:6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2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</row>
    <row r="328" spans="1:6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2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</row>
    <row r="329" spans="1:6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2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</row>
    <row r="330" spans="1:6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2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</row>
    <row r="331" spans="1:6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2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</row>
    <row r="332" spans="1:6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2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</row>
    <row r="333" spans="1:6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2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</row>
    <row r="334" spans="1:6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2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</row>
    <row r="335" spans="1:6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2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</row>
    <row r="336" spans="1:6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2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</row>
    <row r="337" spans="1:6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2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</row>
    <row r="338" spans="1:6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2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</row>
    <row r="339" spans="1:6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2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</row>
    <row r="340" spans="1:6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2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</row>
    <row r="341" spans="1:6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2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</row>
    <row r="342" spans="1:6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2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</row>
    <row r="343" spans="1:6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2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</row>
    <row r="344" spans="1:6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2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</row>
    <row r="345" spans="1:6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2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</row>
    <row r="346" spans="1:6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2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</row>
    <row r="347" spans="1:6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2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</row>
    <row r="348" spans="1:6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2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</row>
    <row r="349" spans="1:6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2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</row>
    <row r="350" spans="1:6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2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</row>
    <row r="351" spans="1:6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2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</row>
    <row r="352" spans="1:6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2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</row>
    <row r="353" spans="1:6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2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</row>
    <row r="354" spans="1:6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2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</row>
    <row r="355" spans="1:6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2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</row>
    <row r="356" spans="1:6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2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</row>
    <row r="357" spans="1:6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2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</row>
    <row r="358" spans="1:6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2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</row>
    <row r="359" spans="1:6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2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</row>
    <row r="360" spans="1:6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2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</row>
    <row r="361" spans="1:6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2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</row>
    <row r="362" spans="1:6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2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</row>
    <row r="363" spans="1: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2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</row>
    <row r="364" spans="1:6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2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</row>
    <row r="365" spans="1:6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2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</row>
    <row r="366" spans="1:6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2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</row>
    <row r="367" spans="1:6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2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</row>
    <row r="368" spans="1:6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2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</row>
    <row r="369" spans="1:6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2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topLeftCell="A41" zoomScale="89" zoomScaleNormal="89" workbookViewId="0">
      <selection activeCell="D8" sqref="D8:D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3" t="s">
        <v>139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</row>
    <row r="2" spans="1:54" ht="26.25" customHeight="1">
      <c r="A2" s="80"/>
      <c r="B2" s="80"/>
      <c r="C2" s="111"/>
      <c r="D2" s="80"/>
      <c r="E2" s="111"/>
      <c r="F2" s="80"/>
      <c r="G2" s="111"/>
      <c r="H2" s="80"/>
      <c r="I2" s="80"/>
      <c r="J2" s="80"/>
      <c r="K2" s="80"/>
      <c r="L2" s="111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</row>
    <row r="3" spans="1:54" ht="37.5" customHeight="1" thickBot="1">
      <c r="A3" s="80"/>
      <c r="B3" s="425" t="s">
        <v>106</v>
      </c>
      <c r="C3" s="426"/>
      <c r="D3" s="427" t="s">
        <v>108</v>
      </c>
      <c r="E3" s="427"/>
      <c r="F3" s="80"/>
      <c r="G3" s="253" t="s">
        <v>107</v>
      </c>
      <c r="H3" s="80"/>
      <c r="I3" s="80"/>
      <c r="J3" s="80"/>
      <c r="K3" s="80"/>
      <c r="L3" s="111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</row>
    <row r="4" spans="1:54" ht="39" customHeight="1" thickBot="1">
      <c r="A4" s="112" t="s">
        <v>0</v>
      </c>
      <c r="B4" s="112" t="s">
        <v>322</v>
      </c>
      <c r="C4" s="270" t="s">
        <v>94</v>
      </c>
      <c r="D4" s="254" t="s">
        <v>329</v>
      </c>
      <c r="E4" s="270" t="s">
        <v>95</v>
      </c>
      <c r="F4" s="80"/>
      <c r="G4" s="270" t="s">
        <v>101</v>
      </c>
      <c r="H4" s="271" t="s">
        <v>98</v>
      </c>
      <c r="I4" s="271" t="s">
        <v>99</v>
      </c>
      <c r="J4" s="271" t="s">
        <v>100</v>
      </c>
      <c r="K4" s="271" t="s">
        <v>140</v>
      </c>
      <c r="L4" s="272" t="s">
        <v>93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</row>
    <row r="5" spans="1:54">
      <c r="A5" s="269"/>
      <c r="B5" s="268"/>
      <c r="C5" s="273"/>
      <c r="D5" s="255"/>
      <c r="E5" s="273"/>
      <c r="F5" s="103"/>
      <c r="G5" s="273"/>
      <c r="H5" s="274" t="s">
        <v>109</v>
      </c>
      <c r="I5" s="274" t="s">
        <v>109</v>
      </c>
      <c r="J5" s="274" t="s">
        <v>109</v>
      </c>
      <c r="K5" s="274" t="s">
        <v>109</v>
      </c>
      <c r="L5" s="275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4" s="3" customFormat="1" ht="11.25">
      <c r="A6" s="256"/>
      <c r="B6" s="118" t="s">
        <v>57</v>
      </c>
      <c r="C6" s="276" t="s">
        <v>72</v>
      </c>
      <c r="D6" s="257" t="s">
        <v>56</v>
      </c>
      <c r="E6" s="276" t="s">
        <v>73</v>
      </c>
      <c r="F6" s="119"/>
      <c r="G6" s="258" t="s">
        <v>69</v>
      </c>
      <c r="H6" s="121">
        <f>+K6*0.35</f>
        <v>65483216.749999993</v>
      </c>
      <c r="I6" s="121">
        <f>+K6*0.35</f>
        <v>65483216.749999993</v>
      </c>
      <c r="J6" s="121">
        <f>+K6*0.3</f>
        <v>56128471.5</v>
      </c>
      <c r="K6" s="121">
        <f>+'PART PEF2021'!D12</f>
        <v>187094905</v>
      </c>
      <c r="L6" s="25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s="4" customFormat="1" ht="23.25" customHeight="1" thickBot="1">
      <c r="A7" s="122"/>
      <c r="B7" s="122"/>
      <c r="C7" s="260"/>
      <c r="D7" s="261"/>
      <c r="E7" s="262"/>
      <c r="F7" s="123"/>
      <c r="G7" s="277"/>
      <c r="H7" s="121" t="s">
        <v>96</v>
      </c>
      <c r="I7" s="121" t="s">
        <v>68</v>
      </c>
      <c r="J7" s="121" t="s">
        <v>97</v>
      </c>
      <c r="K7" s="125" t="s">
        <v>110</v>
      </c>
      <c r="L7" s="263" t="s">
        <v>70</v>
      </c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</row>
    <row r="8" spans="1:54" ht="13.5" thickTop="1">
      <c r="A8" s="72" t="s">
        <v>1</v>
      </c>
      <c r="B8" s="278">
        <v>2974</v>
      </c>
      <c r="C8" s="340">
        <f t="shared" ref="C8:C58" si="0">+B8/$B$59</f>
        <v>5.141377508841821E-4</v>
      </c>
      <c r="D8" s="264">
        <v>2918</v>
      </c>
      <c r="E8" s="340">
        <f t="shared" ref="E8:E59" si="1">(D8/D$59)</f>
        <v>5.2012841717507521E-4</v>
      </c>
      <c r="F8" s="80"/>
      <c r="G8" s="343">
        <f>+'COEF Art 14 F I'!AI8</f>
        <v>2.5579197157356921E-3</v>
      </c>
      <c r="H8" s="127">
        <f t="shared" ref="H8:H58" si="2">+C8*H$6</f>
        <v>33667.393780506398</v>
      </c>
      <c r="I8" s="265">
        <f t="shared" ref="I8:I58" si="3">+E8*I$6</f>
        <v>34059.681879709868</v>
      </c>
      <c r="J8" s="265">
        <f t="shared" ref="J8:J58" si="4">+G8*J$6</f>
        <v>143572.1238639589</v>
      </c>
      <c r="K8" s="265">
        <f>SUM(H8:J8)</f>
        <v>211299.19952417517</v>
      </c>
      <c r="L8" s="368">
        <f>+K8/K$59</f>
        <v>1.129369073541448E-3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4">
      <c r="A9" s="73" t="s">
        <v>2</v>
      </c>
      <c r="B9" s="279">
        <v>3382</v>
      </c>
      <c r="C9" s="341">
        <f t="shared" si="0"/>
        <v>5.8467177992276519E-4</v>
      </c>
      <c r="D9" s="266">
        <v>2599</v>
      </c>
      <c r="E9" s="341">
        <f t="shared" si="1"/>
        <v>4.6326722283688166E-4</v>
      </c>
      <c r="F9" s="80"/>
      <c r="G9" s="344">
        <f>+'COEF Art 14 F I'!AI9</f>
        <v>1.3555899780221343E-3</v>
      </c>
      <c r="H9" s="130">
        <f t="shared" si="2"/>
        <v>38286.188892290724</v>
      </c>
      <c r="I9" s="131">
        <f t="shared" si="3"/>
        <v>30336.227966198068</v>
      </c>
      <c r="J9" s="131">
        <f t="shared" si="4"/>
        <v>76087.193447100988</v>
      </c>
      <c r="K9" s="131">
        <f t="shared" ref="K9:K58" si="5">SUM(H9:J9)</f>
        <v>144709.6103055898</v>
      </c>
      <c r="L9" s="369">
        <f t="shared" ref="L9:L58" si="6">+K9/K$59</f>
        <v>7.7345564437251687E-4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4">
      <c r="A10" s="73" t="s">
        <v>3</v>
      </c>
      <c r="B10" s="279">
        <v>1407</v>
      </c>
      <c r="C10" s="341">
        <f t="shared" si="0"/>
        <v>2.4323867366981983E-4</v>
      </c>
      <c r="D10" s="266">
        <v>1506</v>
      </c>
      <c r="E10" s="341">
        <f t="shared" si="1"/>
        <v>2.6844187671887026E-4</v>
      </c>
      <c r="F10" s="80"/>
      <c r="G10" s="344">
        <f>+'COEF Art 14 F I'!AI10</f>
        <v>3.3712989986451882E-3</v>
      </c>
      <c r="H10" s="130">
        <f t="shared" si="2"/>
        <v>15928.050789903327</v>
      </c>
      <c r="I10" s="131">
        <f t="shared" si="3"/>
        <v>17578.437597958557</v>
      </c>
      <c r="J10" s="131">
        <f t="shared" si="4"/>
        <v>189225.859763435</v>
      </c>
      <c r="K10" s="131">
        <f t="shared" si="5"/>
        <v>222732.3481512969</v>
      </c>
      <c r="L10" s="369">
        <f t="shared" si="6"/>
        <v>1.1904778922295983E-3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4" ht="13.5" customHeight="1">
      <c r="A11" s="73" t="s">
        <v>4</v>
      </c>
      <c r="B11" s="279">
        <v>35289</v>
      </c>
      <c r="C11" s="341">
        <f t="shared" si="0"/>
        <v>6.1006748792709828E-3</v>
      </c>
      <c r="D11" s="266">
        <v>38297</v>
      </c>
      <c r="E11" s="341">
        <f t="shared" si="1"/>
        <v>6.8263735409711639E-3</v>
      </c>
      <c r="F11" s="80"/>
      <c r="G11" s="344">
        <f>+'COEF Art 14 F I'!AI11</f>
        <v>8.6529435916042063E-3</v>
      </c>
      <c r="H11" s="130">
        <f t="shared" si="2"/>
        <v>399491.81544058182</v>
      </c>
      <c r="I11" s="131">
        <f t="shared" si="3"/>
        <v>447012.89819987968</v>
      </c>
      <c r="J11" s="131">
        <f t="shared" si="4"/>
        <v>485676.49777246435</v>
      </c>
      <c r="K11" s="131">
        <f t="shared" si="5"/>
        <v>1332181.2114129257</v>
      </c>
      <c r="L11" s="369">
        <f t="shared" si="6"/>
        <v>7.1203500245660134E-3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4" ht="14.25">
      <c r="A12" s="73" t="s">
        <v>5</v>
      </c>
      <c r="B12" s="279">
        <v>18030</v>
      </c>
      <c r="C12" s="341">
        <f t="shared" si="0"/>
        <v>3.1169817244256232E-3</v>
      </c>
      <c r="D12" s="280">
        <v>19976</v>
      </c>
      <c r="E12" s="341">
        <f t="shared" si="1"/>
        <v>3.5606872040744699E-3</v>
      </c>
      <c r="F12" s="80"/>
      <c r="G12" s="344">
        <f>+'COEF Art 14 F I'!AI12</f>
        <v>7.3242793267388777E-3</v>
      </c>
      <c r="H12" s="130">
        <f t="shared" si="2"/>
        <v>204109.98986635183</v>
      </c>
      <c r="I12" s="131">
        <f t="shared" si="3"/>
        <v>233165.25196335997</v>
      </c>
      <c r="J12" s="131">
        <f t="shared" si="4"/>
        <v>411100.60344890226</v>
      </c>
      <c r="K12" s="131">
        <f t="shared" si="5"/>
        <v>848375.84527861408</v>
      </c>
      <c r="L12" s="369">
        <f t="shared" si="6"/>
        <v>4.5344679229966959E-3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4">
      <c r="A13" s="73" t="s">
        <v>6</v>
      </c>
      <c r="B13" s="279">
        <v>656464</v>
      </c>
      <c r="C13" s="341">
        <f t="shared" si="0"/>
        <v>0.11348786970290306</v>
      </c>
      <c r="D13" s="266">
        <v>665734</v>
      </c>
      <c r="E13" s="341">
        <f t="shared" si="1"/>
        <v>0.11866592586690594</v>
      </c>
      <c r="F13" s="80"/>
      <c r="G13" s="344">
        <f>+'COEF Art 14 F I'!AI13</f>
        <v>7.5364559812740178E-2</v>
      </c>
      <c r="H13" s="130">
        <f t="shared" si="2"/>
        <v>7431550.7702509584</v>
      </c>
      <c r="I13" s="131">
        <f t="shared" si="3"/>
        <v>7770626.5443820329</v>
      </c>
      <c r="J13" s="131">
        <f t="shared" si="4"/>
        <v>4230097.5475594327</v>
      </c>
      <c r="K13" s="131">
        <f t="shared" si="5"/>
        <v>19432274.862192422</v>
      </c>
      <c r="L13" s="369">
        <f t="shared" si="6"/>
        <v>0.10386319639325521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4">
      <c r="A14" s="73" t="s">
        <v>7</v>
      </c>
      <c r="B14" s="279">
        <v>14992</v>
      </c>
      <c r="C14" s="341">
        <f t="shared" si="0"/>
        <v>2.5917798121236242E-3</v>
      </c>
      <c r="D14" s="266">
        <v>17800</v>
      </c>
      <c r="E14" s="341">
        <f t="shared" si="1"/>
        <v>3.1728189944195818E-3</v>
      </c>
      <c r="F14" s="80"/>
      <c r="G14" s="344">
        <f>+'COEF Art 14 F I'!AI14</f>
        <v>9.7545139983977493E-3</v>
      </c>
      <c r="H14" s="130">
        <f t="shared" si="2"/>
        <v>169718.07920556553</v>
      </c>
      <c r="I14" s="131">
        <f t="shared" si="3"/>
        <v>207766.3939200945</v>
      </c>
      <c r="J14" s="131">
        <f t="shared" si="4"/>
        <v>547505.96095541911</v>
      </c>
      <c r="K14" s="131">
        <f t="shared" si="5"/>
        <v>924990.43408107921</v>
      </c>
      <c r="L14" s="369">
        <f t="shared" si="6"/>
        <v>4.9439637818094479E-3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4">
      <c r="A15" s="73" t="s">
        <v>8</v>
      </c>
      <c r="B15" s="279">
        <v>3661</v>
      </c>
      <c r="C15" s="341">
        <f t="shared" si="0"/>
        <v>6.329046086035611E-4</v>
      </c>
      <c r="D15" s="266">
        <v>4384</v>
      </c>
      <c r="E15" s="341">
        <f t="shared" si="1"/>
        <v>7.8144036356940711E-4</v>
      </c>
      <c r="F15" s="80"/>
      <c r="G15" s="344">
        <f>+'COEF Art 14 F I'!AI15</f>
        <v>9.5118830059378419E-4</v>
      </c>
      <c r="H15" s="130">
        <f t="shared" si="2"/>
        <v>41444.629667260902</v>
      </c>
      <c r="I15" s="131">
        <f t="shared" si="3"/>
        <v>51171.228704814283</v>
      </c>
      <c r="J15" s="131">
        <f t="shared" si="4"/>
        <v>53388.745421011648</v>
      </c>
      <c r="K15" s="131">
        <f t="shared" si="5"/>
        <v>146004.60379308683</v>
      </c>
      <c r="L15" s="369">
        <f t="shared" si="6"/>
        <v>7.8037723043867418E-4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4">
      <c r="A16" s="73" t="s">
        <v>9</v>
      </c>
      <c r="B16" s="279">
        <v>122337</v>
      </c>
      <c r="C16" s="341">
        <f t="shared" si="0"/>
        <v>2.1149317427679282E-2</v>
      </c>
      <c r="D16" s="266">
        <v>105145</v>
      </c>
      <c r="E16" s="341">
        <f t="shared" si="1"/>
        <v>1.8741913099339716E-2</v>
      </c>
      <c r="F16" s="80"/>
      <c r="G16" s="344">
        <f>+'COEF Art 14 F I'!AI16</f>
        <v>1.2800156945343024E-2</v>
      </c>
      <c r="H16" s="130">
        <f t="shared" si="2"/>
        <v>1384925.3372312747</v>
      </c>
      <c r="I16" s="131">
        <f t="shared" si="3"/>
        <v>1227280.7577937269</v>
      </c>
      <c r="J16" s="131">
        <f t="shared" si="4"/>
        <v>718453.24430221296</v>
      </c>
      <c r="K16" s="131">
        <f t="shared" si="5"/>
        <v>3330659.3393272143</v>
      </c>
      <c r="L16" s="369">
        <f t="shared" si="6"/>
        <v>1.7801977768059557E-2</v>
      </c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1:54">
      <c r="A17" s="73" t="s">
        <v>10</v>
      </c>
      <c r="B17" s="279">
        <v>104478</v>
      </c>
      <c r="C17" s="341">
        <f t="shared" si="0"/>
        <v>1.8061897759541888E-2</v>
      </c>
      <c r="D17" s="266">
        <v>47326</v>
      </c>
      <c r="E17" s="341">
        <f t="shared" si="1"/>
        <v>8.4357770634775914E-3</v>
      </c>
      <c r="F17" s="80"/>
      <c r="G17" s="344">
        <f>+'COEF Art 14 F I'!AI17</f>
        <v>6.7156097424355575E-3</v>
      </c>
      <c r="H17" s="130">
        <f t="shared" si="2"/>
        <v>1182751.1659044207</v>
      </c>
      <c r="I17" s="131">
        <f t="shared" si="3"/>
        <v>552401.81790238153</v>
      </c>
      <c r="J17" s="131">
        <f t="shared" si="4"/>
        <v>376936.91003341653</v>
      </c>
      <c r="K17" s="131">
        <f t="shared" si="5"/>
        <v>2112089.8938402189</v>
      </c>
      <c r="L17" s="369">
        <f t="shared" si="6"/>
        <v>1.1288869110787487E-2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</row>
    <row r="18" spans="1:54">
      <c r="A18" s="73" t="s">
        <v>11</v>
      </c>
      <c r="B18" s="279">
        <v>7340</v>
      </c>
      <c r="C18" s="341">
        <f t="shared" si="0"/>
        <v>1.2689210126058832E-3</v>
      </c>
      <c r="D18" s="266">
        <v>8324</v>
      </c>
      <c r="E18" s="341">
        <f t="shared" si="1"/>
        <v>1.4837385005364381E-3</v>
      </c>
      <c r="F18" s="80"/>
      <c r="G18" s="344">
        <f>+'COEF Art 14 F I'!AI18</f>
        <v>2.1838151443620262E-3</v>
      </c>
      <c r="H18" s="130">
        <f t="shared" si="2"/>
        <v>83093.029707100519</v>
      </c>
      <c r="I18" s="131">
        <f t="shared" si="3"/>
        <v>97159.96983094755</v>
      </c>
      <c r="J18" s="131">
        <f t="shared" si="4"/>
        <v>122574.20609159238</v>
      </c>
      <c r="K18" s="131">
        <f t="shared" si="5"/>
        <v>302827.20562964043</v>
      </c>
      <c r="L18" s="369">
        <f t="shared" si="6"/>
        <v>1.6185753729084204E-3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</row>
    <row r="19" spans="1:54">
      <c r="A19" s="73" t="s">
        <v>12</v>
      </c>
      <c r="B19" s="279">
        <v>9930</v>
      </c>
      <c r="C19" s="341">
        <f t="shared" si="0"/>
        <v>1.7166737949831634E-3</v>
      </c>
      <c r="D19" s="266">
        <v>11962</v>
      </c>
      <c r="E19" s="341">
        <f t="shared" si="1"/>
        <v>2.1322056635532044E-3</v>
      </c>
      <c r="F19" s="80"/>
      <c r="G19" s="344">
        <f>+'COEF Art 14 F I'!AI19</f>
        <v>6.4260101575533178E-3</v>
      </c>
      <c r="H19" s="130">
        <f t="shared" si="2"/>
        <v>112413.32220592754</v>
      </c>
      <c r="I19" s="131">
        <f t="shared" si="3"/>
        <v>139623.68562203203</v>
      </c>
      <c r="J19" s="131">
        <f t="shared" si="4"/>
        <v>360682.12798694189</v>
      </c>
      <c r="K19" s="131">
        <f t="shared" si="5"/>
        <v>612719.13581490144</v>
      </c>
      <c r="L19" s="369">
        <f t="shared" si="6"/>
        <v>3.2749108577537242E-3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>
      <c r="A20" s="73" t="s">
        <v>13</v>
      </c>
      <c r="B20" s="279">
        <v>68747</v>
      </c>
      <c r="C20" s="341">
        <f t="shared" si="0"/>
        <v>1.1884811015479108E-2</v>
      </c>
      <c r="D20" s="266">
        <v>50563</v>
      </c>
      <c r="E20" s="341">
        <f t="shared" si="1"/>
        <v>9.0127666749908603E-3</v>
      </c>
      <c r="F20" s="80"/>
      <c r="G20" s="344">
        <f>+'COEF Art 14 F I'!AI20</f>
        <v>5.3128423399434084E-3</v>
      </c>
      <c r="H20" s="130">
        <f t="shared" si="2"/>
        <v>778255.65575940593</v>
      </c>
      <c r="I20" s="131">
        <f t="shared" si="3"/>
        <v>590184.9536956033</v>
      </c>
      <c r="J20" s="131">
        <f t="shared" si="4"/>
        <v>298201.71986150689</v>
      </c>
      <c r="K20" s="131">
        <f t="shared" si="5"/>
        <v>1666642.3293165162</v>
      </c>
      <c r="L20" s="369">
        <f t="shared" si="6"/>
        <v>8.9080048936475125E-3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</row>
    <row r="21" spans="1:54">
      <c r="A21" s="73" t="s">
        <v>14</v>
      </c>
      <c r="B21" s="279">
        <v>36088</v>
      </c>
      <c r="C21" s="341">
        <f t="shared" si="0"/>
        <v>6.2388040194715413E-3</v>
      </c>
      <c r="D21" s="266">
        <v>37859</v>
      </c>
      <c r="E21" s="341">
        <f t="shared" si="1"/>
        <v>6.7483008039174687E-3</v>
      </c>
      <c r="F21" s="80"/>
      <c r="G21" s="344">
        <f>+'COEF Art 14 F I'!AI21</f>
        <v>2.8258392036349365E-2</v>
      </c>
      <c r="H21" s="130">
        <f t="shared" si="2"/>
        <v>408536.95586782612</v>
      </c>
      <c r="I21" s="131">
        <f t="shared" si="3"/>
        <v>441900.44423712679</v>
      </c>
      <c r="J21" s="131">
        <f t="shared" si="4"/>
        <v>1586100.3520480623</v>
      </c>
      <c r="K21" s="131">
        <f t="shared" si="5"/>
        <v>2436537.7521530152</v>
      </c>
      <c r="L21" s="369">
        <f t="shared" si="6"/>
        <v>1.3023004299090965E-2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</row>
    <row r="22" spans="1:54">
      <c r="A22" s="73" t="s">
        <v>15</v>
      </c>
      <c r="B22" s="279">
        <v>1360</v>
      </c>
      <c r="C22" s="341">
        <f t="shared" si="0"/>
        <v>2.351134301286105E-4</v>
      </c>
      <c r="D22" s="266">
        <v>1845</v>
      </c>
      <c r="E22" s="341">
        <f t="shared" si="1"/>
        <v>3.2886803621933304E-4</v>
      </c>
      <c r="F22" s="80"/>
      <c r="G22" s="344">
        <f>+'COEF Art 14 F I'!AI22</f>
        <v>7.9834565667212694E-4</v>
      </c>
      <c r="H22" s="130">
        <f t="shared" si="2"/>
        <v>15395.98370594778</v>
      </c>
      <c r="I22" s="131">
        <f t="shared" si="3"/>
        <v>21535.336897897432</v>
      </c>
      <c r="J22" s="131">
        <f t="shared" si="4"/>
        <v>44809.921437670258</v>
      </c>
      <c r="K22" s="131">
        <f t="shared" si="5"/>
        <v>81741.242041515477</v>
      </c>
      <c r="L22" s="369">
        <f t="shared" si="6"/>
        <v>4.3689721022341837E-4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</row>
    <row r="23" spans="1:54">
      <c r="A23" s="73" t="s">
        <v>16</v>
      </c>
      <c r="B23" s="279">
        <v>3256</v>
      </c>
      <c r="C23" s="341">
        <f t="shared" si="0"/>
        <v>5.6288921213143808E-4</v>
      </c>
      <c r="D23" s="266">
        <v>3294</v>
      </c>
      <c r="E23" s="341">
        <f t="shared" si="1"/>
        <v>5.8714976222573611E-4</v>
      </c>
      <c r="F23" s="80"/>
      <c r="G23" s="344">
        <f>+'COEF Art 14 F I'!AI23</f>
        <v>2.514469019141033E-3</v>
      </c>
      <c r="H23" s="130">
        <f t="shared" si="2"/>
        <v>36859.796284239688</v>
      </c>
      <c r="I23" s="131">
        <f t="shared" si="3"/>
        <v>38448.455144538835</v>
      </c>
      <c r="J23" s="131">
        <f t="shared" si="4"/>
        <v>141133.30267849044</v>
      </c>
      <c r="K23" s="131">
        <f t="shared" si="5"/>
        <v>216441.55410726895</v>
      </c>
      <c r="L23" s="369">
        <f t="shared" si="6"/>
        <v>1.1568543467673209E-3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</row>
    <row r="24" spans="1:54">
      <c r="A24" s="73" t="s">
        <v>17</v>
      </c>
      <c r="B24" s="279">
        <v>40903</v>
      </c>
      <c r="C24" s="341">
        <f t="shared" si="0"/>
        <v>7.0712092886401146E-3</v>
      </c>
      <c r="D24" s="266">
        <v>44989</v>
      </c>
      <c r="E24" s="341">
        <f t="shared" si="1"/>
        <v>8.0192108842664367E-3</v>
      </c>
      <c r="F24" s="80"/>
      <c r="G24" s="344">
        <f>+'COEF Art 14 F I'!AI24</f>
        <v>1.6148628779074751E-2</v>
      </c>
      <c r="H24" s="130">
        <f t="shared" si="2"/>
        <v>463045.53053263389</v>
      </c>
      <c r="I24" s="131">
        <f t="shared" si="3"/>
        <v>525123.72449837823</v>
      </c>
      <c r="J24" s="131">
        <f t="shared" si="4"/>
        <v>906397.85019037698</v>
      </c>
      <c r="K24" s="131">
        <f t="shared" si="5"/>
        <v>1894567.1052213891</v>
      </c>
      <c r="L24" s="369">
        <f t="shared" si="6"/>
        <v>1.012623569423972E-2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</row>
    <row r="25" spans="1:54">
      <c r="A25" s="73" t="s">
        <v>18</v>
      </c>
      <c r="B25" s="279">
        <v>397205</v>
      </c>
      <c r="C25" s="341">
        <f t="shared" si="0"/>
        <v>6.8667816186937305E-2</v>
      </c>
      <c r="D25" s="266">
        <v>300745</v>
      </c>
      <c r="E25" s="341">
        <f t="shared" si="1"/>
        <v>5.3607272386332422E-2</v>
      </c>
      <c r="F25" s="80"/>
      <c r="G25" s="344">
        <f>+'COEF Art 14 F I'!AI25</f>
        <v>2.9236137987682646E-2</v>
      </c>
      <c r="H25" s="130">
        <f t="shared" si="2"/>
        <v>4496589.4911183733</v>
      </c>
      <c r="I25" s="131">
        <f t="shared" si="3"/>
        <v>3510376.6370504955</v>
      </c>
      <c r="J25" s="131">
        <f t="shared" si="4"/>
        <v>1640979.7378117128</v>
      </c>
      <c r="K25" s="131">
        <f t="shared" si="5"/>
        <v>9647945.8659805823</v>
      </c>
      <c r="L25" s="369">
        <f t="shared" si="6"/>
        <v>5.1567122396949203E-2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</row>
    <row r="26" spans="1:54">
      <c r="A26" s="73" t="s">
        <v>19</v>
      </c>
      <c r="B26" s="279">
        <v>5506</v>
      </c>
      <c r="C26" s="341">
        <f t="shared" si="0"/>
        <v>9.5186363697656574E-4</v>
      </c>
      <c r="D26" s="266">
        <v>6127</v>
      </c>
      <c r="E26" s="341">
        <f t="shared" si="1"/>
        <v>1.0921270774611673E-3</v>
      </c>
      <c r="F26" s="80"/>
      <c r="G26" s="344">
        <f>+'COEF Art 14 F I'!AI26</f>
        <v>3.36134011736214E-3</v>
      </c>
      <c r="H26" s="130">
        <f t="shared" si="2"/>
        <v>62331.092856579759</v>
      </c>
      <c r="I26" s="131">
        <f t="shared" si="3"/>
        <v>71515.99413193365</v>
      </c>
      <c r="J26" s="131">
        <f t="shared" si="4"/>
        <v>188666.88297916754</v>
      </c>
      <c r="K26" s="131">
        <f t="shared" si="5"/>
        <v>322513.96996768098</v>
      </c>
      <c r="L26" s="369">
        <f t="shared" si="6"/>
        <v>1.7237987852618489E-3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</row>
    <row r="27" spans="1:54">
      <c r="A27" s="73" t="s">
        <v>20</v>
      </c>
      <c r="B27" s="279">
        <v>481213</v>
      </c>
      <c r="C27" s="341">
        <f t="shared" si="0"/>
        <v>8.3190911067999293E-2</v>
      </c>
      <c r="D27" s="266">
        <v>466325</v>
      </c>
      <c r="E27" s="341">
        <f t="shared" si="1"/>
        <v>8.3121618964759073E-2</v>
      </c>
      <c r="F27" s="80"/>
      <c r="G27" s="344">
        <f>+'COEF Art 14 F I'!AI27</f>
        <v>4.1753587145659993E-2</v>
      </c>
      <c r="H27" s="130">
        <f t="shared" si="2"/>
        <v>5447608.4610957708</v>
      </c>
      <c r="I27" s="131">
        <f t="shared" si="3"/>
        <v>5443070.9912802279</v>
      </c>
      <c r="J27" s="131">
        <f t="shared" si="4"/>
        <v>2343565.0261279433</v>
      </c>
      <c r="K27" s="131">
        <f t="shared" si="5"/>
        <v>13234244.478503942</v>
      </c>
      <c r="L27" s="369">
        <f t="shared" si="6"/>
        <v>7.0735461655163423E-2</v>
      </c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</row>
    <row r="28" spans="1:54">
      <c r="A28" s="73" t="s">
        <v>21</v>
      </c>
      <c r="B28" s="279">
        <v>14109</v>
      </c>
      <c r="C28" s="341">
        <f t="shared" si="0"/>
        <v>2.4391289600621804E-3</v>
      </c>
      <c r="D28" s="266">
        <v>16283</v>
      </c>
      <c r="E28" s="341">
        <f t="shared" si="1"/>
        <v>2.9024163868614635E-3</v>
      </c>
      <c r="F28" s="80"/>
      <c r="G28" s="344">
        <f>+'COEF Art 14 F I'!AI28</f>
        <v>6.6268985069095603E-3</v>
      </c>
      <c r="H28" s="130">
        <f t="shared" si="2"/>
        <v>159722.01037295384</v>
      </c>
      <c r="I28" s="131">
        <f t="shared" si="3"/>
        <v>190059.56135960104</v>
      </c>
      <c r="J28" s="131">
        <f t="shared" si="4"/>
        <v>371957.68397846579</v>
      </c>
      <c r="K28" s="131">
        <f t="shared" si="5"/>
        <v>721739.25571102067</v>
      </c>
      <c r="L28" s="369">
        <f t="shared" si="6"/>
        <v>3.8576104234961436E-3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</row>
    <row r="29" spans="1:54">
      <c r="A29" s="73" t="s">
        <v>22</v>
      </c>
      <c r="B29" s="279">
        <v>1808</v>
      </c>
      <c r="C29" s="341">
        <f t="shared" si="0"/>
        <v>3.1256256005332924E-4</v>
      </c>
      <c r="D29" s="266">
        <v>1194</v>
      </c>
      <c r="E29" s="341">
        <f t="shared" si="1"/>
        <v>2.1282842018747081E-4</v>
      </c>
      <c r="F29" s="80"/>
      <c r="G29" s="344">
        <f>+'COEF Art 14 F I'!AI29</f>
        <v>1.7102807873266047E-3</v>
      </c>
      <c r="H29" s="130">
        <f t="shared" si="2"/>
        <v>20467.601867907048</v>
      </c>
      <c r="I29" s="131">
        <f t="shared" si="3"/>
        <v>13936.689569696226</v>
      </c>
      <c r="J29" s="131">
        <f t="shared" si="4"/>
        <v>95995.44642845889</v>
      </c>
      <c r="K29" s="131">
        <f t="shared" si="5"/>
        <v>130399.73786606216</v>
      </c>
      <c r="L29" s="369">
        <f t="shared" si="6"/>
        <v>6.9697107928226153E-4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</row>
    <row r="30" spans="1:54">
      <c r="A30" s="73" t="s">
        <v>23</v>
      </c>
      <c r="B30" s="279">
        <v>6282</v>
      </c>
      <c r="C30" s="341">
        <f t="shared" si="0"/>
        <v>1.0860165941675964E-3</v>
      </c>
      <c r="D30" s="266">
        <v>6604</v>
      </c>
      <c r="E30" s="341">
        <f t="shared" si="1"/>
        <v>1.1771514965812876E-3</v>
      </c>
      <c r="F30" s="80"/>
      <c r="G30" s="344">
        <f>+'COEF Art 14 F I'!AI30</f>
        <v>5.4077311019708457E-3</v>
      </c>
      <c r="H30" s="130">
        <f t="shared" si="2"/>
        <v>71115.860029973497</v>
      </c>
      <c r="I30" s="131">
        <f t="shared" si="3"/>
        <v>77083.666598219323</v>
      </c>
      <c r="J30" s="131">
        <f t="shared" si="4"/>
        <v>303527.6810366342</v>
      </c>
      <c r="K30" s="131">
        <f t="shared" si="5"/>
        <v>451727.207664827</v>
      </c>
      <c r="L30" s="369">
        <f t="shared" si="6"/>
        <v>2.4144281623533631E-3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</row>
    <row r="31" spans="1:54">
      <c r="A31" s="73" t="s">
        <v>24</v>
      </c>
      <c r="B31" s="279">
        <v>102149</v>
      </c>
      <c r="C31" s="341">
        <f t="shared" si="0"/>
        <v>1.7659266010446643E-2</v>
      </c>
      <c r="D31" s="266">
        <v>91913</v>
      </c>
      <c r="E31" s="341">
        <f t="shared" si="1"/>
        <v>1.6383332147982418E-2</v>
      </c>
      <c r="F31" s="80"/>
      <c r="G31" s="344">
        <f>+'COEF Art 14 F I'!AI31</f>
        <v>8.9544877902981539E-3</v>
      </c>
      <c r="H31" s="130">
        <f t="shared" si="2"/>
        <v>1156385.5438079853</v>
      </c>
      <c r="I31" s="131">
        <f t="shared" si="3"/>
        <v>1072833.2901335757</v>
      </c>
      <c r="J31" s="131">
        <f t="shared" si="4"/>
        <v>502601.71273484791</v>
      </c>
      <c r="K31" s="131">
        <f t="shared" si="5"/>
        <v>2731820.546676409</v>
      </c>
      <c r="L31" s="369">
        <f t="shared" si="6"/>
        <v>1.460125569253962E-2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</row>
    <row r="32" spans="1:54">
      <c r="A32" s="73" t="s">
        <v>25</v>
      </c>
      <c r="B32" s="279">
        <v>643143</v>
      </c>
      <c r="C32" s="341">
        <f t="shared" si="0"/>
        <v>0.11118496823029775</v>
      </c>
      <c r="D32" s="266">
        <v>710413</v>
      </c>
      <c r="E32" s="341">
        <f t="shared" si="1"/>
        <v>0.12662987979115722</v>
      </c>
      <c r="F32" s="80"/>
      <c r="G32" s="344">
        <f>+'COEF Art 14 F I'!AI32</f>
        <v>6.5905479259868449E-2</v>
      </c>
      <c r="H32" s="130">
        <f t="shared" si="2"/>
        <v>7280749.3739664508</v>
      </c>
      <c r="I32" s="131">
        <f t="shared" si="3"/>
        <v>8292131.8653907925</v>
      </c>
      <c r="J32" s="131">
        <f t="shared" si="4"/>
        <v>3699173.8143313671</v>
      </c>
      <c r="K32" s="131">
        <f t="shared" si="5"/>
        <v>19272055.053688612</v>
      </c>
      <c r="L32" s="369">
        <f t="shared" si="6"/>
        <v>0.10300684058546979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</row>
    <row r="33" spans="1:54">
      <c r="A33" s="73" t="s">
        <v>26</v>
      </c>
      <c r="B33" s="279">
        <v>1959</v>
      </c>
      <c r="C33" s="341">
        <f t="shared" si="0"/>
        <v>3.3866706589849116E-4</v>
      </c>
      <c r="D33" s="266">
        <v>1998</v>
      </c>
      <c r="E33" s="341">
        <f t="shared" si="1"/>
        <v>3.561400197106924E-4</v>
      </c>
      <c r="F33" s="80"/>
      <c r="G33" s="344">
        <f>+'COEF Art 14 F I'!AI33</f>
        <v>7.2370382518366231E-4</v>
      </c>
      <c r="H33" s="130">
        <f t="shared" si="2"/>
        <v>22177.008882317426</v>
      </c>
      <c r="I33" s="131">
        <f t="shared" si="3"/>
        <v>23321.19410406454</v>
      </c>
      <c r="J33" s="131">
        <f t="shared" si="4"/>
        <v>40620.389526262174</v>
      </c>
      <c r="K33" s="131">
        <f t="shared" si="5"/>
        <v>86118.592512644129</v>
      </c>
      <c r="L33" s="369">
        <f t="shared" si="6"/>
        <v>4.6029362751831294E-4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</row>
    <row r="34" spans="1:54">
      <c r="A34" s="73" t="s">
        <v>27</v>
      </c>
      <c r="B34" s="279">
        <v>16086</v>
      </c>
      <c r="C34" s="341">
        <f t="shared" si="0"/>
        <v>2.7809078213594327E-3</v>
      </c>
      <c r="D34" s="266">
        <v>15902</v>
      </c>
      <c r="E34" s="341">
        <f t="shared" si="1"/>
        <v>2.8345038005202355E-3</v>
      </c>
      <c r="F34" s="80"/>
      <c r="G34" s="344">
        <f>+'COEF Art 14 F I'!AI34</f>
        <v>1.6000545067912679E-3</v>
      </c>
      <c r="H34" s="130">
        <f t="shared" si="2"/>
        <v>182102.78962785</v>
      </c>
      <c r="I34" s="131">
        <f t="shared" si="3"/>
        <v>185612.42674816534</v>
      </c>
      <c r="J34" s="131">
        <f t="shared" si="4"/>
        <v>89808.613782880231</v>
      </c>
      <c r="K34" s="131">
        <f t="shared" si="5"/>
        <v>457523.83015889558</v>
      </c>
      <c r="L34" s="369">
        <f t="shared" si="6"/>
        <v>2.4454104196952645E-3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</row>
    <row r="35" spans="1:54">
      <c r="A35" s="73" t="s">
        <v>28</v>
      </c>
      <c r="B35" s="279">
        <v>1386</v>
      </c>
      <c r="C35" s="341">
        <f t="shared" si="0"/>
        <v>2.3960824570459864E-4</v>
      </c>
      <c r="D35" s="266">
        <v>1712</v>
      </c>
      <c r="E35" s="341">
        <f t="shared" si="1"/>
        <v>3.0516101789024292E-4</v>
      </c>
      <c r="F35" s="80"/>
      <c r="G35" s="344">
        <f>+'COEF Art 14 F I'!AI35</f>
        <v>7.0528842626640931E-4</v>
      </c>
      <c r="H35" s="130">
        <f t="shared" si="2"/>
        <v>15690.318688561487</v>
      </c>
      <c r="I35" s="131">
        <f t="shared" si="3"/>
        <v>19982.925078157401</v>
      </c>
      <c r="J35" s="131">
        <f t="shared" si="4"/>
        <v>39586.761332974005</v>
      </c>
      <c r="K35" s="131">
        <f t="shared" si="5"/>
        <v>75260.005099692891</v>
      </c>
      <c r="L35" s="369">
        <f t="shared" si="6"/>
        <v>4.0225577013811736E-4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</row>
    <row r="36" spans="1:54">
      <c r="A36" s="73" t="s">
        <v>29</v>
      </c>
      <c r="B36" s="279">
        <v>7026</v>
      </c>
      <c r="C36" s="341">
        <f t="shared" si="0"/>
        <v>1.2146374706497186E-3</v>
      </c>
      <c r="D36" s="266">
        <v>7746</v>
      </c>
      <c r="E36" s="341">
        <f t="shared" si="1"/>
        <v>1.3807110073468585E-3</v>
      </c>
      <c r="F36" s="80"/>
      <c r="G36" s="344">
        <f>+'COEF Art 14 F I'!AI36</f>
        <v>1.7291186265481948E-3</v>
      </c>
      <c r="H36" s="130">
        <f t="shared" si="2"/>
        <v>79538.368763227278</v>
      </c>
      <c r="I36" s="131">
        <f t="shared" si="3"/>
        <v>90413.398163205173</v>
      </c>
      <c r="J36" s="131">
        <f t="shared" si="4"/>
        <v>97052.7855503295</v>
      </c>
      <c r="K36" s="131">
        <f t="shared" si="5"/>
        <v>267004.55247676192</v>
      </c>
      <c r="L36" s="369">
        <f t="shared" si="6"/>
        <v>1.4271075552632604E-3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</row>
    <row r="37" spans="1:54">
      <c r="A37" s="73" t="s">
        <v>30</v>
      </c>
      <c r="B37" s="279">
        <v>3298</v>
      </c>
      <c r="C37" s="341">
        <f t="shared" si="0"/>
        <v>5.7015006806188052E-4</v>
      </c>
      <c r="D37" s="266">
        <v>3979</v>
      </c>
      <c r="E37" s="341">
        <f t="shared" si="1"/>
        <v>7.0924981903345598E-4</v>
      </c>
      <c r="F37" s="80"/>
      <c r="G37" s="344">
        <f>+'COEF Art 14 F I'!AI37</f>
        <v>3.878034917703283E-3</v>
      </c>
      <c r="H37" s="130">
        <f t="shared" si="2"/>
        <v>37335.260486923369</v>
      </c>
      <c r="I37" s="131">
        <f t="shared" si="3"/>
        <v>46443.959629666067</v>
      </c>
      <c r="J37" s="131">
        <f t="shared" si="4"/>
        <v>217668.17235431357</v>
      </c>
      <c r="K37" s="131">
        <f t="shared" si="5"/>
        <v>301447.392470903</v>
      </c>
      <c r="L37" s="369">
        <f t="shared" si="6"/>
        <v>1.6112004357943528E-3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</row>
    <row r="38" spans="1:54">
      <c r="A38" s="73" t="s">
        <v>31</v>
      </c>
      <c r="B38" s="279">
        <v>471523</v>
      </c>
      <c r="C38" s="341">
        <f t="shared" si="0"/>
        <v>8.1515727878332944E-2</v>
      </c>
      <c r="D38" s="266">
        <v>396864</v>
      </c>
      <c r="E38" s="341">
        <f t="shared" si="1"/>
        <v>7.0740316707940051E-2</v>
      </c>
      <c r="F38" s="80"/>
      <c r="G38" s="344">
        <f>+'COEF Art 14 F I'!AI38</f>
        <v>3.452998483271006E-2</v>
      </c>
      <c r="H38" s="130">
        <f t="shared" si="2"/>
        <v>5337912.0771908928</v>
      </c>
      <c r="I38" s="131">
        <f t="shared" si="3"/>
        <v>4632303.491949684</v>
      </c>
      <c r="J38" s="131">
        <f t="shared" si="4"/>
        <v>1938115.2695781989</v>
      </c>
      <c r="K38" s="131">
        <f t="shared" si="5"/>
        <v>11908330.838718776</v>
      </c>
      <c r="L38" s="369">
        <f t="shared" si="6"/>
        <v>6.3648611055008561E-2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</row>
    <row r="39" spans="1:54">
      <c r="A39" s="73" t="s">
        <v>32</v>
      </c>
      <c r="B39" s="279">
        <v>5351</v>
      </c>
      <c r="C39" s="341">
        <f t="shared" si="0"/>
        <v>9.2506762104279034E-4</v>
      </c>
      <c r="D39" s="266">
        <v>5783</v>
      </c>
      <c r="E39" s="341">
        <f t="shared" si="1"/>
        <v>1.0308096766701372E-3</v>
      </c>
      <c r="F39" s="80"/>
      <c r="G39" s="344">
        <f>+'COEF Art 14 F I'!AI39</f>
        <v>3.1170829246873035E-3</v>
      </c>
      <c r="H39" s="130">
        <f t="shared" si="2"/>
        <v>60576.403537151891</v>
      </c>
      <c r="I39" s="131">
        <f t="shared" si="3"/>
        <v>67500.733485388002</v>
      </c>
      <c r="J39" s="131">
        <f t="shared" si="4"/>
        <v>174957.10010144796</v>
      </c>
      <c r="K39" s="131">
        <f t="shared" si="5"/>
        <v>303034.23712398787</v>
      </c>
      <c r="L39" s="369">
        <f t="shared" si="6"/>
        <v>1.6196819316057159E-3</v>
      </c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</row>
    <row r="40" spans="1:54">
      <c r="A40" s="73" t="s">
        <v>33</v>
      </c>
      <c r="B40" s="279">
        <v>84666</v>
      </c>
      <c r="C40" s="341">
        <f t="shared" si="0"/>
        <v>1.4636848290638924E-2</v>
      </c>
      <c r="D40" s="266">
        <v>88689</v>
      </c>
      <c r="E40" s="341">
        <f t="shared" si="1"/>
        <v>1.5808659763824624E-2</v>
      </c>
      <c r="F40" s="80"/>
      <c r="G40" s="344">
        <f>+'COEF Art 14 F I'!AI40</f>
        <v>1.6543587677819983E-2</v>
      </c>
      <c r="H40" s="130">
        <f t="shared" si="2"/>
        <v>958467.90915277554</v>
      </c>
      <c r="I40" s="131">
        <f t="shared" si="3"/>
        <v>1035201.8938415316</v>
      </c>
      <c r="J40" s="131">
        <f t="shared" si="4"/>
        <v>928566.28948227013</v>
      </c>
      <c r="K40" s="131">
        <f t="shared" si="5"/>
        <v>2922236.0924765775</v>
      </c>
      <c r="L40" s="369">
        <f t="shared" si="6"/>
        <v>1.561900412240824E-2</v>
      </c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</row>
    <row r="41" spans="1:54">
      <c r="A41" s="73" t="s">
        <v>34</v>
      </c>
      <c r="B41" s="279">
        <v>5119</v>
      </c>
      <c r="C41" s="341">
        <f t="shared" si="0"/>
        <v>8.8496003590320376E-4</v>
      </c>
      <c r="D41" s="266">
        <v>6199</v>
      </c>
      <c r="E41" s="341">
        <f t="shared" si="1"/>
        <v>1.1049609520453363E-3</v>
      </c>
      <c r="F41" s="80"/>
      <c r="G41" s="344">
        <f>+'COEF Art 14 F I'!AI41</f>
        <v>2.3530247519885222E-3</v>
      </c>
      <c r="H41" s="130">
        <f t="shared" si="2"/>
        <v>57950.029846137266</v>
      </c>
      <c r="I41" s="131">
        <f t="shared" si="3"/>
        <v>72356.397523071108</v>
      </c>
      <c r="J41" s="131">
        <f t="shared" si="4"/>
        <v>132071.68273078234</v>
      </c>
      <c r="K41" s="131">
        <f t="shared" si="5"/>
        <v>262378.11009999074</v>
      </c>
      <c r="L41" s="369">
        <f t="shared" si="6"/>
        <v>1.4023797713785459E-3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</row>
    <row r="42" spans="1:54">
      <c r="A42" s="73" t="s">
        <v>35</v>
      </c>
      <c r="B42" s="279">
        <v>1483</v>
      </c>
      <c r="C42" s="341">
        <f t="shared" si="0"/>
        <v>2.5637736535347747E-4</v>
      </c>
      <c r="D42" s="266">
        <v>1071</v>
      </c>
      <c r="E42" s="341">
        <f t="shared" si="1"/>
        <v>1.9090388443951528E-4</v>
      </c>
      <c r="F42" s="80"/>
      <c r="G42" s="344">
        <f>+'COEF Art 14 F I'!AI42</f>
        <v>2.8823894386532483E-4</v>
      </c>
      <c r="H42" s="130">
        <f t="shared" si="2"/>
        <v>16788.414585235703</v>
      </c>
      <c r="I42" s="131">
        <f t="shared" si="3"/>
        <v>12501.000443169729</v>
      </c>
      <c r="J42" s="131">
        <f t="shared" si="4"/>
        <v>16178.411345934985</v>
      </c>
      <c r="K42" s="131">
        <f t="shared" si="5"/>
        <v>45467.826374340417</v>
      </c>
      <c r="L42" s="369">
        <f t="shared" si="6"/>
        <v>2.4302012058714494E-4</v>
      </c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</row>
    <row r="43" spans="1:54">
      <c r="A43" s="73" t="s">
        <v>36</v>
      </c>
      <c r="B43" s="279">
        <v>7652</v>
      </c>
      <c r="C43" s="341">
        <f t="shared" si="0"/>
        <v>1.322858799517741E-3</v>
      </c>
      <c r="D43" s="266">
        <v>7601</v>
      </c>
      <c r="E43" s="341">
        <f t="shared" si="1"/>
        <v>1.3548650099204067E-3</v>
      </c>
      <c r="F43" s="80"/>
      <c r="G43" s="344">
        <f>+'COEF Art 14 F I'!AI43</f>
        <v>7.2295322280262857E-3</v>
      </c>
      <c r="H43" s="130">
        <f t="shared" si="2"/>
        <v>86625.049498465014</v>
      </c>
      <c r="I43" s="131">
        <f t="shared" si="3"/>
        <v>88720.919111608891</v>
      </c>
      <c r="J43" s="131">
        <f t="shared" si="4"/>
        <v>405782.59361910488</v>
      </c>
      <c r="K43" s="131">
        <f t="shared" si="5"/>
        <v>581128.56222917885</v>
      </c>
      <c r="L43" s="369">
        <f t="shared" si="6"/>
        <v>3.106063001711238E-3</v>
      </c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</row>
    <row r="44" spans="1:54">
      <c r="A44" s="73" t="s">
        <v>37</v>
      </c>
      <c r="B44" s="279">
        <v>6048</v>
      </c>
      <c r="C44" s="341">
        <f t="shared" si="0"/>
        <v>1.0455632539837032E-3</v>
      </c>
      <c r="D44" s="266">
        <v>5882</v>
      </c>
      <c r="E44" s="341">
        <f t="shared" si="1"/>
        <v>1.0484562542233697E-3</v>
      </c>
      <c r="F44" s="80"/>
      <c r="G44" s="344">
        <f>+'COEF Art 14 F I'!AI44</f>
        <v>4.4952624103567406E-3</v>
      </c>
      <c r="H44" s="130">
        <f t="shared" si="2"/>
        <v>68466.845186450126</v>
      </c>
      <c r="I44" s="131">
        <f t="shared" si="3"/>
        <v>68656.288148202017</v>
      </c>
      <c r="J44" s="131">
        <f t="shared" si="4"/>
        <v>252312.20808472962</v>
      </c>
      <c r="K44" s="131">
        <f t="shared" si="5"/>
        <v>389435.34141938179</v>
      </c>
      <c r="L44" s="369">
        <f t="shared" si="6"/>
        <v>2.0814855509794982E-3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</row>
    <row r="45" spans="1:54">
      <c r="A45" s="73" t="s">
        <v>38</v>
      </c>
      <c r="B45" s="279">
        <v>67428</v>
      </c>
      <c r="C45" s="341">
        <f t="shared" si="0"/>
        <v>1.1656785563758786E-2</v>
      </c>
      <c r="D45" s="266">
        <v>67657</v>
      </c>
      <c r="E45" s="341">
        <f t="shared" si="1"/>
        <v>1.205974239918234E-2</v>
      </c>
      <c r="F45" s="80"/>
      <c r="G45" s="344">
        <f>+'COEF Art 14 F I'!AI45</f>
        <v>1.2072840904528854E-2</v>
      </c>
      <c r="H45" s="130">
        <f t="shared" si="2"/>
        <v>763323.81567988743</v>
      </c>
      <c r="I45" s="131">
        <f t="shared" si="3"/>
        <v>789710.7254748221</v>
      </c>
      <c r="J45" s="131">
        <f t="shared" si="4"/>
        <v>677630.10663388204</v>
      </c>
      <c r="K45" s="131">
        <f t="shared" si="5"/>
        <v>2230664.6477885917</v>
      </c>
      <c r="L45" s="369">
        <f t="shared" si="6"/>
        <v>1.1922637058388051E-2</v>
      </c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</row>
    <row r="46" spans="1:54">
      <c r="A46" s="73" t="s">
        <v>39</v>
      </c>
      <c r="B46" s="279">
        <v>1142994</v>
      </c>
      <c r="C46" s="341">
        <f t="shared" si="0"/>
        <v>0.19759797055619194</v>
      </c>
      <c r="D46" s="266">
        <v>1124835</v>
      </c>
      <c r="E46" s="341">
        <f t="shared" si="1"/>
        <v>0.20049987941505337</v>
      </c>
      <c r="F46" s="80"/>
      <c r="G46" s="344">
        <f>+'COEF Art 14 F I'!AI46</f>
        <v>0.2625220958673804</v>
      </c>
      <c r="H46" s="130">
        <f t="shared" si="2"/>
        <v>12939350.735291233</v>
      </c>
      <c r="I46" s="131">
        <f t="shared" si="3"/>
        <v>13129377.062084801</v>
      </c>
      <c r="J46" s="131">
        <f t="shared" si="4"/>
        <v>14734963.976012528</v>
      </c>
      <c r="K46" s="131">
        <f t="shared" si="5"/>
        <v>40803691.773388565</v>
      </c>
      <c r="L46" s="369">
        <f t="shared" si="6"/>
        <v>0.21809087625015</v>
      </c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</row>
    <row r="47" spans="1:54">
      <c r="A47" s="73" t="s">
        <v>40</v>
      </c>
      <c r="B47" s="279">
        <v>906</v>
      </c>
      <c r="C47" s="341">
        <f t="shared" si="0"/>
        <v>1.5662703507097141E-4</v>
      </c>
      <c r="D47" s="266">
        <v>1083</v>
      </c>
      <c r="E47" s="341">
        <f t="shared" si="1"/>
        <v>1.9304286353687681E-4</v>
      </c>
      <c r="F47" s="80"/>
      <c r="G47" s="344">
        <f>+'COEF Art 14 F I'!AI47</f>
        <v>2.7261986466719E-3</v>
      </c>
      <c r="H47" s="130">
        <f t="shared" si="2"/>
        <v>10256.442086462272</v>
      </c>
      <c r="I47" s="131">
        <f t="shared" si="3"/>
        <v>12641.067675025974</v>
      </c>
      <c r="J47" s="131">
        <f t="shared" si="4"/>
        <v>153017.3630430623</v>
      </c>
      <c r="K47" s="131">
        <f t="shared" si="5"/>
        <v>175914.87280455054</v>
      </c>
      <c r="L47" s="369">
        <f t="shared" si="6"/>
        <v>9.4024405851431689E-4</v>
      </c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</row>
    <row r="48" spans="1:54">
      <c r="A48" s="73" t="s">
        <v>41</v>
      </c>
      <c r="B48" s="279">
        <v>147624</v>
      </c>
      <c r="C48" s="341">
        <f t="shared" si="0"/>
        <v>2.5520871330372057E-2</v>
      </c>
      <c r="D48" s="266">
        <v>112583</v>
      </c>
      <c r="E48" s="341">
        <f t="shared" si="1"/>
        <v>2.0067723643187627E-2</v>
      </c>
      <c r="F48" s="80"/>
      <c r="G48" s="344">
        <f>+'COEF Art 14 F I'!AI48</f>
        <v>9.606677684536321E-3</v>
      </c>
      <c r="H48" s="130">
        <f t="shared" si="2"/>
        <v>1671188.7489756141</v>
      </c>
      <c r="I48" s="131">
        <f t="shared" si="3"/>
        <v>1314099.0970059549</v>
      </c>
      <c r="J48" s="131">
        <f t="shared" si="4"/>
        <v>539208.13462618284</v>
      </c>
      <c r="K48" s="131">
        <f t="shared" si="5"/>
        <v>3524495.9806077518</v>
      </c>
      <c r="L48" s="369">
        <f t="shared" si="6"/>
        <v>1.8838011546106787E-2</v>
      </c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</row>
    <row r="49" spans="1:54">
      <c r="A49" s="73" t="s">
        <v>42</v>
      </c>
      <c r="B49" s="279">
        <v>5389</v>
      </c>
      <c r="C49" s="341">
        <f t="shared" si="0"/>
        <v>9.3163696688461914E-4</v>
      </c>
      <c r="D49" s="266">
        <v>5201</v>
      </c>
      <c r="E49" s="341">
        <f t="shared" si="1"/>
        <v>9.2706919044810367E-4</v>
      </c>
      <c r="F49" s="80"/>
      <c r="G49" s="344">
        <f>+'COEF Art 14 F I'!AI49</f>
        <v>2.6541720291195768E-3</v>
      </c>
      <c r="H49" s="130">
        <f t="shared" si="2"/>
        <v>61006.58543481808</v>
      </c>
      <c r="I49" s="131">
        <f t="shared" si="3"/>
        <v>60707.472740360194</v>
      </c>
      <c r="J49" s="131">
        <f t="shared" si="4"/>
        <v>148974.61909253534</v>
      </c>
      <c r="K49" s="131">
        <f t="shared" si="5"/>
        <v>270688.67726771359</v>
      </c>
      <c r="L49" s="369">
        <f t="shared" si="6"/>
        <v>1.4467987638023261E-3</v>
      </c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</row>
    <row r="50" spans="1:54">
      <c r="A50" s="73" t="s">
        <v>43</v>
      </c>
      <c r="B50" s="279">
        <v>2377</v>
      </c>
      <c r="C50" s="341">
        <f t="shared" si="0"/>
        <v>4.1092987015860824E-4</v>
      </c>
      <c r="D50" s="266">
        <v>2987</v>
      </c>
      <c r="E50" s="341">
        <f t="shared" si="1"/>
        <v>5.3242754698490402E-4</v>
      </c>
      <c r="F50" s="80"/>
      <c r="G50" s="344">
        <f>+'COEF Art 14 F I'!AI50</f>
        <v>1.6579702329268212E-3</v>
      </c>
      <c r="H50" s="130">
        <f t="shared" si="2"/>
        <v>26909.009756645497</v>
      </c>
      <c r="I50" s="131">
        <f t="shared" si="3"/>
        <v>34865.068462883275</v>
      </c>
      <c r="J50" s="131">
        <f t="shared" si="4"/>
        <v>93059.334966681447</v>
      </c>
      <c r="K50" s="131">
        <f t="shared" si="5"/>
        <v>154833.41318621021</v>
      </c>
      <c r="L50" s="369">
        <f t="shared" si="6"/>
        <v>8.275661658782757E-4</v>
      </c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</row>
    <row r="51" spans="1:54">
      <c r="A51" s="73" t="s">
        <v>44</v>
      </c>
      <c r="B51" s="279">
        <v>34709</v>
      </c>
      <c r="C51" s="341">
        <f t="shared" si="0"/>
        <v>6.0004059164220159E-3</v>
      </c>
      <c r="D51" s="266">
        <v>39096</v>
      </c>
      <c r="E51" s="341">
        <f t="shared" si="1"/>
        <v>6.9687938992038182E-3</v>
      </c>
      <c r="F51" s="80"/>
      <c r="G51" s="344">
        <f>+'COEF Art 14 F I'!AI51</f>
        <v>6.2089176215850356E-3</v>
      </c>
      <c r="H51" s="130">
        <f t="shared" si="2"/>
        <v>392925.88121304521</v>
      </c>
      <c r="I51" s="131">
        <f t="shared" si="3"/>
        <v>456339.04138764122</v>
      </c>
      <c r="J51" s="131">
        <f t="shared" si="4"/>
        <v>348497.05576898344</v>
      </c>
      <c r="K51" s="131">
        <f t="shared" si="5"/>
        <v>1197761.97836967</v>
      </c>
      <c r="L51" s="369">
        <f t="shared" si="6"/>
        <v>6.4018952219445533E-3</v>
      </c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</row>
    <row r="52" spans="1:54">
      <c r="A52" s="73" t="s">
        <v>45</v>
      </c>
      <c r="B52" s="279">
        <v>86766</v>
      </c>
      <c r="C52" s="341">
        <f t="shared" si="0"/>
        <v>1.4999891087161044E-2</v>
      </c>
      <c r="D52" s="266">
        <v>61868</v>
      </c>
      <c r="E52" s="341">
        <f t="shared" si="1"/>
        <v>1.1027863232963522E-2</v>
      </c>
      <c r="F52" s="80"/>
      <c r="G52" s="344">
        <f>+'COEF Art 14 F I'!AI52</f>
        <v>9.7154835908820712E-3</v>
      </c>
      <c r="H52" s="130">
        <f t="shared" si="2"/>
        <v>982241.11928695964</v>
      </c>
      <c r="I52" s="131">
        <f t="shared" si="3"/>
        <v>722139.95837350597</v>
      </c>
      <c r="J52" s="131">
        <f t="shared" si="4"/>
        <v>545315.24383954203</v>
      </c>
      <c r="K52" s="131">
        <f t="shared" si="5"/>
        <v>2249696.3215000075</v>
      </c>
      <c r="L52" s="369">
        <f t="shared" si="6"/>
        <v>1.2024359089308219E-2</v>
      </c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</row>
    <row r="53" spans="1:54">
      <c r="A53" s="73" t="s">
        <v>46</v>
      </c>
      <c r="B53" s="279">
        <v>412199</v>
      </c>
      <c r="C53" s="341">
        <f t="shared" si="0"/>
        <v>7.125994175410523E-2</v>
      </c>
      <c r="D53" s="266">
        <v>474163</v>
      </c>
      <c r="E53" s="341">
        <f t="shared" si="1"/>
        <v>8.4518728811852364E-2</v>
      </c>
      <c r="F53" s="80"/>
      <c r="G53" s="344">
        <f>+'COEF Art 14 F I'!AI53</f>
        <v>6.8777658606166012E-2</v>
      </c>
      <c r="H53" s="130">
        <f t="shared" si="2"/>
        <v>4666330.2114764471</v>
      </c>
      <c r="I53" s="131">
        <f t="shared" si="3"/>
        <v>5534558.2382209981</v>
      </c>
      <c r="J53" s="131">
        <f t="shared" si="4"/>
        <v>3860384.8509129188</v>
      </c>
      <c r="K53" s="131">
        <f t="shared" si="5"/>
        <v>14061273.300610365</v>
      </c>
      <c r="L53" s="369">
        <f t="shared" si="6"/>
        <v>7.515583227993497E-2</v>
      </c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</row>
    <row r="54" spans="1:54">
      <c r="A54" s="73" t="s">
        <v>47</v>
      </c>
      <c r="B54" s="279">
        <v>132169</v>
      </c>
      <c r="C54" s="341">
        <f t="shared" si="0"/>
        <v>2.2849049225491413E-2</v>
      </c>
      <c r="D54" s="266">
        <v>137614</v>
      </c>
      <c r="E54" s="341">
        <f t="shared" si="1"/>
        <v>2.4529455792025635E-2</v>
      </c>
      <c r="F54" s="80"/>
      <c r="G54" s="344">
        <f>+'COEF Art 14 F I'!AI54</f>
        <v>0.13376058676918373</v>
      </c>
      <c r="H54" s="130">
        <f t="shared" si="2"/>
        <v>1496229.2429642738</v>
      </c>
      <c r="I54" s="131">
        <f t="shared" si="3"/>
        <v>1606267.6703887575</v>
      </c>
      <c r="J54" s="131">
        <f t="shared" si="4"/>
        <v>7507777.2822974063</v>
      </c>
      <c r="K54" s="131">
        <f t="shared" si="5"/>
        <v>10610274.195650438</v>
      </c>
      <c r="L54" s="369">
        <f t="shared" si="6"/>
        <v>5.6710652786886098E-2</v>
      </c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</row>
    <row r="55" spans="1:54">
      <c r="A55" s="73" t="s">
        <v>48</v>
      </c>
      <c r="B55" s="279">
        <v>306322</v>
      </c>
      <c r="C55" s="341">
        <f t="shared" si="0"/>
        <v>5.2956188341070756E-2</v>
      </c>
      <c r="D55" s="266">
        <v>322051</v>
      </c>
      <c r="E55" s="341">
        <f t="shared" si="1"/>
        <v>5.7405029773697797E-2</v>
      </c>
      <c r="F55" s="80"/>
      <c r="G55" s="344">
        <f>+'COEF Art 14 F I'!AI55</f>
        <v>3.5124092242447592E-2</v>
      </c>
      <c r="H55" s="130">
        <f t="shared" si="2"/>
        <v>3467741.5593921589</v>
      </c>
      <c r="I55" s="131">
        <f t="shared" si="3"/>
        <v>3759066.0072112558</v>
      </c>
      <c r="J55" s="131">
        <f t="shared" si="4"/>
        <v>1971461.6103935908</v>
      </c>
      <c r="K55" s="131">
        <f t="shared" si="5"/>
        <v>9198269.1769970059</v>
      </c>
      <c r="L55" s="369">
        <f t="shared" si="6"/>
        <v>4.9163654012903277E-2</v>
      </c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</row>
    <row r="56" spans="1:54">
      <c r="A56" s="73" t="s">
        <v>49</v>
      </c>
      <c r="B56" s="279">
        <v>46784</v>
      </c>
      <c r="C56" s="341">
        <f t="shared" si="0"/>
        <v>8.0879019964242016E-3</v>
      </c>
      <c r="D56" s="266">
        <v>46955</v>
      </c>
      <c r="E56" s="341">
        <f t="shared" si="1"/>
        <v>8.3696469597174979E-3</v>
      </c>
      <c r="F56" s="80"/>
      <c r="G56" s="344">
        <f>+'COEF Art 14 F I'!AI56</f>
        <v>1.8298956819260533E-2</v>
      </c>
      <c r="H56" s="130">
        <f t="shared" si="2"/>
        <v>529621.83948460361</v>
      </c>
      <c r="I56" s="131">
        <f t="shared" si="3"/>
        <v>548071.40598415933</v>
      </c>
      <c r="J56" s="131">
        <f t="shared" si="4"/>
        <v>1027092.4763095954</v>
      </c>
      <c r="K56" s="131">
        <f t="shared" si="5"/>
        <v>2104785.7217783583</v>
      </c>
      <c r="L56" s="369">
        <f t="shared" si="6"/>
        <v>1.1249829180427755E-2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</row>
    <row r="57" spans="1:54">
      <c r="A57" s="73" t="s">
        <v>50</v>
      </c>
      <c r="B57" s="279">
        <v>1552</v>
      </c>
      <c r="C57" s="341">
        <f t="shared" si="0"/>
        <v>2.6830591438206137E-4</v>
      </c>
      <c r="D57" s="266">
        <v>1942</v>
      </c>
      <c r="E57" s="341">
        <f t="shared" si="1"/>
        <v>3.4615811725633865E-4</v>
      </c>
      <c r="F57" s="80"/>
      <c r="G57" s="344">
        <f>+'COEF Art 14 F I'!AI57</f>
        <v>3.8784986056536333E-3</v>
      </c>
      <c r="H57" s="130">
        <f t="shared" si="2"/>
        <v>17569.534346787466</v>
      </c>
      <c r="I57" s="131">
        <f t="shared" si="3"/>
        <v>22667.547022068735</v>
      </c>
      <c r="J57" s="131">
        <f t="shared" si="4"/>
        <v>217694.1984502197</v>
      </c>
      <c r="K57" s="131">
        <f t="shared" si="5"/>
        <v>257931.27981907589</v>
      </c>
      <c r="L57" s="369">
        <f t="shared" si="6"/>
        <v>1.3786119927695301E-3</v>
      </c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</row>
    <row r="58" spans="1:54">
      <c r="A58" s="73" t="s">
        <v>51</v>
      </c>
      <c r="B58" s="279">
        <v>3573</v>
      </c>
      <c r="C58" s="341">
        <f t="shared" si="0"/>
        <v>6.1769138665406279E-4</v>
      </c>
      <c r="D58" s="266">
        <v>4567</v>
      </c>
      <c r="E58" s="341">
        <f t="shared" si="1"/>
        <v>8.1405979480417019E-4</v>
      </c>
      <c r="F58" s="80"/>
      <c r="G58" s="344">
        <f>+'COEF Art 14 F I'!AI58</f>
        <v>2.3564300672795639E-3</v>
      </c>
      <c r="H58" s="130">
        <f t="shared" si="2"/>
        <v>40448.418956876048</v>
      </c>
      <c r="I58" s="131">
        <f t="shared" si="3"/>
        <v>53307.253990621997</v>
      </c>
      <c r="J58" s="131">
        <f t="shared" si="4"/>
        <v>132262.81787304408</v>
      </c>
      <c r="K58" s="131">
        <f t="shared" si="5"/>
        <v>226018.49082054212</v>
      </c>
      <c r="L58" s="369">
        <f t="shared" si="6"/>
        <v>1.2080419336942508E-3</v>
      </c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</row>
    <row r="59" spans="1:54" ht="13.5" thickBot="1">
      <c r="A59" s="97" t="s">
        <v>52</v>
      </c>
      <c r="B59" s="281">
        <f>SUM(B8:B58)</f>
        <v>5784442</v>
      </c>
      <c r="C59" s="342">
        <f>SUM(C8:C58)</f>
        <v>1.0000000000000002</v>
      </c>
      <c r="D59" s="267">
        <f>SUM(D8:D58)</f>
        <v>5610153</v>
      </c>
      <c r="E59" s="342">
        <f t="shared" si="1"/>
        <v>1</v>
      </c>
      <c r="F59" s="80"/>
      <c r="G59" s="345">
        <f t="shared" ref="G59:L59" si="7">SUM(G8:G58)</f>
        <v>0.99999999999999978</v>
      </c>
      <c r="H59" s="133">
        <f t="shared" si="7"/>
        <v>65483216.75</v>
      </c>
      <c r="I59" s="134">
        <f t="shared" si="7"/>
        <v>65483216.749999978</v>
      </c>
      <c r="J59" s="134">
        <f t="shared" si="7"/>
        <v>56128471.500000007</v>
      </c>
      <c r="K59" s="134">
        <f t="shared" si="7"/>
        <v>187094904.99999997</v>
      </c>
      <c r="L59" s="346">
        <f t="shared" si="7"/>
        <v>1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</row>
    <row r="60" spans="1:54" ht="13.5" thickTop="1">
      <c r="A60" s="80"/>
      <c r="B60" s="80"/>
      <c r="C60" s="111"/>
      <c r="D60" s="80"/>
      <c r="E60" s="111"/>
      <c r="F60" s="80"/>
      <c r="G60" s="111"/>
      <c r="H60" s="80"/>
      <c r="I60" s="80"/>
      <c r="J60" s="80"/>
      <c r="K60" s="80"/>
      <c r="L60" s="111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</row>
    <row r="61" spans="1:54" ht="15.75" customHeight="1">
      <c r="A61" s="80" t="s">
        <v>87</v>
      </c>
      <c r="B61" s="80"/>
      <c r="C61" s="111"/>
      <c r="D61" s="80"/>
      <c r="E61" s="111"/>
      <c r="F61" s="80"/>
      <c r="G61" s="111"/>
      <c r="H61" s="80"/>
      <c r="I61" s="80"/>
      <c r="J61" s="80"/>
      <c r="K61" s="80"/>
      <c r="L61" s="111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</row>
    <row r="62" spans="1:54">
      <c r="A62" s="80" t="s">
        <v>323</v>
      </c>
      <c r="B62" s="80"/>
      <c r="C62" s="111"/>
      <c r="D62" s="80"/>
      <c r="E62" s="111"/>
      <c r="F62" s="80"/>
      <c r="G62" s="111"/>
      <c r="H62" s="80"/>
      <c r="I62" s="80"/>
      <c r="J62" s="80"/>
      <c r="K62" s="80"/>
      <c r="L62" s="111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</row>
    <row r="63" spans="1:54">
      <c r="A63" s="80" t="s">
        <v>114</v>
      </c>
      <c r="B63" s="80"/>
      <c r="C63" s="111"/>
      <c r="D63" s="80"/>
      <c r="E63" s="111"/>
      <c r="F63" s="80"/>
      <c r="G63" s="111"/>
      <c r="H63" s="80"/>
      <c r="I63" s="80"/>
      <c r="J63" s="80"/>
      <c r="K63" s="80"/>
      <c r="L63" s="111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</row>
    <row r="64" spans="1:54">
      <c r="A64" s="80"/>
      <c r="B64" s="80"/>
      <c r="C64" s="111"/>
      <c r="D64" s="80"/>
      <c r="E64" s="111"/>
      <c r="F64" s="80"/>
      <c r="G64" s="111"/>
      <c r="H64" s="80"/>
      <c r="I64" s="80"/>
      <c r="J64" s="80"/>
      <c r="K64" s="80"/>
      <c r="L64" s="111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</row>
    <row r="65" spans="1:54">
      <c r="A65" s="80"/>
      <c r="B65" s="80"/>
      <c r="C65" s="111"/>
      <c r="D65" s="80"/>
      <c r="E65" s="111"/>
      <c r="F65" s="80"/>
      <c r="G65" s="111"/>
      <c r="H65" s="80"/>
      <c r="I65" s="80"/>
      <c r="J65" s="80"/>
      <c r="K65" s="80"/>
      <c r="L65" s="111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</row>
    <row r="66" spans="1:54">
      <c r="A66" s="80"/>
      <c r="B66" s="80"/>
      <c r="C66" s="111"/>
      <c r="D66" s="80"/>
      <c r="E66" s="111"/>
      <c r="F66" s="80"/>
      <c r="G66" s="111"/>
      <c r="H66" s="80"/>
      <c r="I66" s="80"/>
      <c r="J66" s="80"/>
      <c r="K66" s="80"/>
      <c r="L66" s="111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</row>
    <row r="67" spans="1:54">
      <c r="A67" s="80"/>
      <c r="B67" s="80"/>
      <c r="C67" s="111"/>
      <c r="D67" s="80"/>
      <c r="E67" s="111"/>
      <c r="F67" s="80"/>
      <c r="G67" s="111"/>
      <c r="H67" s="80"/>
      <c r="I67" s="80"/>
      <c r="J67" s="80"/>
      <c r="K67" s="80"/>
      <c r="L67" s="111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</row>
    <row r="68" spans="1:54">
      <c r="A68" s="80"/>
      <c r="B68" s="80"/>
      <c r="C68" s="111"/>
      <c r="D68" s="80"/>
      <c r="E68" s="111"/>
      <c r="F68" s="80"/>
      <c r="G68" s="111"/>
      <c r="H68" s="80"/>
      <c r="I68" s="80"/>
      <c r="J68" s="80"/>
      <c r="K68" s="80"/>
      <c r="L68" s="111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</row>
    <row r="69" spans="1:54">
      <c r="A69" s="80"/>
      <c r="B69" s="80"/>
      <c r="C69" s="111"/>
      <c r="D69" s="80"/>
      <c r="E69" s="111"/>
      <c r="F69" s="80"/>
      <c r="G69" s="111"/>
      <c r="H69" s="80"/>
      <c r="I69" s="80"/>
      <c r="J69" s="80"/>
      <c r="K69" s="80"/>
      <c r="L69" s="111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</row>
    <row r="70" spans="1:54">
      <c r="A70" s="80"/>
      <c r="B70" s="80"/>
      <c r="C70" s="111"/>
      <c r="D70" s="80"/>
      <c r="E70" s="111"/>
      <c r="F70" s="80"/>
      <c r="G70" s="111"/>
      <c r="H70" s="80"/>
      <c r="I70" s="80"/>
      <c r="J70" s="80"/>
      <c r="K70" s="80"/>
      <c r="L70" s="111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</row>
    <row r="71" spans="1:54">
      <c r="A71" s="80"/>
      <c r="B71" s="80"/>
      <c r="C71" s="111"/>
      <c r="D71" s="80"/>
      <c r="E71" s="111"/>
      <c r="F71" s="80"/>
      <c r="G71" s="111"/>
      <c r="H71" s="80"/>
      <c r="I71" s="80"/>
      <c r="J71" s="80"/>
      <c r="K71" s="80"/>
      <c r="L71" s="111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</row>
    <row r="72" spans="1:54">
      <c r="A72" s="80"/>
      <c r="B72" s="80"/>
      <c r="C72" s="111"/>
      <c r="D72" s="80"/>
      <c r="E72" s="111"/>
      <c r="F72" s="80"/>
      <c r="G72" s="111"/>
      <c r="H72" s="80"/>
      <c r="I72" s="80"/>
      <c r="J72" s="80"/>
      <c r="K72" s="80"/>
      <c r="L72" s="111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</row>
    <row r="73" spans="1:54">
      <c r="A73" s="80"/>
      <c r="B73" s="80"/>
      <c r="C73" s="111"/>
      <c r="D73" s="80"/>
      <c r="E73" s="111"/>
      <c r="F73" s="80"/>
      <c r="G73" s="111"/>
      <c r="H73" s="80"/>
      <c r="I73" s="80"/>
      <c r="J73" s="80"/>
      <c r="K73" s="80"/>
      <c r="L73" s="111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</row>
    <row r="74" spans="1:54">
      <c r="A74" s="80"/>
      <c r="B74" s="80"/>
      <c r="C74" s="111"/>
      <c r="D74" s="80"/>
      <c r="E74" s="111"/>
      <c r="F74" s="80"/>
      <c r="G74" s="111"/>
      <c r="H74" s="80"/>
      <c r="I74" s="80"/>
      <c r="J74" s="80"/>
      <c r="K74" s="80"/>
      <c r="L74" s="111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</row>
    <row r="75" spans="1:54">
      <c r="A75" s="80"/>
      <c r="B75" s="80"/>
      <c r="C75" s="111"/>
      <c r="D75" s="80"/>
      <c r="E75" s="111"/>
      <c r="F75" s="80"/>
      <c r="G75" s="111"/>
      <c r="H75" s="80"/>
      <c r="I75" s="80"/>
      <c r="J75" s="80"/>
      <c r="K75" s="80"/>
      <c r="L75" s="111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</row>
    <row r="76" spans="1:54">
      <c r="A76" s="80"/>
      <c r="B76" s="80"/>
      <c r="C76" s="111"/>
      <c r="D76" s="80"/>
      <c r="E76" s="111"/>
      <c r="F76" s="80"/>
      <c r="G76" s="111"/>
      <c r="H76" s="80"/>
      <c r="I76" s="80"/>
      <c r="J76" s="80"/>
      <c r="K76" s="80"/>
      <c r="L76" s="111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</row>
    <row r="77" spans="1:54">
      <c r="A77" s="80"/>
      <c r="B77" s="80"/>
      <c r="C77" s="111"/>
      <c r="D77" s="80"/>
      <c r="E77" s="111"/>
      <c r="F77" s="80"/>
      <c r="G77" s="111"/>
      <c r="H77" s="80"/>
      <c r="I77" s="80"/>
      <c r="J77" s="80"/>
      <c r="K77" s="80"/>
      <c r="L77" s="111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</row>
    <row r="78" spans="1:54">
      <c r="A78" s="80"/>
      <c r="B78" s="80"/>
      <c r="C78" s="111"/>
      <c r="D78" s="80"/>
      <c r="E78" s="111"/>
      <c r="F78" s="80"/>
      <c r="G78" s="111"/>
      <c r="H78" s="80"/>
      <c r="I78" s="80"/>
      <c r="J78" s="80"/>
      <c r="K78" s="80"/>
      <c r="L78" s="111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</row>
    <row r="79" spans="1:54">
      <c r="A79" s="80"/>
      <c r="B79" s="80"/>
      <c r="C79" s="111"/>
      <c r="D79" s="80"/>
      <c r="E79" s="111"/>
      <c r="F79" s="80"/>
      <c r="G79" s="111"/>
      <c r="H79" s="80"/>
      <c r="I79" s="80"/>
      <c r="J79" s="80"/>
      <c r="K79" s="80"/>
      <c r="L79" s="111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</row>
    <row r="80" spans="1:54">
      <c r="A80" s="80"/>
      <c r="B80" s="80"/>
      <c r="C80" s="111"/>
      <c r="D80" s="80"/>
      <c r="E80" s="111"/>
      <c r="F80" s="80"/>
      <c r="G80" s="111"/>
      <c r="H80" s="80"/>
      <c r="I80" s="80"/>
      <c r="J80" s="80"/>
      <c r="K80" s="80"/>
      <c r="L80" s="111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</row>
    <row r="81" spans="1:54">
      <c r="A81" s="80"/>
      <c r="B81" s="80"/>
      <c r="C81" s="111"/>
      <c r="D81" s="80"/>
      <c r="E81" s="111"/>
      <c r="F81" s="80"/>
      <c r="G81" s="111"/>
      <c r="H81" s="80"/>
      <c r="I81" s="80"/>
      <c r="J81" s="80"/>
      <c r="K81" s="80"/>
      <c r="L81" s="111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</row>
    <row r="82" spans="1:54">
      <c r="A82" s="80"/>
      <c r="B82" s="80"/>
      <c r="C82" s="111"/>
      <c r="D82" s="80"/>
      <c r="E82" s="111"/>
      <c r="F82" s="80"/>
      <c r="G82" s="111"/>
      <c r="H82" s="80"/>
      <c r="I82" s="80"/>
      <c r="J82" s="80"/>
      <c r="K82" s="80"/>
      <c r="L82" s="111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</row>
    <row r="83" spans="1:54">
      <c r="A83" s="80"/>
      <c r="B83" s="80"/>
      <c r="C83" s="111"/>
      <c r="D83" s="80"/>
      <c r="E83" s="111"/>
      <c r="F83" s="80"/>
      <c r="G83" s="111"/>
      <c r="H83" s="80"/>
      <c r="I83" s="80"/>
      <c r="J83" s="80"/>
      <c r="K83" s="80"/>
      <c r="L83" s="111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</row>
    <row r="84" spans="1:54">
      <c r="A84" s="80"/>
      <c r="B84" s="80"/>
      <c r="C84" s="111"/>
      <c r="D84" s="80"/>
      <c r="E84" s="111"/>
      <c r="F84" s="80"/>
      <c r="G84" s="111"/>
      <c r="H84" s="80"/>
      <c r="I84" s="80"/>
      <c r="J84" s="80"/>
      <c r="K84" s="80"/>
      <c r="L84" s="111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</row>
    <row r="85" spans="1:54">
      <c r="A85" s="80"/>
      <c r="B85" s="80"/>
      <c r="C85" s="111"/>
      <c r="D85" s="80"/>
      <c r="E85" s="111"/>
      <c r="F85" s="80"/>
      <c r="G85" s="111"/>
      <c r="H85" s="80"/>
      <c r="I85" s="80"/>
      <c r="J85" s="80"/>
      <c r="K85" s="80"/>
      <c r="L85" s="111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</row>
    <row r="86" spans="1:54">
      <c r="A86" s="80"/>
      <c r="B86" s="80"/>
      <c r="C86" s="111"/>
      <c r="D86" s="80"/>
      <c r="E86" s="111"/>
      <c r="F86" s="80"/>
      <c r="G86" s="111"/>
      <c r="H86" s="80"/>
      <c r="I86" s="80"/>
      <c r="J86" s="80"/>
      <c r="K86" s="80"/>
      <c r="L86" s="111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</row>
    <row r="87" spans="1:54">
      <c r="A87" s="80"/>
      <c r="B87" s="80"/>
      <c r="C87" s="111"/>
      <c r="D87" s="80"/>
      <c r="E87" s="111"/>
      <c r="F87" s="80"/>
      <c r="G87" s="111"/>
      <c r="H87" s="80"/>
      <c r="I87" s="80"/>
      <c r="J87" s="80"/>
      <c r="K87" s="80"/>
      <c r="L87" s="111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</row>
    <row r="88" spans="1:54">
      <c r="A88" s="80"/>
      <c r="B88" s="80"/>
      <c r="C88" s="111"/>
      <c r="D88" s="80"/>
      <c r="E88" s="111"/>
      <c r="F88" s="80"/>
      <c r="G88" s="111"/>
      <c r="H88" s="80"/>
      <c r="I88" s="80"/>
      <c r="J88" s="80"/>
      <c r="K88" s="80"/>
      <c r="L88" s="111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</row>
    <row r="89" spans="1:54">
      <c r="A89" s="80"/>
      <c r="B89" s="80"/>
      <c r="C89" s="111"/>
      <c r="D89" s="80"/>
      <c r="E89" s="111"/>
      <c r="F89" s="80"/>
      <c r="G89" s="111"/>
      <c r="H89" s="80"/>
      <c r="I89" s="80"/>
      <c r="J89" s="80"/>
      <c r="K89" s="80"/>
      <c r="L89" s="111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</row>
    <row r="90" spans="1:54">
      <c r="A90" s="80"/>
      <c r="B90" s="80"/>
      <c r="C90" s="111"/>
      <c r="D90" s="80"/>
      <c r="E90" s="111"/>
      <c r="F90" s="80"/>
      <c r="G90" s="111"/>
      <c r="H90" s="80"/>
      <c r="I90" s="80"/>
      <c r="J90" s="80"/>
      <c r="K90" s="80"/>
      <c r="L90" s="111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</row>
    <row r="91" spans="1:54">
      <c r="A91" s="80"/>
      <c r="B91" s="80"/>
      <c r="C91" s="111"/>
      <c r="D91" s="80"/>
      <c r="E91" s="111"/>
      <c r="F91" s="80"/>
      <c r="G91" s="111"/>
      <c r="H91" s="80"/>
      <c r="I91" s="80"/>
      <c r="J91" s="80"/>
      <c r="K91" s="80"/>
      <c r="L91" s="111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</row>
    <row r="92" spans="1:54">
      <c r="A92" s="80"/>
      <c r="B92" s="80"/>
      <c r="C92" s="111"/>
      <c r="D92" s="80"/>
      <c r="E92" s="111"/>
      <c r="F92" s="80"/>
      <c r="G92" s="111"/>
      <c r="H92" s="80"/>
      <c r="I92" s="80"/>
      <c r="J92" s="80"/>
      <c r="K92" s="80"/>
      <c r="L92" s="111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</row>
    <row r="93" spans="1:54">
      <c r="A93" s="80"/>
      <c r="B93" s="80"/>
      <c r="C93" s="111"/>
      <c r="D93" s="80"/>
      <c r="E93" s="111"/>
      <c r="F93" s="80"/>
      <c r="G93" s="111"/>
      <c r="H93" s="80"/>
      <c r="I93" s="80"/>
      <c r="J93" s="80"/>
      <c r="K93" s="80"/>
      <c r="L93" s="111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</row>
    <row r="94" spans="1:54">
      <c r="A94" s="80"/>
      <c r="B94" s="80"/>
      <c r="C94" s="111"/>
      <c r="D94" s="80"/>
      <c r="E94" s="111"/>
      <c r="F94" s="80"/>
      <c r="G94" s="111"/>
      <c r="H94" s="80"/>
      <c r="I94" s="80"/>
      <c r="J94" s="80"/>
      <c r="K94" s="80"/>
      <c r="L94" s="111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</row>
    <row r="95" spans="1:54">
      <c r="A95" s="80"/>
      <c r="B95" s="80"/>
      <c r="C95" s="111"/>
      <c r="D95" s="80"/>
      <c r="E95" s="111"/>
      <c r="F95" s="80"/>
      <c r="G95" s="111"/>
      <c r="H95" s="80"/>
      <c r="I95" s="80"/>
      <c r="J95" s="80"/>
      <c r="K95" s="80"/>
      <c r="L95" s="111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</row>
    <row r="96" spans="1:54">
      <c r="A96" s="80"/>
      <c r="B96" s="80"/>
      <c r="C96" s="111"/>
      <c r="D96" s="80"/>
      <c r="E96" s="111"/>
      <c r="F96" s="80"/>
      <c r="G96" s="111"/>
      <c r="H96" s="80"/>
      <c r="I96" s="80"/>
      <c r="J96" s="80"/>
      <c r="K96" s="80"/>
      <c r="L96" s="111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</row>
    <row r="97" spans="1:54">
      <c r="A97" s="80"/>
      <c r="B97" s="80"/>
      <c r="C97" s="111"/>
      <c r="D97" s="80"/>
      <c r="E97" s="111"/>
      <c r="F97" s="80"/>
      <c r="G97" s="111"/>
      <c r="H97" s="80"/>
      <c r="I97" s="80"/>
      <c r="J97" s="80"/>
      <c r="K97" s="80"/>
      <c r="L97" s="111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</row>
    <row r="98" spans="1:54">
      <c r="A98" s="80"/>
      <c r="B98" s="80"/>
      <c r="C98" s="111"/>
      <c r="D98" s="80"/>
      <c r="E98" s="111"/>
      <c r="F98" s="80"/>
      <c r="G98" s="111"/>
      <c r="H98" s="80"/>
      <c r="I98" s="80"/>
      <c r="J98" s="80"/>
      <c r="K98" s="80"/>
      <c r="L98" s="111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</row>
    <row r="99" spans="1:54">
      <c r="A99" s="80"/>
      <c r="B99" s="80"/>
      <c r="C99" s="111"/>
      <c r="D99" s="80"/>
      <c r="E99" s="111"/>
      <c r="F99" s="80"/>
      <c r="G99" s="111"/>
      <c r="H99" s="80"/>
      <c r="I99" s="80"/>
      <c r="J99" s="80"/>
      <c r="K99" s="80"/>
      <c r="L99" s="111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</row>
    <row r="100" spans="1:54">
      <c r="A100" s="80"/>
      <c r="B100" s="80"/>
      <c r="C100" s="111"/>
      <c r="D100" s="80"/>
      <c r="E100" s="111"/>
      <c r="F100" s="80"/>
      <c r="G100" s="111"/>
      <c r="H100" s="80"/>
      <c r="I100" s="80"/>
      <c r="J100" s="80"/>
      <c r="K100" s="80"/>
      <c r="L100" s="111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</row>
    <row r="101" spans="1:54">
      <c r="A101" s="80"/>
      <c r="B101" s="80"/>
      <c r="C101" s="111"/>
      <c r="D101" s="80"/>
      <c r="E101" s="111"/>
      <c r="F101" s="80"/>
      <c r="G101" s="111"/>
      <c r="H101" s="80"/>
      <c r="I101" s="80"/>
      <c r="J101" s="80"/>
      <c r="K101" s="80"/>
      <c r="L101" s="111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</row>
    <row r="102" spans="1:54">
      <c r="A102" s="80"/>
      <c r="B102" s="80"/>
      <c r="C102" s="111"/>
      <c r="D102" s="80"/>
      <c r="E102" s="111"/>
      <c r="F102" s="80"/>
      <c r="G102" s="111"/>
      <c r="H102" s="80"/>
      <c r="I102" s="80"/>
      <c r="J102" s="80"/>
      <c r="K102" s="80"/>
      <c r="L102" s="111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</row>
    <row r="103" spans="1:54">
      <c r="A103" s="80"/>
      <c r="B103" s="80"/>
      <c r="C103" s="111"/>
      <c r="D103" s="80"/>
      <c r="E103" s="111"/>
      <c r="F103" s="80"/>
      <c r="G103" s="111"/>
      <c r="H103" s="80"/>
      <c r="I103" s="80"/>
      <c r="J103" s="80"/>
      <c r="K103" s="80"/>
      <c r="L103" s="111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</row>
    <row r="104" spans="1:54">
      <c r="A104" s="80"/>
      <c r="B104" s="80"/>
      <c r="C104" s="111"/>
      <c r="D104" s="80"/>
      <c r="E104" s="111"/>
      <c r="F104" s="80"/>
      <c r="G104" s="111"/>
      <c r="H104" s="80"/>
      <c r="I104" s="80"/>
      <c r="J104" s="80"/>
      <c r="K104" s="80"/>
      <c r="L104" s="111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</row>
    <row r="105" spans="1:54">
      <c r="A105" s="80"/>
      <c r="B105" s="80"/>
      <c r="C105" s="111"/>
      <c r="D105" s="80"/>
      <c r="E105" s="111"/>
      <c r="F105" s="80"/>
      <c r="G105" s="111"/>
      <c r="H105" s="80"/>
      <c r="I105" s="80"/>
      <c r="J105" s="80"/>
      <c r="K105" s="80"/>
      <c r="L105" s="111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</row>
    <row r="106" spans="1:54">
      <c r="A106" s="80"/>
      <c r="B106" s="80"/>
      <c r="C106" s="111"/>
      <c r="D106" s="80"/>
      <c r="E106" s="111"/>
      <c r="F106" s="80"/>
      <c r="G106" s="111"/>
      <c r="H106" s="80"/>
      <c r="I106" s="80"/>
      <c r="J106" s="80"/>
      <c r="K106" s="80"/>
      <c r="L106" s="111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</row>
    <row r="107" spans="1:54">
      <c r="A107" s="80"/>
      <c r="B107" s="80"/>
      <c r="C107" s="111"/>
      <c r="D107" s="80"/>
      <c r="E107" s="111"/>
      <c r="F107" s="80"/>
      <c r="G107" s="111"/>
      <c r="H107" s="80"/>
      <c r="I107" s="80"/>
      <c r="J107" s="80"/>
      <c r="K107" s="80"/>
      <c r="L107" s="111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</row>
    <row r="108" spans="1:54">
      <c r="A108" s="80"/>
      <c r="B108" s="80"/>
      <c r="C108" s="111"/>
      <c r="D108" s="80"/>
      <c r="E108" s="111"/>
      <c r="F108" s="80"/>
      <c r="G108" s="111"/>
      <c r="H108" s="80"/>
      <c r="I108" s="80"/>
      <c r="J108" s="80"/>
      <c r="K108" s="80"/>
      <c r="L108" s="111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</row>
    <row r="109" spans="1:54">
      <c r="A109" s="80"/>
      <c r="B109" s="80"/>
      <c r="C109" s="111"/>
      <c r="D109" s="80"/>
      <c r="E109" s="111"/>
      <c r="F109" s="80"/>
      <c r="G109" s="111"/>
      <c r="H109" s="80"/>
      <c r="I109" s="80"/>
      <c r="J109" s="80"/>
      <c r="K109" s="80"/>
      <c r="L109" s="111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</row>
    <row r="110" spans="1:54">
      <c r="A110" s="80"/>
      <c r="B110" s="80"/>
      <c r="C110" s="111"/>
      <c r="D110" s="80"/>
      <c r="E110" s="111"/>
      <c r="F110" s="80"/>
      <c r="G110" s="111"/>
      <c r="H110" s="80"/>
      <c r="I110" s="80"/>
      <c r="J110" s="80"/>
      <c r="K110" s="80"/>
      <c r="L110" s="111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</row>
    <row r="111" spans="1:54">
      <c r="A111" s="80"/>
      <c r="B111" s="80"/>
      <c r="C111" s="111"/>
      <c r="D111" s="80"/>
      <c r="E111" s="111"/>
      <c r="F111" s="80"/>
      <c r="G111" s="111"/>
      <c r="H111" s="80"/>
      <c r="I111" s="80"/>
      <c r="J111" s="80"/>
      <c r="K111" s="80"/>
      <c r="L111" s="111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</row>
    <row r="112" spans="1:54">
      <c r="A112" s="80"/>
      <c r="B112" s="80"/>
      <c r="C112" s="111"/>
      <c r="D112" s="80"/>
      <c r="E112" s="111"/>
      <c r="F112" s="80"/>
      <c r="G112" s="111"/>
      <c r="H112" s="80"/>
      <c r="I112" s="80"/>
      <c r="J112" s="80"/>
      <c r="K112" s="80"/>
      <c r="L112" s="111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</row>
    <row r="113" spans="1:54">
      <c r="A113" s="80"/>
      <c r="B113" s="80"/>
      <c r="C113" s="111"/>
      <c r="D113" s="80"/>
      <c r="E113" s="111"/>
      <c r="F113" s="80"/>
      <c r="G113" s="111"/>
      <c r="H113" s="80"/>
      <c r="I113" s="80"/>
      <c r="J113" s="80"/>
      <c r="K113" s="80"/>
      <c r="L113" s="111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</row>
    <row r="114" spans="1:54">
      <c r="A114" s="80"/>
      <c r="B114" s="80"/>
      <c r="C114" s="111"/>
      <c r="D114" s="80"/>
      <c r="E114" s="111"/>
      <c r="F114" s="80"/>
      <c r="G114" s="111"/>
      <c r="H114" s="80"/>
      <c r="I114" s="80"/>
      <c r="J114" s="80"/>
      <c r="K114" s="80"/>
      <c r="L114" s="111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</row>
    <row r="115" spans="1:54">
      <c r="A115" s="80"/>
      <c r="B115" s="80"/>
      <c r="C115" s="111"/>
      <c r="D115" s="80"/>
      <c r="E115" s="111"/>
      <c r="F115" s="80"/>
      <c r="G115" s="111"/>
      <c r="H115" s="80"/>
      <c r="I115" s="80"/>
      <c r="J115" s="80"/>
      <c r="K115" s="80"/>
      <c r="L115" s="111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</row>
    <row r="116" spans="1:54">
      <c r="A116" s="80"/>
      <c r="B116" s="80"/>
      <c r="C116" s="111"/>
      <c r="D116" s="80"/>
      <c r="E116" s="111"/>
      <c r="F116" s="80"/>
      <c r="G116" s="111"/>
      <c r="H116" s="80"/>
      <c r="I116" s="80"/>
      <c r="J116" s="80"/>
      <c r="K116" s="80"/>
      <c r="L116" s="111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</row>
    <row r="117" spans="1:54">
      <c r="A117" s="80"/>
      <c r="B117" s="80"/>
      <c r="C117" s="111"/>
      <c r="D117" s="80"/>
      <c r="E117" s="111"/>
      <c r="F117" s="80"/>
      <c r="G117" s="111"/>
      <c r="H117" s="80"/>
      <c r="I117" s="80"/>
      <c r="J117" s="80"/>
      <c r="K117" s="80"/>
      <c r="L117" s="111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</row>
    <row r="118" spans="1:54">
      <c r="A118" s="80"/>
      <c r="B118" s="80"/>
      <c r="C118" s="111"/>
      <c r="D118" s="80"/>
      <c r="E118" s="111"/>
      <c r="F118" s="80"/>
      <c r="G118" s="111"/>
      <c r="H118" s="80"/>
      <c r="I118" s="80"/>
      <c r="J118" s="80"/>
      <c r="K118" s="80"/>
      <c r="L118" s="111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</row>
    <row r="119" spans="1:54">
      <c r="A119" s="80"/>
      <c r="B119" s="80"/>
      <c r="C119" s="111"/>
      <c r="D119" s="80"/>
      <c r="E119" s="111"/>
      <c r="F119" s="80"/>
      <c r="G119" s="111"/>
      <c r="H119" s="80"/>
      <c r="I119" s="80"/>
      <c r="J119" s="80"/>
      <c r="K119" s="80"/>
      <c r="L119" s="111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</row>
    <row r="120" spans="1:54">
      <c r="A120" s="80"/>
      <c r="B120" s="80"/>
      <c r="C120" s="111"/>
      <c r="D120" s="80"/>
      <c r="E120" s="111"/>
      <c r="F120" s="80"/>
      <c r="G120" s="111"/>
      <c r="H120" s="80"/>
      <c r="I120" s="80"/>
      <c r="J120" s="80"/>
      <c r="K120" s="80"/>
      <c r="L120" s="111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</row>
    <row r="121" spans="1:54">
      <c r="A121" s="80"/>
      <c r="B121" s="80"/>
      <c r="C121" s="111"/>
      <c r="D121" s="80"/>
      <c r="E121" s="111"/>
      <c r="F121" s="80"/>
      <c r="G121" s="111"/>
      <c r="H121" s="80"/>
      <c r="I121" s="80"/>
      <c r="J121" s="80"/>
      <c r="K121" s="80"/>
      <c r="L121" s="111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</row>
    <row r="122" spans="1:54">
      <c r="A122" s="80"/>
      <c r="B122" s="80"/>
      <c r="C122" s="111"/>
      <c r="D122" s="80"/>
      <c r="E122" s="111"/>
      <c r="F122" s="80"/>
      <c r="G122" s="111"/>
      <c r="H122" s="80"/>
      <c r="I122" s="80"/>
      <c r="J122" s="80"/>
      <c r="K122" s="80"/>
      <c r="L122" s="111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</row>
    <row r="123" spans="1:54">
      <c r="A123" s="80"/>
      <c r="B123" s="80"/>
      <c r="C123" s="111"/>
      <c r="D123" s="80"/>
      <c r="E123" s="111"/>
      <c r="F123" s="80"/>
      <c r="G123" s="111"/>
      <c r="H123" s="80"/>
      <c r="I123" s="80"/>
      <c r="J123" s="80"/>
      <c r="K123" s="80"/>
      <c r="L123" s="111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</row>
    <row r="124" spans="1:54">
      <c r="A124" s="80"/>
      <c r="B124" s="80"/>
      <c r="C124" s="111"/>
      <c r="D124" s="80"/>
      <c r="E124" s="111"/>
      <c r="F124" s="80"/>
      <c r="G124" s="111"/>
      <c r="H124" s="80"/>
      <c r="I124" s="80"/>
      <c r="J124" s="80"/>
      <c r="K124" s="80"/>
      <c r="L124" s="111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</row>
    <row r="125" spans="1:54">
      <c r="A125" s="80"/>
      <c r="B125" s="80"/>
      <c r="C125" s="111"/>
      <c r="D125" s="80"/>
      <c r="E125" s="111"/>
      <c r="F125" s="80"/>
      <c r="G125" s="111"/>
      <c r="H125" s="80"/>
      <c r="I125" s="80"/>
      <c r="J125" s="80"/>
      <c r="K125" s="80"/>
      <c r="L125" s="111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</row>
    <row r="126" spans="1:54">
      <c r="A126" s="80"/>
      <c r="B126" s="80"/>
      <c r="C126" s="111"/>
      <c r="D126" s="80"/>
      <c r="E126" s="111"/>
      <c r="F126" s="80"/>
      <c r="G126" s="111"/>
      <c r="H126" s="80"/>
      <c r="I126" s="80"/>
      <c r="J126" s="80"/>
      <c r="K126" s="80"/>
      <c r="L126" s="11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</row>
    <row r="127" spans="1:54">
      <c r="A127" s="80"/>
      <c r="B127" s="80"/>
      <c r="C127" s="111"/>
      <c r="D127" s="80"/>
      <c r="E127" s="111"/>
      <c r="F127" s="80"/>
      <c r="G127" s="111"/>
      <c r="H127" s="80"/>
      <c r="I127" s="80"/>
      <c r="J127" s="80"/>
      <c r="K127" s="80"/>
      <c r="L127" s="111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</row>
    <row r="128" spans="1:54">
      <c r="A128" s="80"/>
      <c r="B128" s="80"/>
      <c r="C128" s="111"/>
      <c r="D128" s="80"/>
      <c r="E128" s="111"/>
      <c r="F128" s="80"/>
      <c r="G128" s="111"/>
      <c r="H128" s="80"/>
      <c r="I128" s="80"/>
      <c r="J128" s="80"/>
      <c r="K128" s="80"/>
      <c r="L128" s="111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</row>
    <row r="129" spans="1:54">
      <c r="A129" s="80"/>
      <c r="B129" s="80"/>
      <c r="C129" s="111"/>
      <c r="D129" s="80"/>
      <c r="E129" s="111"/>
      <c r="F129" s="80"/>
      <c r="G129" s="111"/>
      <c r="H129" s="80"/>
      <c r="I129" s="80"/>
      <c r="J129" s="80"/>
      <c r="K129" s="80"/>
      <c r="L129" s="111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</row>
    <row r="130" spans="1:54">
      <c r="A130" s="80"/>
      <c r="B130" s="80"/>
      <c r="C130" s="111"/>
      <c r="D130" s="80"/>
      <c r="E130" s="111"/>
      <c r="F130" s="80"/>
      <c r="G130" s="111"/>
      <c r="H130" s="80"/>
      <c r="I130" s="80"/>
      <c r="J130" s="80"/>
      <c r="K130" s="80"/>
      <c r="L130" s="11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</row>
    <row r="131" spans="1:54">
      <c r="A131" s="80"/>
      <c r="B131" s="80"/>
      <c r="C131" s="111"/>
      <c r="D131" s="80"/>
      <c r="E131" s="111"/>
      <c r="F131" s="80"/>
      <c r="G131" s="111"/>
      <c r="H131" s="80"/>
      <c r="I131" s="80"/>
      <c r="J131" s="80"/>
      <c r="K131" s="80"/>
      <c r="L131" s="111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</row>
    <row r="132" spans="1:54">
      <c r="A132" s="80"/>
      <c r="B132" s="80"/>
      <c r="C132" s="111"/>
      <c r="D132" s="80"/>
      <c r="E132" s="111"/>
      <c r="F132" s="80"/>
      <c r="G132" s="111"/>
      <c r="H132" s="80"/>
      <c r="I132" s="80"/>
      <c r="J132" s="80"/>
      <c r="K132" s="80"/>
      <c r="L132" s="111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</row>
    <row r="133" spans="1:54">
      <c r="A133" s="80"/>
      <c r="B133" s="80"/>
      <c r="C133" s="111"/>
      <c r="D133" s="80"/>
      <c r="E133" s="111"/>
      <c r="F133" s="80"/>
      <c r="G133" s="111"/>
      <c r="H133" s="80"/>
      <c r="I133" s="80"/>
      <c r="J133" s="80"/>
      <c r="K133" s="80"/>
      <c r="L133" s="111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</row>
    <row r="134" spans="1:54">
      <c r="A134" s="80"/>
      <c r="B134" s="80"/>
      <c r="C134" s="111"/>
      <c r="D134" s="80"/>
      <c r="E134" s="111"/>
      <c r="F134" s="80"/>
      <c r="G134" s="111"/>
      <c r="H134" s="80"/>
      <c r="I134" s="80"/>
      <c r="J134" s="80"/>
      <c r="K134" s="80"/>
      <c r="L134" s="111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</row>
    <row r="135" spans="1:54">
      <c r="A135" s="80"/>
      <c r="B135" s="80"/>
      <c r="C135" s="111"/>
      <c r="D135" s="80"/>
      <c r="E135" s="111"/>
      <c r="F135" s="80"/>
      <c r="G135" s="111"/>
      <c r="H135" s="80"/>
      <c r="I135" s="80"/>
      <c r="J135" s="80"/>
      <c r="K135" s="80"/>
      <c r="L135" s="111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</row>
    <row r="136" spans="1:54">
      <c r="A136" s="80"/>
      <c r="B136" s="80"/>
      <c r="C136" s="111"/>
      <c r="D136" s="80"/>
      <c r="E136" s="111"/>
      <c r="F136" s="80"/>
      <c r="G136" s="111"/>
      <c r="H136" s="80"/>
      <c r="I136" s="80"/>
      <c r="J136" s="80"/>
      <c r="K136" s="80"/>
      <c r="L136" s="111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</row>
    <row r="137" spans="1:54">
      <c r="A137" s="80"/>
      <c r="B137" s="80"/>
      <c r="C137" s="111"/>
      <c r="D137" s="80"/>
      <c r="E137" s="111"/>
      <c r="F137" s="80"/>
      <c r="G137" s="111"/>
      <c r="H137" s="80"/>
      <c r="I137" s="80"/>
      <c r="J137" s="80"/>
      <c r="K137" s="80"/>
      <c r="L137" s="111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</row>
    <row r="138" spans="1:54">
      <c r="A138" s="80"/>
      <c r="B138" s="80"/>
      <c r="C138" s="111"/>
      <c r="D138" s="80"/>
      <c r="E138" s="111"/>
      <c r="F138" s="80"/>
      <c r="G138" s="111"/>
      <c r="H138" s="80"/>
      <c r="I138" s="80"/>
      <c r="J138" s="80"/>
      <c r="K138" s="80"/>
      <c r="L138" s="111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</row>
    <row r="139" spans="1:54">
      <c r="A139" s="80"/>
      <c r="B139" s="80"/>
      <c r="C139" s="111"/>
      <c r="D139" s="80"/>
      <c r="E139" s="111"/>
      <c r="F139" s="80"/>
      <c r="G139" s="111"/>
      <c r="H139" s="80"/>
      <c r="I139" s="80"/>
      <c r="J139" s="80"/>
      <c r="K139" s="80"/>
      <c r="L139" s="111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</row>
    <row r="140" spans="1:54">
      <c r="A140" s="80"/>
      <c r="B140" s="80"/>
      <c r="C140" s="111"/>
      <c r="D140" s="80"/>
      <c r="E140" s="111"/>
      <c r="F140" s="80"/>
      <c r="G140" s="111"/>
      <c r="H140" s="80"/>
      <c r="I140" s="80"/>
      <c r="J140" s="80"/>
      <c r="K140" s="80"/>
      <c r="L140" s="111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</row>
    <row r="141" spans="1:54">
      <c r="A141" s="80"/>
      <c r="B141" s="80"/>
      <c r="C141" s="111"/>
      <c r="D141" s="80"/>
      <c r="E141" s="111"/>
      <c r="F141" s="80"/>
      <c r="G141" s="111"/>
      <c r="H141" s="80"/>
      <c r="I141" s="80"/>
      <c r="J141" s="80"/>
      <c r="K141" s="80"/>
      <c r="L141" s="111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</row>
    <row r="142" spans="1:54">
      <c r="A142" s="80"/>
      <c r="B142" s="80"/>
      <c r="C142" s="111"/>
      <c r="D142" s="80"/>
      <c r="E142" s="111"/>
      <c r="F142" s="80"/>
      <c r="G142" s="111"/>
      <c r="H142" s="80"/>
      <c r="I142" s="80"/>
      <c r="J142" s="80"/>
      <c r="K142" s="80"/>
      <c r="L142" s="111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</row>
    <row r="143" spans="1:54">
      <c r="A143" s="80"/>
      <c r="B143" s="80"/>
      <c r="C143" s="111"/>
      <c r="D143" s="80"/>
      <c r="E143" s="111"/>
      <c r="F143" s="80"/>
      <c r="G143" s="111"/>
      <c r="H143" s="80"/>
      <c r="I143" s="80"/>
      <c r="J143" s="80"/>
      <c r="K143" s="80"/>
      <c r="L143" s="111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</row>
    <row r="144" spans="1:54">
      <c r="A144" s="80"/>
      <c r="B144" s="80"/>
      <c r="C144" s="111"/>
      <c r="D144" s="80"/>
      <c r="E144" s="111"/>
      <c r="F144" s="80"/>
      <c r="G144" s="111"/>
      <c r="H144" s="80"/>
      <c r="I144" s="80"/>
      <c r="J144" s="80"/>
      <c r="K144" s="80"/>
      <c r="L144" s="111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</row>
    <row r="145" spans="1:54">
      <c r="A145" s="80"/>
      <c r="B145" s="80"/>
      <c r="C145" s="111"/>
      <c r="D145" s="80"/>
      <c r="E145" s="111"/>
      <c r="F145" s="80"/>
      <c r="G145" s="111"/>
      <c r="H145" s="80"/>
      <c r="I145" s="80"/>
      <c r="J145" s="80"/>
      <c r="K145" s="80"/>
      <c r="L145" s="111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</row>
    <row r="146" spans="1:54">
      <c r="A146" s="80"/>
      <c r="B146" s="80"/>
      <c r="C146" s="111"/>
      <c r="D146" s="80"/>
      <c r="E146" s="111"/>
      <c r="F146" s="80"/>
      <c r="G146" s="111"/>
      <c r="H146" s="80"/>
      <c r="I146" s="80"/>
      <c r="J146" s="80"/>
      <c r="K146" s="80"/>
      <c r="L146" s="111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</row>
    <row r="147" spans="1:54">
      <c r="A147" s="80"/>
      <c r="B147" s="80"/>
      <c r="C147" s="111"/>
      <c r="D147" s="80"/>
      <c r="E147" s="111"/>
      <c r="F147" s="80"/>
      <c r="G147" s="111"/>
      <c r="H147" s="80"/>
      <c r="I147" s="80"/>
      <c r="J147" s="80"/>
      <c r="K147" s="80"/>
      <c r="L147" s="111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</row>
    <row r="148" spans="1:54">
      <c r="A148" s="80"/>
      <c r="B148" s="80"/>
      <c r="C148" s="111"/>
      <c r="D148" s="80"/>
      <c r="E148" s="111"/>
      <c r="F148" s="80"/>
      <c r="G148" s="111"/>
      <c r="H148" s="80"/>
      <c r="I148" s="80"/>
      <c r="J148" s="80"/>
      <c r="K148" s="80"/>
      <c r="L148" s="111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</row>
    <row r="149" spans="1:54">
      <c r="A149" s="80"/>
      <c r="B149" s="80"/>
      <c r="C149" s="111"/>
      <c r="D149" s="80"/>
      <c r="E149" s="111"/>
      <c r="F149" s="80"/>
      <c r="G149" s="111"/>
      <c r="H149" s="80"/>
      <c r="I149" s="80"/>
      <c r="J149" s="80"/>
      <c r="K149" s="80"/>
      <c r="L149" s="111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</row>
    <row r="150" spans="1:54">
      <c r="A150" s="80"/>
      <c r="B150" s="80"/>
      <c r="C150" s="111"/>
      <c r="D150" s="80"/>
      <c r="E150" s="111"/>
      <c r="F150" s="80"/>
      <c r="G150" s="111"/>
      <c r="H150" s="80"/>
      <c r="I150" s="80"/>
      <c r="J150" s="80"/>
      <c r="K150" s="80"/>
      <c r="L150" s="111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</row>
    <row r="151" spans="1:54">
      <c r="A151" s="80"/>
      <c r="B151" s="80"/>
      <c r="C151" s="111"/>
      <c r="D151" s="80"/>
      <c r="E151" s="111"/>
      <c r="F151" s="80"/>
      <c r="G151" s="111"/>
      <c r="H151" s="80"/>
      <c r="I151" s="80"/>
      <c r="J151" s="80"/>
      <c r="K151" s="80"/>
      <c r="L151" s="111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</row>
    <row r="152" spans="1:54">
      <c r="A152" s="80"/>
      <c r="B152" s="80"/>
      <c r="C152" s="111"/>
      <c r="D152" s="80"/>
      <c r="E152" s="111"/>
      <c r="F152" s="80"/>
      <c r="G152" s="111"/>
      <c r="H152" s="80"/>
      <c r="I152" s="80"/>
      <c r="J152" s="80"/>
      <c r="K152" s="80"/>
      <c r="L152" s="111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</row>
    <row r="153" spans="1:54">
      <c r="A153" s="80"/>
      <c r="B153" s="80"/>
      <c r="C153" s="111"/>
      <c r="D153" s="80"/>
      <c r="E153" s="111"/>
      <c r="F153" s="80"/>
      <c r="G153" s="111"/>
      <c r="H153" s="80"/>
      <c r="I153" s="80"/>
      <c r="J153" s="80"/>
      <c r="K153" s="80"/>
      <c r="L153" s="111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</row>
    <row r="154" spans="1:54">
      <c r="A154" s="80"/>
      <c r="B154" s="80"/>
      <c r="C154" s="111"/>
      <c r="D154" s="80"/>
      <c r="E154" s="111"/>
      <c r="F154" s="80"/>
      <c r="G154" s="111"/>
      <c r="H154" s="80"/>
      <c r="I154" s="80"/>
      <c r="J154" s="80"/>
      <c r="K154" s="80"/>
      <c r="L154" s="111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</row>
    <row r="155" spans="1:54">
      <c r="A155" s="80"/>
      <c r="B155" s="80"/>
      <c r="C155" s="111"/>
      <c r="D155" s="80"/>
      <c r="E155" s="111"/>
      <c r="F155" s="80"/>
      <c r="G155" s="111"/>
      <c r="H155" s="80"/>
      <c r="I155" s="80"/>
      <c r="J155" s="80"/>
      <c r="K155" s="80"/>
      <c r="L155" s="111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</row>
    <row r="156" spans="1:54">
      <c r="A156" s="80"/>
      <c r="B156" s="80"/>
      <c r="C156" s="111"/>
      <c r="D156" s="80"/>
      <c r="E156" s="111"/>
      <c r="F156" s="80"/>
      <c r="G156" s="111"/>
      <c r="H156" s="80"/>
      <c r="I156" s="80"/>
      <c r="J156" s="80"/>
      <c r="K156" s="80"/>
      <c r="L156" s="111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</row>
    <row r="157" spans="1:54">
      <c r="A157" s="80"/>
      <c r="B157" s="80"/>
      <c r="C157" s="111"/>
      <c r="D157" s="80"/>
      <c r="E157" s="111"/>
      <c r="F157" s="80"/>
      <c r="G157" s="111"/>
      <c r="H157" s="80"/>
      <c r="I157" s="80"/>
      <c r="J157" s="80"/>
      <c r="K157" s="80"/>
      <c r="L157" s="111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</row>
    <row r="158" spans="1:54">
      <c r="A158" s="80"/>
      <c r="B158" s="80"/>
      <c r="C158" s="111"/>
      <c r="D158" s="80"/>
      <c r="E158" s="111"/>
      <c r="F158" s="80"/>
      <c r="G158" s="111"/>
      <c r="H158" s="80"/>
      <c r="I158" s="80"/>
      <c r="J158" s="80"/>
      <c r="K158" s="80"/>
      <c r="L158" s="111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</row>
    <row r="159" spans="1:54">
      <c r="A159" s="80"/>
      <c r="B159" s="80"/>
      <c r="C159" s="111"/>
      <c r="D159" s="80"/>
      <c r="E159" s="111"/>
      <c r="F159" s="80"/>
      <c r="G159" s="111"/>
      <c r="H159" s="80"/>
      <c r="I159" s="80"/>
      <c r="J159" s="80"/>
      <c r="K159" s="80"/>
      <c r="L159" s="111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</row>
    <row r="160" spans="1:54">
      <c r="A160" s="80"/>
      <c r="B160" s="80"/>
      <c r="C160" s="111"/>
      <c r="D160" s="80"/>
      <c r="E160" s="111"/>
      <c r="F160" s="80"/>
      <c r="G160" s="111"/>
      <c r="H160" s="80"/>
      <c r="I160" s="80"/>
      <c r="J160" s="80"/>
      <c r="K160" s="80"/>
      <c r="L160" s="111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</row>
    <row r="161" spans="1:54">
      <c r="A161" s="80"/>
      <c r="B161" s="80"/>
      <c r="C161" s="111"/>
      <c r="D161" s="80"/>
      <c r="E161" s="111"/>
      <c r="F161" s="80"/>
      <c r="G161" s="111"/>
      <c r="H161" s="80"/>
      <c r="I161" s="80"/>
      <c r="J161" s="80"/>
      <c r="K161" s="80"/>
      <c r="L161" s="111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</row>
    <row r="162" spans="1:54">
      <c r="A162" s="80"/>
      <c r="B162" s="80"/>
      <c r="C162" s="111"/>
      <c r="D162" s="80"/>
      <c r="E162" s="111"/>
      <c r="F162" s="80"/>
      <c r="G162" s="111"/>
      <c r="H162" s="80"/>
      <c r="I162" s="80"/>
      <c r="J162" s="80"/>
      <c r="K162" s="80"/>
      <c r="L162" s="111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</row>
    <row r="163" spans="1:54">
      <c r="A163" s="80"/>
      <c r="B163" s="80"/>
      <c r="C163" s="111"/>
      <c r="D163" s="80"/>
      <c r="E163" s="111"/>
      <c r="F163" s="80"/>
      <c r="G163" s="111"/>
      <c r="H163" s="80"/>
      <c r="I163" s="80"/>
      <c r="J163" s="80"/>
      <c r="K163" s="80"/>
      <c r="L163" s="111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</row>
    <row r="164" spans="1:54">
      <c r="A164" s="80"/>
      <c r="B164" s="80"/>
      <c r="C164" s="111"/>
      <c r="D164" s="80"/>
      <c r="E164" s="111"/>
      <c r="F164" s="80"/>
      <c r="G164" s="111"/>
      <c r="H164" s="80"/>
      <c r="I164" s="80"/>
      <c r="J164" s="80"/>
      <c r="K164" s="80"/>
      <c r="L164" s="111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</row>
    <row r="165" spans="1:54">
      <c r="A165" s="80"/>
      <c r="B165" s="80"/>
      <c r="C165" s="111"/>
      <c r="D165" s="80"/>
      <c r="E165" s="111"/>
      <c r="F165" s="80"/>
      <c r="G165" s="111"/>
      <c r="H165" s="80"/>
      <c r="I165" s="80"/>
      <c r="J165" s="80"/>
      <c r="K165" s="80"/>
      <c r="L165" s="111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</row>
    <row r="166" spans="1:54">
      <c r="A166" s="80"/>
      <c r="B166" s="80"/>
      <c r="C166" s="111"/>
      <c r="D166" s="80"/>
      <c r="E166" s="111"/>
      <c r="F166" s="80"/>
      <c r="G166" s="111"/>
      <c r="H166" s="80"/>
      <c r="I166" s="80"/>
      <c r="J166" s="80"/>
      <c r="K166" s="80"/>
      <c r="L166" s="111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</row>
    <row r="167" spans="1:54">
      <c r="A167" s="80"/>
      <c r="B167" s="80"/>
      <c r="C167" s="111"/>
      <c r="D167" s="80"/>
      <c r="E167" s="111"/>
      <c r="F167" s="80"/>
      <c r="G167" s="111"/>
      <c r="H167" s="80"/>
      <c r="I167" s="80"/>
      <c r="J167" s="80"/>
      <c r="K167" s="80"/>
      <c r="L167" s="111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</row>
    <row r="168" spans="1:54">
      <c r="A168" s="80"/>
      <c r="B168" s="80"/>
      <c r="C168" s="111"/>
      <c r="D168" s="80"/>
      <c r="E168" s="111"/>
      <c r="F168" s="80"/>
      <c r="G168" s="111"/>
      <c r="H168" s="80"/>
      <c r="I168" s="80"/>
      <c r="J168" s="80"/>
      <c r="K168" s="80"/>
      <c r="L168" s="111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</row>
    <row r="169" spans="1:54">
      <c r="A169" s="80"/>
      <c r="B169" s="80"/>
      <c r="C169" s="111"/>
      <c r="D169" s="80"/>
      <c r="E169" s="111"/>
      <c r="F169" s="80"/>
      <c r="G169" s="111"/>
      <c r="H169" s="80"/>
      <c r="I169" s="80"/>
      <c r="J169" s="80"/>
      <c r="K169" s="80"/>
      <c r="L169" s="111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</row>
    <row r="170" spans="1:54">
      <c r="A170" s="80"/>
      <c r="B170" s="80"/>
      <c r="C170" s="111"/>
      <c r="D170" s="80"/>
      <c r="E170" s="111"/>
      <c r="F170" s="80"/>
      <c r="G170" s="111"/>
      <c r="H170" s="80"/>
      <c r="I170" s="80"/>
      <c r="J170" s="80"/>
      <c r="K170" s="80"/>
      <c r="L170" s="111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</row>
    <row r="171" spans="1:54">
      <c r="A171" s="80"/>
      <c r="B171" s="80"/>
      <c r="C171" s="111"/>
      <c r="D171" s="80"/>
      <c r="E171" s="111"/>
      <c r="F171" s="80"/>
      <c r="G171" s="111"/>
      <c r="H171" s="80"/>
      <c r="I171" s="80"/>
      <c r="J171" s="80"/>
      <c r="K171" s="80"/>
      <c r="L171" s="111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</row>
    <row r="172" spans="1:54">
      <c r="A172" s="80"/>
      <c r="B172" s="80"/>
      <c r="C172" s="111"/>
      <c r="D172" s="80"/>
      <c r="E172" s="111"/>
      <c r="F172" s="80"/>
      <c r="G172" s="111"/>
      <c r="H172" s="80"/>
      <c r="I172" s="80"/>
      <c r="J172" s="80"/>
      <c r="K172" s="80"/>
      <c r="L172" s="111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</row>
    <row r="173" spans="1:54">
      <c r="A173" s="80"/>
      <c r="B173" s="80"/>
      <c r="C173" s="111"/>
      <c r="D173" s="80"/>
      <c r="E173" s="111"/>
      <c r="F173" s="80"/>
      <c r="G173" s="111"/>
      <c r="H173" s="80"/>
      <c r="I173" s="80"/>
      <c r="J173" s="80"/>
      <c r="K173" s="80"/>
      <c r="L173" s="111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</row>
    <row r="174" spans="1:54">
      <c r="A174" s="80"/>
      <c r="B174" s="80"/>
      <c r="C174" s="111"/>
      <c r="D174" s="80"/>
      <c r="E174" s="111"/>
      <c r="F174" s="80"/>
      <c r="G174" s="111"/>
      <c r="H174" s="80"/>
      <c r="I174" s="80"/>
      <c r="J174" s="80"/>
      <c r="K174" s="80"/>
      <c r="L174" s="111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</row>
    <row r="175" spans="1:54">
      <c r="A175" s="80"/>
      <c r="B175" s="80"/>
      <c r="C175" s="111"/>
      <c r="D175" s="80"/>
      <c r="E175" s="111"/>
      <c r="F175" s="80"/>
      <c r="G175" s="111"/>
      <c r="H175" s="80"/>
      <c r="I175" s="80"/>
      <c r="J175" s="80"/>
      <c r="K175" s="80"/>
      <c r="L175" s="111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</row>
    <row r="176" spans="1:54">
      <c r="A176" s="80"/>
      <c r="B176" s="80"/>
      <c r="C176" s="111"/>
      <c r="D176" s="80"/>
      <c r="E176" s="111"/>
      <c r="F176" s="80"/>
      <c r="G176" s="111"/>
      <c r="H176" s="80"/>
      <c r="I176" s="80"/>
      <c r="J176" s="80"/>
      <c r="K176" s="80"/>
      <c r="L176" s="111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</row>
    <row r="177" spans="1:54">
      <c r="A177" s="80"/>
      <c r="B177" s="80"/>
      <c r="C177" s="111"/>
      <c r="D177" s="80"/>
      <c r="E177" s="111"/>
      <c r="F177" s="80"/>
      <c r="G177" s="111"/>
      <c r="H177" s="80"/>
      <c r="I177" s="80"/>
      <c r="J177" s="80"/>
      <c r="K177" s="80"/>
      <c r="L177" s="111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</row>
    <row r="178" spans="1:54">
      <c r="A178" s="80"/>
      <c r="B178" s="80"/>
      <c r="C178" s="111"/>
      <c r="D178" s="80"/>
      <c r="E178" s="111"/>
      <c r="F178" s="80"/>
      <c r="G178" s="111"/>
      <c r="H178" s="80"/>
      <c r="I178" s="80"/>
      <c r="J178" s="80"/>
      <c r="K178" s="80"/>
      <c r="L178" s="111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</row>
    <row r="179" spans="1:54">
      <c r="A179" s="80"/>
      <c r="B179" s="80"/>
      <c r="C179" s="111"/>
      <c r="D179" s="80"/>
      <c r="E179" s="111"/>
      <c r="F179" s="80"/>
      <c r="G179" s="111"/>
      <c r="H179" s="80"/>
      <c r="I179" s="80"/>
      <c r="J179" s="80"/>
      <c r="K179" s="80"/>
      <c r="L179" s="111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</row>
    <row r="180" spans="1:54">
      <c r="A180" s="80"/>
      <c r="B180" s="80"/>
      <c r="C180" s="111"/>
      <c r="D180" s="80"/>
      <c r="E180" s="111"/>
      <c r="F180" s="80"/>
      <c r="G180" s="111"/>
      <c r="H180" s="80"/>
      <c r="I180" s="80"/>
      <c r="J180" s="80"/>
      <c r="K180" s="80"/>
      <c r="L180" s="111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</row>
    <row r="181" spans="1:54">
      <c r="A181" s="80"/>
      <c r="B181" s="80"/>
      <c r="C181" s="111"/>
      <c r="D181" s="80"/>
      <c r="E181" s="111"/>
      <c r="F181" s="80"/>
      <c r="G181" s="111"/>
      <c r="H181" s="80"/>
      <c r="I181" s="80"/>
      <c r="J181" s="80"/>
      <c r="K181" s="80"/>
      <c r="L181" s="111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</row>
    <row r="182" spans="1:54">
      <c r="A182" s="80"/>
      <c r="B182" s="80"/>
      <c r="C182" s="111"/>
      <c r="D182" s="80"/>
      <c r="E182" s="111"/>
      <c r="F182" s="80"/>
      <c r="G182" s="111"/>
      <c r="H182" s="80"/>
      <c r="I182" s="80"/>
      <c r="J182" s="80"/>
      <c r="K182" s="80"/>
      <c r="L182" s="111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</row>
    <row r="183" spans="1:54">
      <c r="A183" s="80"/>
      <c r="B183" s="80"/>
      <c r="C183" s="111"/>
      <c r="D183" s="80"/>
      <c r="E183" s="111"/>
      <c r="F183" s="80"/>
      <c r="G183" s="111"/>
      <c r="H183" s="80"/>
      <c r="I183" s="80"/>
      <c r="J183" s="80"/>
      <c r="K183" s="80"/>
      <c r="L183" s="111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</row>
    <row r="184" spans="1:54">
      <c r="A184" s="80"/>
      <c r="B184" s="80"/>
      <c r="C184" s="111"/>
      <c r="D184" s="80"/>
      <c r="E184" s="111"/>
      <c r="F184" s="80"/>
      <c r="G184" s="111"/>
      <c r="H184" s="80"/>
      <c r="I184" s="80"/>
      <c r="J184" s="80"/>
      <c r="K184" s="80"/>
      <c r="L184" s="111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</row>
    <row r="185" spans="1:54">
      <c r="A185" s="80"/>
      <c r="B185" s="80"/>
      <c r="C185" s="111"/>
      <c r="D185" s="80"/>
      <c r="E185" s="111"/>
      <c r="F185" s="80"/>
      <c r="G185" s="111"/>
      <c r="H185" s="80"/>
      <c r="I185" s="80"/>
      <c r="J185" s="80"/>
      <c r="K185" s="80"/>
      <c r="L185" s="111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</row>
    <row r="186" spans="1:54">
      <c r="A186" s="80"/>
      <c r="B186" s="80"/>
      <c r="C186" s="111"/>
      <c r="D186" s="80"/>
      <c r="E186" s="111"/>
      <c r="F186" s="80"/>
      <c r="G186" s="111"/>
      <c r="H186" s="80"/>
      <c r="I186" s="80"/>
      <c r="J186" s="80"/>
      <c r="K186" s="80"/>
      <c r="L186" s="111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</row>
    <row r="187" spans="1:54">
      <c r="A187" s="80"/>
      <c r="B187" s="80"/>
      <c r="C187" s="111"/>
      <c r="D187" s="80"/>
      <c r="E187" s="111"/>
      <c r="F187" s="80"/>
      <c r="G187" s="111"/>
      <c r="H187" s="80"/>
      <c r="I187" s="80"/>
      <c r="J187" s="80"/>
      <c r="K187" s="80"/>
      <c r="L187" s="111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</row>
    <row r="188" spans="1:54">
      <c r="A188" s="80"/>
      <c r="B188" s="80"/>
      <c r="C188" s="111"/>
      <c r="D188" s="80"/>
      <c r="E188" s="111"/>
      <c r="F188" s="80"/>
      <c r="G188" s="111"/>
      <c r="H188" s="80"/>
      <c r="I188" s="80"/>
      <c r="J188" s="80"/>
      <c r="K188" s="80"/>
      <c r="L188" s="111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</row>
    <row r="189" spans="1:54">
      <c r="A189" s="80"/>
      <c r="B189" s="80"/>
      <c r="C189" s="111"/>
      <c r="D189" s="80"/>
      <c r="E189" s="111"/>
      <c r="F189" s="80"/>
      <c r="G189" s="111"/>
      <c r="H189" s="80"/>
      <c r="I189" s="80"/>
      <c r="J189" s="80"/>
      <c r="K189" s="80"/>
      <c r="L189" s="111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</row>
    <row r="190" spans="1:54">
      <c r="A190" s="80"/>
      <c r="B190" s="80"/>
      <c r="C190" s="111"/>
      <c r="D190" s="80"/>
      <c r="E190" s="111"/>
      <c r="F190" s="80"/>
      <c r="G190" s="111"/>
      <c r="H190" s="80"/>
      <c r="I190" s="80"/>
      <c r="J190" s="80"/>
      <c r="K190" s="80"/>
      <c r="L190" s="111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</row>
    <row r="191" spans="1:54">
      <c r="A191" s="80"/>
      <c r="B191" s="80"/>
      <c r="C191" s="111"/>
      <c r="D191" s="80"/>
      <c r="E191" s="111"/>
      <c r="F191" s="80"/>
      <c r="G191" s="111"/>
      <c r="H191" s="80"/>
      <c r="I191" s="80"/>
      <c r="J191" s="80"/>
      <c r="K191" s="80"/>
      <c r="L191" s="111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</row>
    <row r="192" spans="1:54">
      <c r="A192" s="80"/>
      <c r="B192" s="80"/>
      <c r="C192" s="111"/>
      <c r="D192" s="80"/>
      <c r="E192" s="111"/>
      <c r="F192" s="80"/>
      <c r="G192" s="111"/>
      <c r="H192" s="80"/>
      <c r="I192" s="80"/>
      <c r="J192" s="80"/>
      <c r="K192" s="80"/>
      <c r="L192" s="111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</row>
    <row r="193" spans="1:54">
      <c r="A193" s="80"/>
      <c r="B193" s="80"/>
      <c r="C193" s="111"/>
      <c r="D193" s="80"/>
      <c r="E193" s="111"/>
      <c r="F193" s="80"/>
      <c r="G193" s="111"/>
      <c r="H193" s="80"/>
      <c r="I193" s="80"/>
      <c r="J193" s="80"/>
      <c r="K193" s="80"/>
      <c r="L193" s="111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</row>
    <row r="194" spans="1:54">
      <c r="A194" s="80"/>
      <c r="B194" s="80"/>
      <c r="C194" s="111"/>
      <c r="D194" s="80"/>
      <c r="E194" s="111"/>
      <c r="F194" s="80"/>
      <c r="G194" s="111"/>
      <c r="H194" s="80"/>
      <c r="I194" s="80"/>
      <c r="J194" s="80"/>
      <c r="K194" s="80"/>
      <c r="L194" s="111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</row>
    <row r="195" spans="1:54">
      <c r="A195" s="80"/>
      <c r="B195" s="80"/>
      <c r="C195" s="111"/>
      <c r="D195" s="80"/>
      <c r="E195" s="111"/>
      <c r="F195" s="80"/>
      <c r="G195" s="111"/>
      <c r="H195" s="80"/>
      <c r="I195" s="80"/>
      <c r="J195" s="80"/>
      <c r="K195" s="80"/>
      <c r="L195" s="111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</row>
    <row r="196" spans="1:54">
      <c r="A196" s="80"/>
      <c r="B196" s="80"/>
      <c r="C196" s="111"/>
      <c r="D196" s="80"/>
      <c r="E196" s="111"/>
      <c r="F196" s="80"/>
      <c r="G196" s="111"/>
      <c r="H196" s="80"/>
      <c r="I196" s="80"/>
      <c r="J196" s="80"/>
      <c r="K196" s="80"/>
      <c r="L196" s="111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</row>
    <row r="197" spans="1:54">
      <c r="A197" s="80"/>
      <c r="B197" s="80"/>
      <c r="C197" s="111"/>
      <c r="D197" s="80"/>
      <c r="E197" s="111"/>
      <c r="F197" s="80"/>
      <c r="G197" s="111"/>
      <c r="H197" s="80"/>
      <c r="I197" s="80"/>
      <c r="J197" s="80"/>
      <c r="K197" s="80"/>
      <c r="L197" s="111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</row>
    <row r="198" spans="1:54">
      <c r="A198" s="80"/>
      <c r="B198" s="80"/>
      <c r="C198" s="111"/>
      <c r="D198" s="80"/>
      <c r="E198" s="111"/>
      <c r="F198" s="80"/>
      <c r="G198" s="111"/>
      <c r="H198" s="80"/>
      <c r="I198" s="80"/>
      <c r="J198" s="80"/>
      <c r="K198" s="80"/>
      <c r="L198" s="111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</row>
    <row r="199" spans="1:54">
      <c r="A199" s="80"/>
      <c r="B199" s="80"/>
      <c r="C199" s="111"/>
      <c r="D199" s="80"/>
      <c r="E199" s="111"/>
      <c r="F199" s="80"/>
      <c r="G199" s="111"/>
      <c r="H199" s="80"/>
      <c r="I199" s="80"/>
      <c r="J199" s="80"/>
      <c r="K199" s="80"/>
      <c r="L199" s="111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</row>
    <row r="200" spans="1:54">
      <c r="A200" s="80"/>
      <c r="B200" s="80"/>
      <c r="C200" s="111"/>
      <c r="D200" s="80"/>
      <c r="E200" s="111"/>
      <c r="F200" s="80"/>
      <c r="G200" s="111"/>
      <c r="H200" s="80"/>
      <c r="I200" s="80"/>
      <c r="J200" s="80"/>
      <c r="K200" s="80"/>
      <c r="L200" s="111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</row>
    <row r="201" spans="1:54">
      <c r="A201" s="80"/>
      <c r="B201" s="80"/>
      <c r="C201" s="111"/>
      <c r="D201" s="80"/>
      <c r="E201" s="111"/>
      <c r="F201" s="80"/>
      <c r="G201" s="111"/>
      <c r="H201" s="80"/>
      <c r="I201" s="80"/>
      <c r="J201" s="80"/>
      <c r="K201" s="80"/>
      <c r="L201" s="111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</row>
    <row r="202" spans="1:54">
      <c r="A202" s="80"/>
      <c r="B202" s="80"/>
      <c r="C202" s="111"/>
      <c r="D202" s="80"/>
      <c r="E202" s="111"/>
      <c r="F202" s="80"/>
      <c r="G202" s="111"/>
      <c r="H202" s="80"/>
      <c r="I202" s="80"/>
      <c r="J202" s="80"/>
      <c r="K202" s="80"/>
      <c r="L202" s="111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</row>
    <row r="203" spans="1:54">
      <c r="A203" s="80"/>
      <c r="B203" s="80"/>
      <c r="C203" s="111"/>
      <c r="D203" s="80"/>
      <c r="E203" s="111"/>
      <c r="F203" s="80"/>
      <c r="G203" s="111"/>
      <c r="H203" s="80"/>
      <c r="I203" s="80"/>
      <c r="J203" s="80"/>
      <c r="K203" s="80"/>
      <c r="L203" s="111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</row>
    <row r="204" spans="1:54">
      <c r="A204" s="80"/>
      <c r="B204" s="80"/>
      <c r="C204" s="111"/>
      <c r="D204" s="80"/>
      <c r="E204" s="111"/>
      <c r="F204" s="80"/>
      <c r="G204" s="111"/>
      <c r="H204" s="80"/>
      <c r="I204" s="80"/>
      <c r="J204" s="80"/>
      <c r="K204" s="80"/>
      <c r="L204" s="111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</row>
    <row r="205" spans="1:54">
      <c r="A205" s="80"/>
      <c r="B205" s="80"/>
      <c r="C205" s="111"/>
      <c r="D205" s="80"/>
      <c r="E205" s="111"/>
      <c r="F205" s="80"/>
      <c r="G205" s="111"/>
      <c r="H205" s="80"/>
      <c r="I205" s="80"/>
      <c r="J205" s="80"/>
      <c r="K205" s="80"/>
      <c r="L205" s="111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</row>
    <row r="206" spans="1:54">
      <c r="A206" s="80"/>
      <c r="B206" s="80"/>
      <c r="C206" s="111"/>
      <c r="D206" s="80"/>
      <c r="E206" s="111"/>
      <c r="F206" s="80"/>
      <c r="G206" s="111"/>
      <c r="H206" s="80"/>
      <c r="I206" s="80"/>
      <c r="J206" s="80"/>
      <c r="K206" s="80"/>
      <c r="L206" s="111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</row>
    <row r="207" spans="1:54">
      <c r="A207" s="80"/>
      <c r="B207" s="80"/>
      <c r="C207" s="111"/>
      <c r="D207" s="80"/>
      <c r="E207" s="111"/>
      <c r="F207" s="80"/>
      <c r="G207" s="111"/>
      <c r="H207" s="80"/>
      <c r="I207" s="80"/>
      <c r="J207" s="80"/>
      <c r="K207" s="80"/>
      <c r="L207" s="111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</row>
    <row r="208" spans="1:54">
      <c r="A208" s="80"/>
      <c r="B208" s="80"/>
      <c r="C208" s="111"/>
      <c r="D208" s="80"/>
      <c r="E208" s="111"/>
      <c r="F208" s="80"/>
      <c r="G208" s="111"/>
      <c r="H208" s="80"/>
      <c r="I208" s="80"/>
      <c r="J208" s="80"/>
      <c r="K208" s="80"/>
      <c r="L208" s="111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</row>
    <row r="209" spans="1:54">
      <c r="A209" s="80"/>
      <c r="B209" s="80"/>
      <c r="C209" s="111"/>
      <c r="D209" s="80"/>
      <c r="E209" s="111"/>
      <c r="F209" s="80"/>
      <c r="G209" s="111"/>
      <c r="H209" s="80"/>
      <c r="I209" s="80"/>
      <c r="J209" s="80"/>
      <c r="K209" s="80"/>
      <c r="L209" s="111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</row>
    <row r="210" spans="1:54">
      <c r="A210" s="80"/>
      <c r="B210" s="80"/>
      <c r="C210" s="111"/>
      <c r="D210" s="80"/>
      <c r="E210" s="111"/>
      <c r="F210" s="80"/>
      <c r="G210" s="111"/>
      <c r="H210" s="80"/>
      <c r="I210" s="80"/>
      <c r="J210" s="80"/>
      <c r="K210" s="80"/>
      <c r="L210" s="111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</row>
    <row r="211" spans="1:54">
      <c r="A211" s="80"/>
      <c r="B211" s="80"/>
      <c r="C211" s="111"/>
      <c r="D211" s="80"/>
      <c r="E211" s="111"/>
      <c r="F211" s="80"/>
      <c r="G211" s="111"/>
      <c r="H211" s="80"/>
      <c r="I211" s="80"/>
      <c r="J211" s="80"/>
      <c r="K211" s="80"/>
      <c r="L211" s="111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</row>
    <row r="212" spans="1:54">
      <c r="A212" s="80"/>
      <c r="B212" s="80"/>
      <c r="C212" s="111"/>
      <c r="D212" s="80"/>
      <c r="E212" s="111"/>
      <c r="F212" s="80"/>
      <c r="G212" s="111"/>
      <c r="H212" s="80"/>
      <c r="I212" s="80"/>
      <c r="J212" s="80"/>
      <c r="K212" s="80"/>
      <c r="L212" s="111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</row>
    <row r="213" spans="1:54">
      <c r="A213" s="80"/>
      <c r="B213" s="80"/>
      <c r="C213" s="111"/>
      <c r="D213" s="80"/>
      <c r="E213" s="111"/>
      <c r="F213" s="80"/>
      <c r="G213" s="111"/>
      <c r="H213" s="80"/>
      <c r="I213" s="80"/>
      <c r="J213" s="80"/>
      <c r="K213" s="80"/>
      <c r="L213" s="111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</row>
    <row r="214" spans="1:54">
      <c r="A214" s="80"/>
      <c r="B214" s="80"/>
      <c r="C214" s="111"/>
      <c r="D214" s="80"/>
      <c r="E214" s="111"/>
      <c r="F214" s="80"/>
      <c r="G214" s="111"/>
      <c r="H214" s="80"/>
      <c r="I214" s="80"/>
      <c r="J214" s="80"/>
      <c r="K214" s="80"/>
      <c r="L214" s="111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</row>
    <row r="215" spans="1:54">
      <c r="A215" s="80"/>
      <c r="B215" s="80"/>
      <c r="C215" s="111"/>
      <c r="D215" s="80"/>
      <c r="E215" s="111"/>
      <c r="F215" s="80"/>
      <c r="G215" s="111"/>
      <c r="H215" s="80"/>
      <c r="I215" s="80"/>
      <c r="J215" s="80"/>
      <c r="K215" s="80"/>
      <c r="L215" s="111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</row>
    <row r="216" spans="1:54">
      <c r="A216" s="80"/>
      <c r="B216" s="80"/>
      <c r="C216" s="111"/>
      <c r="D216" s="80"/>
      <c r="E216" s="111"/>
      <c r="F216" s="80"/>
      <c r="G216" s="111"/>
      <c r="H216" s="80"/>
      <c r="I216" s="80"/>
      <c r="J216" s="80"/>
      <c r="K216" s="80"/>
      <c r="L216" s="111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</row>
    <row r="217" spans="1:54">
      <c r="A217" s="80"/>
      <c r="B217" s="80"/>
      <c r="C217" s="111"/>
      <c r="D217" s="80"/>
      <c r="E217" s="111"/>
      <c r="F217" s="80"/>
      <c r="G217" s="111"/>
      <c r="H217" s="80"/>
      <c r="I217" s="80"/>
      <c r="J217" s="80"/>
      <c r="K217" s="80"/>
      <c r="L217" s="111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</row>
    <row r="218" spans="1:54">
      <c r="A218" s="80"/>
      <c r="B218" s="80"/>
      <c r="C218" s="111"/>
      <c r="D218" s="80"/>
      <c r="E218" s="111"/>
      <c r="F218" s="80"/>
      <c r="G218" s="111"/>
      <c r="H218" s="80"/>
      <c r="I218" s="80"/>
      <c r="J218" s="80"/>
      <c r="K218" s="80"/>
      <c r="L218" s="111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</row>
    <row r="219" spans="1:54">
      <c r="A219" s="80"/>
      <c r="B219" s="80"/>
      <c r="C219" s="111"/>
      <c r="D219" s="80"/>
      <c r="E219" s="111"/>
      <c r="F219" s="80"/>
      <c r="G219" s="111"/>
      <c r="H219" s="80"/>
      <c r="I219" s="80"/>
      <c r="J219" s="80"/>
      <c r="K219" s="80"/>
      <c r="L219" s="111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</row>
    <row r="220" spans="1:54">
      <c r="A220" s="80"/>
      <c r="B220" s="80"/>
      <c r="C220" s="111"/>
      <c r="D220" s="80"/>
      <c r="E220" s="111"/>
      <c r="F220" s="80"/>
      <c r="G220" s="111"/>
      <c r="H220" s="80"/>
      <c r="I220" s="80"/>
      <c r="J220" s="80"/>
      <c r="K220" s="80"/>
      <c r="L220" s="111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</row>
    <row r="221" spans="1:54">
      <c r="A221" s="80"/>
      <c r="B221" s="80"/>
      <c r="C221" s="111"/>
      <c r="D221" s="80"/>
      <c r="E221" s="111"/>
      <c r="F221" s="80"/>
      <c r="G221" s="111"/>
      <c r="H221" s="80"/>
      <c r="I221" s="80"/>
      <c r="J221" s="80"/>
      <c r="K221" s="80"/>
      <c r="L221" s="111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</row>
    <row r="222" spans="1:54">
      <c r="A222" s="80"/>
      <c r="B222" s="80"/>
      <c r="C222" s="111"/>
      <c r="D222" s="80"/>
      <c r="E222" s="111"/>
      <c r="F222" s="80"/>
      <c r="G222" s="111"/>
      <c r="H222" s="80"/>
      <c r="I222" s="80"/>
      <c r="J222" s="80"/>
      <c r="K222" s="80"/>
      <c r="L222" s="111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</row>
    <row r="223" spans="1:54">
      <c r="A223" s="80"/>
      <c r="B223" s="80"/>
      <c r="C223" s="111"/>
      <c r="D223" s="80"/>
      <c r="E223" s="111"/>
      <c r="F223" s="80"/>
      <c r="G223" s="111"/>
      <c r="H223" s="80"/>
      <c r="I223" s="80"/>
      <c r="J223" s="80"/>
      <c r="K223" s="80"/>
      <c r="L223" s="111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</row>
    <row r="224" spans="1:54">
      <c r="A224" s="80"/>
      <c r="B224" s="80"/>
      <c r="C224" s="111"/>
      <c r="D224" s="80"/>
      <c r="E224" s="111"/>
      <c r="F224" s="80"/>
      <c r="G224" s="111"/>
      <c r="H224" s="80"/>
      <c r="I224" s="80"/>
      <c r="J224" s="80"/>
      <c r="K224" s="80"/>
      <c r="L224" s="111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</row>
    <row r="225" spans="1:54">
      <c r="A225" s="80"/>
      <c r="B225" s="80"/>
      <c r="C225" s="111"/>
      <c r="D225" s="80"/>
      <c r="E225" s="111"/>
      <c r="F225" s="80"/>
      <c r="G225" s="111"/>
      <c r="H225" s="80"/>
      <c r="I225" s="80"/>
      <c r="J225" s="80"/>
      <c r="K225" s="80"/>
      <c r="L225" s="111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</row>
    <row r="226" spans="1:54">
      <c r="A226" s="80"/>
      <c r="B226" s="80"/>
      <c r="C226" s="111"/>
      <c r="D226" s="80"/>
      <c r="E226" s="111"/>
      <c r="F226" s="80"/>
      <c r="G226" s="111"/>
      <c r="H226" s="80"/>
      <c r="I226" s="80"/>
      <c r="J226" s="80"/>
      <c r="K226" s="80"/>
      <c r="L226" s="111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</row>
    <row r="227" spans="1:54">
      <c r="A227" s="80"/>
      <c r="B227" s="80"/>
      <c r="C227" s="111"/>
      <c r="D227" s="80"/>
      <c r="E227" s="111"/>
      <c r="F227" s="80"/>
      <c r="G227" s="111"/>
      <c r="H227" s="80"/>
      <c r="I227" s="80"/>
      <c r="J227" s="80"/>
      <c r="K227" s="80"/>
      <c r="L227" s="111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</row>
    <row r="228" spans="1:54">
      <c r="A228" s="80"/>
      <c r="B228" s="80"/>
      <c r="C228" s="111"/>
      <c r="D228" s="80"/>
      <c r="E228" s="111"/>
      <c r="F228" s="80"/>
      <c r="G228" s="111"/>
      <c r="H228" s="80"/>
      <c r="I228" s="80"/>
      <c r="J228" s="80"/>
      <c r="K228" s="80"/>
      <c r="L228" s="111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</row>
    <row r="229" spans="1:54">
      <c r="A229" s="80"/>
      <c r="B229" s="80"/>
      <c r="C229" s="111"/>
      <c r="D229" s="80"/>
      <c r="E229" s="111"/>
      <c r="F229" s="80"/>
      <c r="G229" s="111"/>
      <c r="H229" s="80"/>
      <c r="I229" s="80"/>
      <c r="J229" s="80"/>
      <c r="K229" s="80"/>
      <c r="L229" s="111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</row>
    <row r="230" spans="1:54">
      <c r="A230" s="80"/>
      <c r="B230" s="80"/>
      <c r="C230" s="111"/>
      <c r="D230" s="80"/>
      <c r="E230" s="111"/>
      <c r="F230" s="80"/>
      <c r="G230" s="111"/>
      <c r="H230" s="80"/>
      <c r="I230" s="80"/>
      <c r="J230" s="80"/>
      <c r="K230" s="80"/>
      <c r="L230" s="111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</row>
    <row r="231" spans="1:54">
      <c r="A231" s="80"/>
      <c r="B231" s="80"/>
      <c r="C231" s="111"/>
      <c r="D231" s="80"/>
      <c r="E231" s="111"/>
      <c r="F231" s="80"/>
      <c r="G231" s="111"/>
      <c r="H231" s="80"/>
      <c r="I231" s="80"/>
      <c r="J231" s="80"/>
      <c r="K231" s="80"/>
      <c r="L231" s="111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</row>
    <row r="232" spans="1:54">
      <c r="A232" s="80"/>
      <c r="B232" s="80"/>
      <c r="C232" s="111"/>
      <c r="D232" s="80"/>
      <c r="E232" s="111"/>
      <c r="F232" s="80"/>
      <c r="G232" s="111"/>
      <c r="H232" s="80"/>
      <c r="I232" s="80"/>
      <c r="J232" s="80"/>
      <c r="K232" s="80"/>
      <c r="L232" s="111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</row>
    <row r="233" spans="1:54">
      <c r="A233" s="80"/>
      <c r="B233" s="80"/>
      <c r="C233" s="111"/>
      <c r="D233" s="80"/>
      <c r="E233" s="111"/>
      <c r="F233" s="80"/>
      <c r="G233" s="111"/>
      <c r="H233" s="80"/>
      <c r="I233" s="80"/>
      <c r="J233" s="80"/>
      <c r="K233" s="80"/>
      <c r="L233" s="111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</row>
    <row r="234" spans="1:54">
      <c r="A234" s="80"/>
      <c r="B234" s="80"/>
      <c r="C234" s="111"/>
      <c r="D234" s="80"/>
      <c r="E234" s="111"/>
      <c r="F234" s="80"/>
      <c r="G234" s="111"/>
      <c r="H234" s="80"/>
      <c r="I234" s="80"/>
      <c r="J234" s="80"/>
      <c r="K234" s="80"/>
      <c r="L234" s="111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</row>
    <row r="235" spans="1:54">
      <c r="A235" s="80"/>
      <c r="B235" s="80"/>
      <c r="C235" s="111"/>
      <c r="D235" s="80"/>
      <c r="E235" s="111"/>
      <c r="F235" s="80"/>
      <c r="G235" s="111"/>
      <c r="H235" s="80"/>
      <c r="I235" s="80"/>
      <c r="J235" s="80"/>
      <c r="K235" s="80"/>
      <c r="L235" s="111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</row>
    <row r="236" spans="1:54">
      <c r="A236" s="80"/>
      <c r="B236" s="80"/>
      <c r="C236" s="111"/>
      <c r="D236" s="80"/>
      <c r="E236" s="111"/>
      <c r="F236" s="80"/>
      <c r="G236" s="111"/>
      <c r="H236" s="80"/>
      <c r="I236" s="80"/>
      <c r="J236" s="80"/>
      <c r="K236" s="80"/>
      <c r="L236" s="111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</row>
    <row r="237" spans="1:54">
      <c r="A237" s="80"/>
      <c r="B237" s="80"/>
      <c r="C237" s="111"/>
      <c r="D237" s="80"/>
      <c r="E237" s="111"/>
      <c r="F237" s="80"/>
      <c r="G237" s="111"/>
      <c r="H237" s="80"/>
      <c r="I237" s="80"/>
      <c r="J237" s="80"/>
      <c r="K237" s="80"/>
      <c r="L237" s="111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</row>
    <row r="238" spans="1:54">
      <c r="A238" s="80"/>
      <c r="B238" s="80"/>
      <c r="C238" s="111"/>
      <c r="D238" s="80"/>
      <c r="E238" s="111"/>
      <c r="F238" s="80"/>
      <c r="G238" s="111"/>
      <c r="H238" s="80"/>
      <c r="I238" s="80"/>
      <c r="J238" s="80"/>
      <c r="K238" s="80"/>
      <c r="L238" s="111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</row>
    <row r="239" spans="1:54">
      <c r="A239" s="80"/>
      <c r="B239" s="80"/>
      <c r="C239" s="111"/>
      <c r="D239" s="80"/>
      <c r="E239" s="111"/>
      <c r="F239" s="80"/>
      <c r="G239" s="111"/>
      <c r="H239" s="80"/>
      <c r="I239" s="80"/>
      <c r="J239" s="80"/>
      <c r="K239" s="80"/>
      <c r="L239" s="111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</row>
    <row r="240" spans="1:54">
      <c r="A240" s="80"/>
      <c r="B240" s="80"/>
      <c r="C240" s="111"/>
      <c r="D240" s="80"/>
      <c r="E240" s="111"/>
      <c r="F240" s="80"/>
      <c r="G240" s="111"/>
      <c r="H240" s="80"/>
      <c r="I240" s="80"/>
      <c r="J240" s="80"/>
      <c r="K240" s="80"/>
      <c r="L240" s="111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</row>
    <row r="241" spans="1:54">
      <c r="A241" s="80"/>
      <c r="B241" s="80"/>
      <c r="C241" s="111"/>
      <c r="D241" s="80"/>
      <c r="E241" s="111"/>
      <c r="F241" s="80"/>
      <c r="G241" s="111"/>
      <c r="H241" s="80"/>
      <c r="I241" s="80"/>
      <c r="J241" s="80"/>
      <c r="K241" s="80"/>
      <c r="L241" s="111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</row>
    <row r="242" spans="1:54">
      <c r="A242" s="80"/>
      <c r="B242" s="80"/>
      <c r="C242" s="111"/>
      <c r="D242" s="80"/>
      <c r="E242" s="111"/>
      <c r="F242" s="80"/>
      <c r="G242" s="111"/>
      <c r="H242" s="80"/>
      <c r="I242" s="80"/>
      <c r="J242" s="80"/>
      <c r="K242" s="80"/>
      <c r="L242" s="111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</row>
    <row r="243" spans="1:54">
      <c r="A243" s="80"/>
      <c r="B243" s="80"/>
      <c r="C243" s="111"/>
      <c r="D243" s="80"/>
      <c r="E243" s="111"/>
      <c r="F243" s="80"/>
      <c r="G243" s="111"/>
      <c r="H243" s="80"/>
      <c r="I243" s="80"/>
      <c r="J243" s="80"/>
      <c r="K243" s="80"/>
      <c r="L243" s="111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</row>
    <row r="244" spans="1:54">
      <c r="A244" s="80"/>
      <c r="B244" s="80"/>
      <c r="C244" s="111"/>
      <c r="D244" s="80"/>
      <c r="E244" s="111"/>
      <c r="F244" s="80"/>
      <c r="G244" s="111"/>
      <c r="H244" s="80"/>
      <c r="I244" s="80"/>
      <c r="J244" s="80"/>
      <c r="K244" s="80"/>
      <c r="L244" s="111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</row>
    <row r="245" spans="1:54">
      <c r="A245" s="80"/>
      <c r="B245" s="80"/>
      <c r="C245" s="111"/>
      <c r="D245" s="80"/>
      <c r="E245" s="111"/>
      <c r="F245" s="80"/>
      <c r="G245" s="111"/>
      <c r="H245" s="80"/>
      <c r="I245" s="80"/>
      <c r="J245" s="80"/>
      <c r="K245" s="80"/>
      <c r="L245" s="111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</row>
    <row r="246" spans="1:54">
      <c r="A246" s="80"/>
      <c r="B246" s="80"/>
      <c r="C246" s="111"/>
      <c r="D246" s="80"/>
      <c r="E246" s="111"/>
      <c r="F246" s="80"/>
      <c r="G246" s="111"/>
      <c r="H246" s="80"/>
      <c r="I246" s="80"/>
      <c r="J246" s="80"/>
      <c r="K246" s="80"/>
      <c r="L246" s="111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</row>
    <row r="247" spans="1:54">
      <c r="A247" s="80"/>
      <c r="B247" s="80"/>
      <c r="C247" s="111"/>
      <c r="D247" s="80"/>
      <c r="E247" s="111"/>
      <c r="F247" s="80"/>
      <c r="G247" s="111"/>
      <c r="H247" s="80"/>
      <c r="I247" s="80"/>
      <c r="J247" s="80"/>
      <c r="K247" s="80"/>
      <c r="L247" s="111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</row>
    <row r="248" spans="1:54">
      <c r="A248" s="80"/>
      <c r="B248" s="80"/>
      <c r="C248" s="111"/>
      <c r="D248" s="80"/>
      <c r="E248" s="111"/>
      <c r="F248" s="80"/>
      <c r="G248" s="111"/>
      <c r="H248" s="80"/>
      <c r="I248" s="80"/>
      <c r="J248" s="80"/>
      <c r="K248" s="80"/>
      <c r="L248" s="111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</row>
    <row r="249" spans="1:54">
      <c r="A249" s="80"/>
      <c r="B249" s="80"/>
      <c r="C249" s="111"/>
      <c r="D249" s="80"/>
      <c r="E249" s="111"/>
      <c r="F249" s="80"/>
      <c r="G249" s="111"/>
      <c r="H249" s="80"/>
      <c r="I249" s="80"/>
      <c r="J249" s="80"/>
      <c r="K249" s="80"/>
      <c r="L249" s="111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</row>
    <row r="250" spans="1:54">
      <c r="A250" s="80"/>
      <c r="B250" s="80"/>
      <c r="C250" s="111"/>
      <c r="D250" s="80"/>
      <c r="E250" s="111"/>
      <c r="F250" s="80"/>
      <c r="G250" s="111"/>
      <c r="H250" s="80"/>
      <c r="I250" s="80"/>
      <c r="J250" s="80"/>
      <c r="K250" s="80"/>
      <c r="L250" s="111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</row>
    <row r="251" spans="1:54">
      <c r="A251" s="80"/>
      <c r="B251" s="80"/>
      <c r="C251" s="111"/>
      <c r="D251" s="80"/>
      <c r="E251" s="111"/>
      <c r="F251" s="80"/>
      <c r="G251" s="111"/>
      <c r="H251" s="80"/>
      <c r="I251" s="80"/>
      <c r="J251" s="80"/>
      <c r="K251" s="80"/>
      <c r="L251" s="111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</row>
    <row r="252" spans="1:54">
      <c r="A252" s="80"/>
      <c r="B252" s="80"/>
      <c r="C252" s="111"/>
      <c r="D252" s="80"/>
      <c r="E252" s="111"/>
      <c r="F252" s="80"/>
      <c r="G252" s="111"/>
      <c r="H252" s="80"/>
      <c r="I252" s="80"/>
      <c r="J252" s="80"/>
      <c r="K252" s="80"/>
      <c r="L252" s="111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</row>
    <row r="253" spans="1:54">
      <c r="A253" s="80"/>
      <c r="B253" s="80"/>
      <c r="C253" s="111"/>
      <c r="D253" s="80"/>
      <c r="E253" s="111"/>
      <c r="F253" s="80"/>
      <c r="G253" s="111"/>
      <c r="H253" s="80"/>
      <c r="I253" s="80"/>
      <c r="J253" s="80"/>
      <c r="K253" s="80"/>
      <c r="L253" s="111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</row>
    <row r="254" spans="1:54">
      <c r="A254" s="80"/>
      <c r="B254" s="80"/>
      <c r="C254" s="111"/>
      <c r="D254" s="80"/>
      <c r="E254" s="111"/>
      <c r="F254" s="80"/>
      <c r="G254" s="111"/>
      <c r="H254" s="80"/>
      <c r="I254" s="80"/>
      <c r="J254" s="80"/>
      <c r="K254" s="80"/>
      <c r="L254" s="111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</row>
    <row r="255" spans="1:54">
      <c r="A255" s="80"/>
      <c r="B255" s="80"/>
      <c r="C255" s="111"/>
      <c r="D255" s="80"/>
      <c r="E255" s="111"/>
      <c r="F255" s="80"/>
      <c r="G255" s="111"/>
      <c r="H255" s="80"/>
      <c r="I255" s="80"/>
      <c r="J255" s="80"/>
      <c r="K255" s="80"/>
      <c r="L255" s="111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</row>
    <row r="256" spans="1:54">
      <c r="A256" s="80"/>
      <c r="B256" s="80"/>
      <c r="C256" s="111"/>
      <c r="D256" s="80"/>
      <c r="E256" s="111"/>
      <c r="F256" s="80"/>
      <c r="G256" s="111"/>
      <c r="H256" s="80"/>
      <c r="I256" s="80"/>
      <c r="J256" s="80"/>
      <c r="K256" s="80"/>
      <c r="L256" s="111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</row>
    <row r="257" spans="1:54">
      <c r="A257" s="80"/>
      <c r="B257" s="80"/>
      <c r="C257" s="111"/>
      <c r="D257" s="80"/>
      <c r="E257" s="111"/>
      <c r="F257" s="80"/>
      <c r="G257" s="111"/>
      <c r="H257" s="80"/>
      <c r="I257" s="80"/>
      <c r="J257" s="80"/>
      <c r="K257" s="80"/>
      <c r="L257" s="111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</row>
    <row r="258" spans="1:54">
      <c r="A258" s="80"/>
      <c r="B258" s="80"/>
      <c r="C258" s="111"/>
      <c r="D258" s="80"/>
      <c r="E258" s="111"/>
      <c r="F258" s="80"/>
      <c r="G258" s="111"/>
      <c r="H258" s="80"/>
      <c r="I258" s="80"/>
      <c r="J258" s="80"/>
      <c r="K258" s="80"/>
      <c r="L258" s="111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</row>
    <row r="259" spans="1:54">
      <c r="A259" s="80"/>
      <c r="B259" s="80"/>
      <c r="C259" s="111"/>
      <c r="D259" s="80"/>
      <c r="E259" s="111"/>
      <c r="F259" s="80"/>
      <c r="G259" s="111"/>
      <c r="H259" s="80"/>
      <c r="I259" s="80"/>
      <c r="J259" s="80"/>
      <c r="K259" s="80"/>
      <c r="L259" s="111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</row>
    <row r="260" spans="1:54">
      <c r="A260" s="80"/>
      <c r="B260" s="80"/>
      <c r="C260" s="111"/>
      <c r="D260" s="80"/>
      <c r="E260" s="111"/>
      <c r="F260" s="80"/>
      <c r="G260" s="111"/>
      <c r="H260" s="80"/>
      <c r="I260" s="80"/>
      <c r="J260" s="80"/>
      <c r="K260" s="80"/>
      <c r="L260" s="111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</row>
    <row r="261" spans="1:54">
      <c r="A261" s="80"/>
      <c r="B261" s="80"/>
      <c r="C261" s="111"/>
      <c r="D261" s="80"/>
      <c r="E261" s="111"/>
      <c r="F261" s="80"/>
      <c r="G261" s="111"/>
      <c r="H261" s="80"/>
      <c r="I261" s="80"/>
      <c r="J261" s="80"/>
      <c r="K261" s="80"/>
      <c r="L261" s="111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</row>
    <row r="262" spans="1:54">
      <c r="A262" s="80"/>
      <c r="B262" s="80"/>
      <c r="C262" s="111"/>
      <c r="D262" s="80"/>
      <c r="E262" s="111"/>
      <c r="F262" s="80"/>
      <c r="G262" s="111"/>
      <c r="H262" s="80"/>
      <c r="I262" s="80"/>
      <c r="J262" s="80"/>
      <c r="K262" s="80"/>
      <c r="L262" s="111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</row>
    <row r="263" spans="1:54">
      <c r="A263" s="80"/>
      <c r="B263" s="80"/>
      <c r="C263" s="111"/>
      <c r="D263" s="80"/>
      <c r="E263" s="111"/>
      <c r="F263" s="80"/>
      <c r="G263" s="111"/>
      <c r="H263" s="80"/>
      <c r="I263" s="80"/>
      <c r="J263" s="80"/>
      <c r="K263" s="80"/>
      <c r="L263" s="111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</row>
    <row r="264" spans="1:54">
      <c r="A264" s="80"/>
      <c r="B264" s="80"/>
      <c r="C264" s="111"/>
      <c r="D264" s="80"/>
      <c r="E264" s="111"/>
      <c r="F264" s="80"/>
      <c r="G264" s="111"/>
      <c r="H264" s="80"/>
      <c r="I264" s="80"/>
      <c r="J264" s="80"/>
      <c r="K264" s="80"/>
      <c r="L264" s="111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</row>
    <row r="265" spans="1:54">
      <c r="A265" s="80"/>
      <c r="B265" s="80"/>
      <c r="C265" s="111"/>
      <c r="D265" s="80"/>
      <c r="E265" s="111"/>
      <c r="F265" s="80"/>
      <c r="G265" s="111"/>
      <c r="H265" s="80"/>
      <c r="I265" s="80"/>
      <c r="J265" s="80"/>
      <c r="K265" s="80"/>
      <c r="L265" s="111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</row>
    <row r="266" spans="1:54">
      <c r="A266" s="80"/>
      <c r="B266" s="80"/>
      <c r="C266" s="111"/>
      <c r="D266" s="80"/>
      <c r="E266" s="111"/>
      <c r="F266" s="80"/>
      <c r="G266" s="111"/>
      <c r="H266" s="80"/>
      <c r="I266" s="80"/>
      <c r="J266" s="80"/>
      <c r="K266" s="80"/>
      <c r="L266" s="111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</row>
    <row r="267" spans="1:54">
      <c r="A267" s="80"/>
      <c r="B267" s="80"/>
      <c r="C267" s="111"/>
      <c r="D267" s="80"/>
      <c r="E267" s="111"/>
      <c r="F267" s="80"/>
      <c r="G267" s="111"/>
      <c r="H267" s="80"/>
      <c r="I267" s="80"/>
      <c r="J267" s="80"/>
      <c r="K267" s="80"/>
      <c r="L267" s="111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</row>
    <row r="268" spans="1:54">
      <c r="A268" s="80"/>
      <c r="B268" s="80"/>
      <c r="C268" s="111"/>
      <c r="D268" s="80"/>
      <c r="E268" s="111"/>
      <c r="F268" s="80"/>
      <c r="G268" s="111"/>
      <c r="H268" s="80"/>
      <c r="I268" s="80"/>
      <c r="J268" s="80"/>
      <c r="K268" s="80"/>
      <c r="L268" s="111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</row>
    <row r="269" spans="1:54">
      <c r="A269" s="80"/>
      <c r="B269" s="80"/>
      <c r="C269" s="111"/>
      <c r="D269" s="80"/>
      <c r="E269" s="111"/>
      <c r="F269" s="80"/>
      <c r="G269" s="111"/>
      <c r="H269" s="80"/>
      <c r="I269" s="80"/>
      <c r="J269" s="80"/>
      <c r="K269" s="80"/>
      <c r="L269" s="111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</row>
    <row r="270" spans="1:54">
      <c r="A270" s="80"/>
      <c r="B270" s="80"/>
      <c r="C270" s="111"/>
      <c r="D270" s="80"/>
      <c r="E270" s="111"/>
      <c r="F270" s="80"/>
      <c r="G270" s="111"/>
      <c r="H270" s="80"/>
      <c r="I270" s="80"/>
      <c r="J270" s="80"/>
      <c r="K270" s="80"/>
      <c r="L270" s="111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</row>
    <row r="271" spans="1:54">
      <c r="A271" s="80"/>
      <c r="B271" s="80"/>
      <c r="C271" s="111"/>
      <c r="D271" s="80"/>
      <c r="E271" s="111"/>
      <c r="F271" s="80"/>
      <c r="G271" s="111"/>
      <c r="H271" s="80"/>
      <c r="I271" s="80"/>
      <c r="J271" s="80"/>
      <c r="K271" s="80"/>
      <c r="L271" s="111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</row>
    <row r="272" spans="1:54">
      <c r="A272" s="80"/>
      <c r="B272" s="80"/>
      <c r="C272" s="111"/>
      <c r="D272" s="80"/>
      <c r="E272" s="111"/>
      <c r="F272" s="80"/>
      <c r="G272" s="111"/>
      <c r="H272" s="80"/>
      <c r="I272" s="80"/>
      <c r="J272" s="80"/>
      <c r="K272" s="80"/>
      <c r="L272" s="111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</row>
    <row r="273" spans="1:54">
      <c r="A273" s="80"/>
      <c r="B273" s="80"/>
      <c r="C273" s="111"/>
      <c r="D273" s="80"/>
      <c r="E273" s="111"/>
      <c r="F273" s="80"/>
      <c r="G273" s="111"/>
      <c r="H273" s="80"/>
      <c r="I273" s="80"/>
      <c r="J273" s="80"/>
      <c r="K273" s="80"/>
      <c r="L273" s="111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</row>
    <row r="274" spans="1:54">
      <c r="A274" s="80"/>
      <c r="B274" s="80"/>
      <c r="C274" s="111"/>
      <c r="D274" s="80"/>
      <c r="E274" s="111"/>
      <c r="F274" s="80"/>
      <c r="G274" s="111"/>
      <c r="H274" s="80"/>
      <c r="I274" s="80"/>
      <c r="J274" s="80"/>
      <c r="K274" s="80"/>
      <c r="L274" s="111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</row>
    <row r="275" spans="1:54">
      <c r="A275" s="80"/>
      <c r="B275" s="80"/>
      <c r="C275" s="111"/>
      <c r="D275" s="80"/>
      <c r="E275" s="111"/>
      <c r="F275" s="80"/>
      <c r="G275" s="111"/>
      <c r="H275" s="80"/>
      <c r="I275" s="80"/>
      <c r="J275" s="80"/>
      <c r="K275" s="80"/>
      <c r="L275" s="111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</row>
    <row r="276" spans="1:54">
      <c r="A276" s="80"/>
      <c r="B276" s="80"/>
      <c r="C276" s="111"/>
      <c r="D276" s="80"/>
      <c r="E276" s="111"/>
      <c r="F276" s="80"/>
      <c r="G276" s="111"/>
      <c r="H276" s="80"/>
      <c r="I276" s="80"/>
      <c r="J276" s="80"/>
      <c r="K276" s="80"/>
      <c r="L276" s="111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</row>
    <row r="277" spans="1:54">
      <c r="A277" s="80"/>
      <c r="B277" s="80"/>
      <c r="C277" s="111"/>
      <c r="D277" s="80"/>
      <c r="E277" s="111"/>
      <c r="F277" s="80"/>
      <c r="G277" s="111"/>
      <c r="H277" s="80"/>
      <c r="I277" s="80"/>
      <c r="J277" s="80"/>
      <c r="K277" s="80"/>
      <c r="L277" s="111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</row>
    <row r="278" spans="1:54">
      <c r="A278" s="80"/>
      <c r="B278" s="80"/>
      <c r="C278" s="111"/>
      <c r="D278" s="80"/>
      <c r="E278" s="111"/>
      <c r="F278" s="80"/>
      <c r="G278" s="111"/>
      <c r="H278" s="80"/>
      <c r="I278" s="80"/>
      <c r="J278" s="80"/>
      <c r="K278" s="80"/>
      <c r="L278" s="111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</row>
    <row r="279" spans="1:54">
      <c r="A279" s="80"/>
      <c r="B279" s="80"/>
      <c r="C279" s="111"/>
      <c r="D279" s="80"/>
      <c r="E279" s="111"/>
      <c r="F279" s="80"/>
      <c r="G279" s="111"/>
      <c r="H279" s="80"/>
      <c r="I279" s="80"/>
      <c r="J279" s="80"/>
      <c r="K279" s="80"/>
      <c r="L279" s="111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</row>
    <row r="280" spans="1:54">
      <c r="A280" s="80"/>
      <c r="B280" s="80"/>
      <c r="C280" s="111"/>
      <c r="D280" s="80"/>
      <c r="E280" s="111"/>
      <c r="F280" s="80"/>
      <c r="G280" s="111"/>
      <c r="H280" s="80"/>
      <c r="I280" s="80"/>
      <c r="J280" s="80"/>
      <c r="K280" s="80"/>
      <c r="L280" s="111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</row>
    <row r="281" spans="1:54">
      <c r="A281" s="80"/>
      <c r="B281" s="80"/>
      <c r="C281" s="111"/>
      <c r="D281" s="80"/>
      <c r="E281" s="111"/>
      <c r="F281" s="80"/>
      <c r="G281" s="111"/>
      <c r="H281" s="80"/>
      <c r="I281" s="80"/>
      <c r="J281" s="80"/>
      <c r="K281" s="80"/>
      <c r="L281" s="111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</row>
    <row r="282" spans="1:54">
      <c r="A282" s="80"/>
      <c r="B282" s="80"/>
      <c r="C282" s="111"/>
      <c r="D282" s="80"/>
      <c r="E282" s="111"/>
      <c r="F282" s="80"/>
      <c r="G282" s="111"/>
      <c r="H282" s="80"/>
      <c r="I282" s="80"/>
      <c r="J282" s="80"/>
      <c r="K282" s="80"/>
      <c r="L282" s="111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</row>
    <row r="283" spans="1:54">
      <c r="A283" s="80"/>
      <c r="B283" s="80"/>
      <c r="C283" s="111"/>
      <c r="D283" s="80"/>
      <c r="E283" s="111"/>
      <c r="F283" s="80"/>
      <c r="G283" s="111"/>
      <c r="H283" s="80"/>
      <c r="I283" s="80"/>
      <c r="J283" s="80"/>
      <c r="K283" s="80"/>
      <c r="L283" s="111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</row>
    <row r="284" spans="1:54">
      <c r="A284" s="80"/>
      <c r="B284" s="80"/>
      <c r="C284" s="111"/>
      <c r="D284" s="80"/>
      <c r="E284" s="111"/>
      <c r="F284" s="80"/>
      <c r="G284" s="111"/>
      <c r="H284" s="80"/>
      <c r="I284" s="80"/>
      <c r="J284" s="80"/>
      <c r="K284" s="80"/>
      <c r="L284" s="111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</row>
    <row r="285" spans="1:54">
      <c r="A285" s="80"/>
      <c r="B285" s="80"/>
      <c r="C285" s="111"/>
      <c r="D285" s="80"/>
      <c r="E285" s="111"/>
      <c r="F285" s="80"/>
      <c r="G285" s="111"/>
      <c r="H285" s="80"/>
      <c r="I285" s="80"/>
      <c r="J285" s="80"/>
      <c r="K285" s="80"/>
      <c r="L285" s="111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</row>
    <row r="286" spans="1:54">
      <c r="A286" s="80"/>
      <c r="B286" s="80"/>
      <c r="C286" s="111"/>
      <c r="D286" s="80"/>
      <c r="E286" s="111"/>
      <c r="F286" s="80"/>
      <c r="G286" s="111"/>
      <c r="H286" s="80"/>
      <c r="I286" s="80"/>
      <c r="J286" s="80"/>
      <c r="K286" s="80"/>
      <c r="L286" s="111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</row>
    <row r="287" spans="1:54">
      <c r="A287" s="80"/>
      <c r="B287" s="80"/>
      <c r="C287" s="111"/>
      <c r="D287" s="80"/>
      <c r="E287" s="111"/>
      <c r="F287" s="80"/>
      <c r="G287" s="111"/>
      <c r="H287" s="80"/>
      <c r="I287" s="80"/>
      <c r="J287" s="80"/>
      <c r="K287" s="80"/>
      <c r="L287" s="111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</row>
    <row r="288" spans="1:54">
      <c r="A288" s="80"/>
      <c r="B288" s="80"/>
      <c r="C288" s="111"/>
      <c r="D288" s="80"/>
      <c r="E288" s="111"/>
      <c r="F288" s="80"/>
      <c r="G288" s="111"/>
      <c r="H288" s="80"/>
      <c r="I288" s="80"/>
      <c r="J288" s="80"/>
      <c r="K288" s="80"/>
      <c r="L288" s="111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</row>
    <row r="289" spans="1:54">
      <c r="A289" s="80"/>
      <c r="B289" s="80"/>
      <c r="C289" s="111"/>
      <c r="D289" s="80"/>
      <c r="E289" s="111"/>
      <c r="F289" s="80"/>
      <c r="G289" s="111"/>
      <c r="H289" s="80"/>
      <c r="I289" s="80"/>
      <c r="J289" s="80"/>
      <c r="K289" s="80"/>
      <c r="L289" s="111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</row>
    <row r="290" spans="1:54">
      <c r="A290" s="80"/>
      <c r="B290" s="80"/>
      <c r="C290" s="111"/>
      <c r="D290" s="80"/>
      <c r="E290" s="111"/>
      <c r="F290" s="80"/>
      <c r="G290" s="111"/>
      <c r="H290" s="80"/>
      <c r="I290" s="80"/>
      <c r="J290" s="80"/>
      <c r="K290" s="80"/>
      <c r="L290" s="111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</row>
    <row r="291" spans="1:54">
      <c r="A291" s="80"/>
      <c r="B291" s="80"/>
      <c r="C291" s="111"/>
      <c r="D291" s="80"/>
      <c r="E291" s="111"/>
      <c r="F291" s="80"/>
      <c r="G291" s="111"/>
      <c r="H291" s="80"/>
      <c r="I291" s="80"/>
      <c r="J291" s="80"/>
      <c r="K291" s="80"/>
      <c r="L291" s="111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</row>
    <row r="292" spans="1:54">
      <c r="A292" s="80"/>
      <c r="B292" s="80"/>
      <c r="C292" s="111"/>
      <c r="D292" s="80"/>
      <c r="E292" s="111"/>
      <c r="F292" s="80"/>
      <c r="G292" s="111"/>
      <c r="H292" s="80"/>
      <c r="I292" s="80"/>
      <c r="J292" s="80"/>
      <c r="K292" s="80"/>
      <c r="L292" s="111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</row>
    <row r="293" spans="1:54">
      <c r="A293" s="80"/>
      <c r="B293" s="80"/>
      <c r="C293" s="111"/>
      <c r="D293" s="80"/>
      <c r="E293" s="111"/>
      <c r="F293" s="80"/>
      <c r="G293" s="111"/>
      <c r="H293" s="80"/>
      <c r="I293" s="80"/>
      <c r="J293" s="80"/>
      <c r="K293" s="80"/>
      <c r="L293" s="111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</row>
    <row r="294" spans="1:54">
      <c r="A294" s="80"/>
      <c r="B294" s="80"/>
      <c r="C294" s="111"/>
      <c r="D294" s="80"/>
      <c r="E294" s="111"/>
      <c r="F294" s="80"/>
      <c r="G294" s="111"/>
      <c r="H294" s="80"/>
      <c r="I294" s="80"/>
      <c r="J294" s="80"/>
      <c r="K294" s="80"/>
      <c r="L294" s="111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</row>
    <row r="295" spans="1:54">
      <c r="A295" s="80"/>
      <c r="B295" s="80"/>
      <c r="C295" s="111"/>
      <c r="D295" s="80"/>
      <c r="E295" s="111"/>
      <c r="F295" s="80"/>
      <c r="G295" s="111"/>
      <c r="H295" s="80"/>
      <c r="I295" s="80"/>
      <c r="J295" s="80"/>
      <c r="K295" s="80"/>
      <c r="L295" s="111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</row>
    <row r="296" spans="1:54">
      <c r="A296" s="80"/>
      <c r="B296" s="80"/>
      <c r="C296" s="111"/>
      <c r="D296" s="80"/>
      <c r="E296" s="111"/>
      <c r="F296" s="80"/>
      <c r="G296" s="111"/>
      <c r="H296" s="80"/>
      <c r="I296" s="80"/>
      <c r="J296" s="80"/>
      <c r="K296" s="80"/>
      <c r="L296" s="111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</row>
    <row r="297" spans="1:54">
      <c r="A297" s="80"/>
      <c r="B297" s="80"/>
      <c r="C297" s="111"/>
      <c r="D297" s="80"/>
      <c r="E297" s="111"/>
      <c r="F297" s="80"/>
      <c r="G297" s="111"/>
      <c r="H297" s="80"/>
      <c r="I297" s="80"/>
      <c r="J297" s="80"/>
      <c r="K297" s="80"/>
      <c r="L297" s="111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</row>
    <row r="298" spans="1:54">
      <c r="A298" s="80"/>
      <c r="B298" s="80"/>
      <c r="C298" s="111"/>
      <c r="D298" s="80"/>
      <c r="E298" s="111"/>
      <c r="F298" s="80"/>
      <c r="G298" s="111"/>
      <c r="H298" s="80"/>
      <c r="I298" s="80"/>
      <c r="J298" s="80"/>
      <c r="K298" s="80"/>
      <c r="L298" s="111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</row>
    <row r="299" spans="1:54">
      <c r="A299" s="80"/>
      <c r="B299" s="80"/>
      <c r="C299" s="111"/>
      <c r="D299" s="80"/>
      <c r="E299" s="111"/>
      <c r="F299" s="80"/>
      <c r="G299" s="111"/>
      <c r="H299" s="80"/>
      <c r="I299" s="80"/>
      <c r="J299" s="80"/>
      <c r="K299" s="80"/>
      <c r="L299" s="111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</row>
    <row r="300" spans="1:54">
      <c r="A300" s="80"/>
      <c r="B300" s="80"/>
      <c r="C300" s="111"/>
      <c r="D300" s="80"/>
      <c r="E300" s="111"/>
      <c r="F300" s="80"/>
      <c r="G300" s="111"/>
      <c r="H300" s="80"/>
      <c r="I300" s="80"/>
      <c r="J300" s="80"/>
      <c r="K300" s="80"/>
      <c r="L300" s="111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</row>
    <row r="301" spans="1:54">
      <c r="A301" s="80"/>
      <c r="B301" s="80"/>
      <c r="C301" s="111"/>
      <c r="D301" s="80"/>
      <c r="E301" s="111"/>
      <c r="F301" s="80"/>
      <c r="G301" s="111"/>
      <c r="H301" s="80"/>
      <c r="I301" s="80"/>
      <c r="J301" s="80"/>
      <c r="K301" s="80"/>
      <c r="L301" s="111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</row>
    <row r="302" spans="1:54">
      <c r="A302" s="80"/>
      <c r="B302" s="80"/>
      <c r="C302" s="111"/>
      <c r="D302" s="80"/>
      <c r="E302" s="111"/>
      <c r="F302" s="80"/>
      <c r="G302" s="111"/>
      <c r="H302" s="80"/>
      <c r="I302" s="80"/>
      <c r="J302" s="80"/>
      <c r="K302" s="80"/>
      <c r="L302" s="111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</row>
    <row r="303" spans="1:54">
      <c r="A303" s="80"/>
      <c r="B303" s="80"/>
      <c r="C303" s="111"/>
      <c r="D303" s="80"/>
      <c r="E303" s="111"/>
      <c r="F303" s="80"/>
      <c r="G303" s="111"/>
      <c r="H303" s="80"/>
      <c r="I303" s="80"/>
      <c r="J303" s="80"/>
      <c r="K303" s="80"/>
      <c r="L303" s="111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</row>
    <row r="304" spans="1:54">
      <c r="A304" s="80"/>
      <c r="B304" s="80"/>
      <c r="C304" s="111"/>
      <c r="D304" s="80"/>
      <c r="E304" s="111"/>
      <c r="F304" s="80"/>
      <c r="G304" s="111"/>
      <c r="H304" s="80"/>
      <c r="I304" s="80"/>
      <c r="J304" s="80"/>
      <c r="K304" s="80"/>
      <c r="L304" s="111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</row>
    <row r="305" spans="1:54">
      <c r="A305" s="80"/>
      <c r="B305" s="80"/>
      <c r="C305" s="111"/>
      <c r="D305" s="80"/>
      <c r="E305" s="111"/>
      <c r="F305" s="80"/>
      <c r="G305" s="111"/>
      <c r="H305" s="80"/>
      <c r="I305" s="80"/>
      <c r="J305" s="80"/>
      <c r="K305" s="80"/>
      <c r="L305" s="111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</row>
    <row r="306" spans="1:54">
      <c r="A306" s="80"/>
      <c r="B306" s="80"/>
      <c r="C306" s="111"/>
      <c r="D306" s="80"/>
      <c r="E306" s="111"/>
      <c r="F306" s="80"/>
      <c r="G306" s="111"/>
      <c r="H306" s="80"/>
      <c r="I306" s="80"/>
      <c r="J306" s="80"/>
      <c r="K306" s="80"/>
      <c r="L306" s="111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</row>
    <row r="307" spans="1:54">
      <c r="A307" s="80"/>
      <c r="B307" s="80"/>
      <c r="C307" s="111"/>
      <c r="D307" s="80"/>
      <c r="E307" s="111"/>
      <c r="F307" s="80"/>
      <c r="G307" s="111"/>
      <c r="H307" s="80"/>
      <c r="I307" s="80"/>
      <c r="J307" s="80"/>
      <c r="K307" s="80"/>
      <c r="L307" s="111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</row>
    <row r="308" spans="1:54">
      <c r="A308" s="80"/>
      <c r="B308" s="80"/>
      <c r="C308" s="111"/>
      <c r="D308" s="80"/>
      <c r="E308" s="111"/>
      <c r="F308" s="80"/>
      <c r="G308" s="111"/>
      <c r="H308" s="80"/>
      <c r="I308" s="80"/>
      <c r="J308" s="80"/>
      <c r="K308" s="80"/>
      <c r="L308" s="111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</row>
    <row r="309" spans="1:54">
      <c r="A309" s="80"/>
      <c r="B309" s="80"/>
      <c r="C309" s="111"/>
      <c r="D309" s="80"/>
      <c r="E309" s="111"/>
      <c r="F309" s="80"/>
      <c r="G309" s="111"/>
      <c r="H309" s="80"/>
      <c r="I309" s="80"/>
      <c r="J309" s="80"/>
      <c r="K309" s="80"/>
      <c r="L309" s="111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</row>
    <row r="310" spans="1:54">
      <c r="A310" s="80"/>
      <c r="B310" s="80"/>
      <c r="C310" s="111"/>
      <c r="D310" s="80"/>
      <c r="E310" s="111"/>
      <c r="F310" s="80"/>
      <c r="G310" s="111"/>
      <c r="H310" s="80"/>
      <c r="I310" s="80"/>
      <c r="J310" s="80"/>
      <c r="K310" s="80"/>
      <c r="L310" s="111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</row>
    <row r="311" spans="1:54">
      <c r="A311" s="80"/>
      <c r="B311" s="80"/>
      <c r="C311" s="111"/>
      <c r="D311" s="80"/>
      <c r="E311" s="111"/>
      <c r="F311" s="80"/>
      <c r="G311" s="111"/>
      <c r="H311" s="80"/>
      <c r="I311" s="80"/>
      <c r="J311" s="80"/>
      <c r="K311" s="80"/>
      <c r="L311" s="111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</row>
    <row r="312" spans="1:54">
      <c r="A312" s="80"/>
      <c r="B312" s="80"/>
      <c r="C312" s="111"/>
      <c r="D312" s="80"/>
      <c r="E312" s="111"/>
      <c r="F312" s="80"/>
      <c r="G312" s="111"/>
      <c r="H312" s="80"/>
      <c r="I312" s="80"/>
      <c r="J312" s="80"/>
      <c r="K312" s="80"/>
      <c r="L312" s="111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</row>
    <row r="313" spans="1:54">
      <c r="A313" s="80"/>
      <c r="B313" s="80"/>
      <c r="C313" s="111"/>
      <c r="D313" s="80"/>
      <c r="E313" s="111"/>
      <c r="F313" s="80"/>
      <c r="G313" s="111"/>
      <c r="H313" s="80"/>
      <c r="I313" s="80"/>
      <c r="J313" s="80"/>
      <c r="K313" s="80"/>
      <c r="L313" s="111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</row>
    <row r="314" spans="1:54">
      <c r="A314" s="80"/>
      <c r="B314" s="80"/>
      <c r="C314" s="111"/>
      <c r="D314" s="80"/>
      <c r="E314" s="111"/>
      <c r="F314" s="80"/>
      <c r="G314" s="111"/>
      <c r="H314" s="80"/>
      <c r="I314" s="80"/>
      <c r="J314" s="80"/>
      <c r="K314" s="80"/>
      <c r="L314" s="111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</row>
    <row r="315" spans="1:54">
      <c r="A315" s="80"/>
      <c r="B315" s="80"/>
      <c r="C315" s="111"/>
      <c r="D315" s="80"/>
      <c r="E315" s="111"/>
      <c r="F315" s="80"/>
      <c r="G315" s="111"/>
      <c r="H315" s="80"/>
      <c r="I315" s="80"/>
      <c r="J315" s="80"/>
      <c r="K315" s="80"/>
      <c r="L315" s="111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</row>
    <row r="316" spans="1:54">
      <c r="A316" s="80"/>
      <c r="B316" s="80"/>
      <c r="C316" s="111"/>
      <c r="D316" s="80"/>
      <c r="E316" s="111"/>
      <c r="F316" s="80"/>
      <c r="G316" s="111"/>
      <c r="H316" s="80"/>
      <c r="I316" s="80"/>
      <c r="J316" s="80"/>
      <c r="K316" s="80"/>
      <c r="L316" s="111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</row>
    <row r="317" spans="1:54">
      <c r="A317" s="80"/>
      <c r="B317" s="80"/>
      <c r="C317" s="111"/>
      <c r="D317" s="80"/>
      <c r="E317" s="111"/>
      <c r="F317" s="80"/>
      <c r="G317" s="111"/>
      <c r="H317" s="80"/>
      <c r="I317" s="80"/>
      <c r="J317" s="80"/>
      <c r="K317" s="80"/>
      <c r="L317" s="111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</row>
    <row r="318" spans="1:54">
      <c r="A318" s="80"/>
      <c r="B318" s="80"/>
      <c r="C318" s="111"/>
      <c r="D318" s="80"/>
      <c r="E318" s="111"/>
      <c r="F318" s="80"/>
      <c r="G318" s="111"/>
      <c r="H318" s="80"/>
      <c r="I318" s="80"/>
      <c r="J318" s="80"/>
      <c r="K318" s="80"/>
      <c r="L318" s="111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</row>
    <row r="319" spans="1:54">
      <c r="A319" s="80"/>
      <c r="B319" s="80"/>
      <c r="C319" s="111"/>
      <c r="D319" s="80"/>
      <c r="E319" s="111"/>
      <c r="F319" s="80"/>
      <c r="G319" s="111"/>
      <c r="H319" s="80"/>
      <c r="I319" s="80"/>
      <c r="J319" s="80"/>
      <c r="K319" s="80"/>
      <c r="L319" s="111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</row>
    <row r="320" spans="1:54">
      <c r="A320" s="80"/>
      <c r="B320" s="80"/>
      <c r="C320" s="111"/>
      <c r="D320" s="80"/>
      <c r="E320" s="111"/>
      <c r="F320" s="80"/>
      <c r="G320" s="111"/>
      <c r="H320" s="80"/>
      <c r="I320" s="80"/>
      <c r="J320" s="80"/>
      <c r="K320" s="80"/>
      <c r="L320" s="111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</row>
    <row r="321" spans="1:54">
      <c r="A321" s="80"/>
      <c r="B321" s="80"/>
      <c r="C321" s="111"/>
      <c r="D321" s="80"/>
      <c r="E321" s="111"/>
      <c r="F321" s="80"/>
      <c r="G321" s="111"/>
      <c r="H321" s="80"/>
      <c r="I321" s="80"/>
      <c r="J321" s="80"/>
      <c r="K321" s="80"/>
      <c r="L321" s="111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</row>
    <row r="322" spans="1:54">
      <c r="A322" s="80"/>
      <c r="B322" s="80"/>
      <c r="C322" s="111"/>
      <c r="D322" s="80"/>
      <c r="E322" s="111"/>
      <c r="F322" s="80"/>
      <c r="G322" s="111"/>
      <c r="H322" s="80"/>
      <c r="I322" s="80"/>
      <c r="J322" s="80"/>
      <c r="K322" s="80"/>
      <c r="L322" s="111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</row>
    <row r="323" spans="1:54">
      <c r="A323" s="80"/>
      <c r="B323" s="80"/>
      <c r="C323" s="111"/>
      <c r="D323" s="80"/>
      <c r="E323" s="111"/>
      <c r="F323" s="80"/>
      <c r="G323" s="111"/>
      <c r="H323" s="80"/>
      <c r="I323" s="80"/>
      <c r="J323" s="80"/>
      <c r="K323" s="80"/>
      <c r="L323" s="111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</row>
    <row r="324" spans="1:54">
      <c r="A324" s="80"/>
      <c r="B324" s="80"/>
      <c r="C324" s="111"/>
      <c r="D324" s="80"/>
      <c r="E324" s="111"/>
      <c r="F324" s="80"/>
      <c r="G324" s="111"/>
      <c r="H324" s="80"/>
      <c r="I324" s="80"/>
      <c r="J324" s="80"/>
      <c r="K324" s="80"/>
      <c r="L324" s="111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</row>
    <row r="325" spans="1:54">
      <c r="A325" s="80"/>
      <c r="B325" s="80"/>
      <c r="C325" s="111"/>
      <c r="D325" s="80"/>
      <c r="E325" s="111"/>
      <c r="F325" s="80"/>
      <c r="G325" s="111"/>
      <c r="H325" s="80"/>
      <c r="I325" s="80"/>
      <c r="J325" s="80"/>
      <c r="K325" s="80"/>
      <c r="L325" s="111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</row>
    <row r="326" spans="1:54">
      <c r="A326" s="80"/>
      <c r="B326" s="80"/>
      <c r="C326" s="111"/>
      <c r="D326" s="80"/>
      <c r="E326" s="111"/>
      <c r="F326" s="80"/>
      <c r="G326" s="111"/>
      <c r="H326" s="80"/>
      <c r="I326" s="80"/>
      <c r="J326" s="80"/>
      <c r="K326" s="80"/>
      <c r="L326" s="111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</row>
    <row r="327" spans="1:54">
      <c r="A327" s="80"/>
      <c r="B327" s="80"/>
      <c r="C327" s="111"/>
      <c r="D327" s="80"/>
      <c r="E327" s="111"/>
      <c r="F327" s="80"/>
      <c r="G327" s="111"/>
      <c r="H327" s="80"/>
      <c r="I327" s="80"/>
      <c r="J327" s="80"/>
      <c r="K327" s="80"/>
      <c r="L327" s="111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</row>
    <row r="328" spans="1:54">
      <c r="A328" s="80"/>
      <c r="B328" s="80"/>
      <c r="C328" s="111"/>
      <c r="D328" s="80"/>
      <c r="E328" s="111"/>
      <c r="F328" s="80"/>
      <c r="G328" s="111"/>
      <c r="H328" s="80"/>
      <c r="I328" s="80"/>
      <c r="J328" s="80"/>
      <c r="K328" s="80"/>
      <c r="L328" s="111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</row>
    <row r="329" spans="1:54">
      <c r="A329" s="80"/>
      <c r="B329" s="80"/>
      <c r="C329" s="111"/>
      <c r="D329" s="80"/>
      <c r="E329" s="111"/>
      <c r="F329" s="80"/>
      <c r="G329" s="111"/>
      <c r="H329" s="80"/>
      <c r="I329" s="80"/>
      <c r="J329" s="80"/>
      <c r="K329" s="80"/>
      <c r="L329" s="111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</row>
    <row r="330" spans="1:54">
      <c r="A330" s="80"/>
      <c r="B330" s="80"/>
      <c r="C330" s="111"/>
      <c r="D330" s="80"/>
      <c r="E330" s="111"/>
      <c r="F330" s="80"/>
      <c r="G330" s="111"/>
      <c r="H330" s="80"/>
      <c r="I330" s="80"/>
      <c r="J330" s="80"/>
      <c r="K330" s="80"/>
      <c r="L330" s="111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</row>
    <row r="331" spans="1:54">
      <c r="A331" s="80"/>
      <c r="B331" s="80"/>
      <c r="C331" s="111"/>
      <c r="D331" s="80"/>
      <c r="E331" s="111"/>
      <c r="F331" s="80"/>
      <c r="G331" s="111"/>
      <c r="H331" s="80"/>
      <c r="I331" s="80"/>
      <c r="J331" s="80"/>
      <c r="K331" s="80"/>
      <c r="L331" s="111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</row>
    <row r="332" spans="1:54">
      <c r="A332" s="80"/>
      <c r="B332" s="80"/>
      <c r="C332" s="111"/>
      <c r="D332" s="80"/>
      <c r="E332" s="111"/>
      <c r="F332" s="80"/>
      <c r="G332" s="111"/>
      <c r="H332" s="80"/>
      <c r="I332" s="80"/>
      <c r="J332" s="80"/>
      <c r="K332" s="80"/>
      <c r="L332" s="111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</row>
    <row r="333" spans="1:54">
      <c r="A333" s="80"/>
      <c r="B333" s="80"/>
      <c r="C333" s="111"/>
      <c r="D333" s="80"/>
      <c r="E333" s="111"/>
      <c r="F333" s="80"/>
      <c r="G333" s="111"/>
      <c r="H333" s="80"/>
      <c r="I333" s="80"/>
      <c r="J333" s="80"/>
      <c r="K333" s="80"/>
      <c r="L333" s="111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</row>
    <row r="334" spans="1:54">
      <c r="A334" s="80"/>
      <c r="B334" s="80"/>
      <c r="C334" s="111"/>
      <c r="D334" s="80"/>
      <c r="E334" s="111"/>
      <c r="F334" s="80"/>
      <c r="G334" s="111"/>
      <c r="H334" s="80"/>
      <c r="I334" s="80"/>
      <c r="J334" s="80"/>
      <c r="K334" s="80"/>
      <c r="L334" s="111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</row>
    <row r="335" spans="1:54">
      <c r="A335" s="80"/>
      <c r="B335" s="80"/>
      <c r="C335" s="111"/>
      <c r="D335" s="80"/>
      <c r="E335" s="111"/>
      <c r="F335" s="80"/>
      <c r="G335" s="111"/>
      <c r="H335" s="80"/>
      <c r="I335" s="80"/>
      <c r="J335" s="80"/>
      <c r="K335" s="80"/>
      <c r="L335" s="111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</row>
    <row r="336" spans="1:54">
      <c r="A336" s="80"/>
      <c r="B336" s="80"/>
      <c r="C336" s="111"/>
      <c r="D336" s="80"/>
      <c r="E336" s="111"/>
      <c r="F336" s="80"/>
      <c r="G336" s="111"/>
      <c r="H336" s="80"/>
      <c r="I336" s="80"/>
      <c r="J336" s="80"/>
      <c r="K336" s="80"/>
      <c r="L336" s="111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</row>
    <row r="337" spans="1:54">
      <c r="A337" s="80"/>
      <c r="B337" s="80"/>
      <c r="C337" s="111"/>
      <c r="D337" s="80"/>
      <c r="E337" s="111"/>
      <c r="F337" s="80"/>
      <c r="G337" s="111"/>
      <c r="H337" s="80"/>
      <c r="I337" s="80"/>
      <c r="J337" s="80"/>
      <c r="K337" s="80"/>
      <c r="L337" s="111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</row>
    <row r="338" spans="1:54">
      <c r="A338" s="80"/>
      <c r="B338" s="80"/>
      <c r="C338" s="111"/>
      <c r="D338" s="80"/>
      <c r="E338" s="111"/>
      <c r="F338" s="80"/>
      <c r="G338" s="111"/>
      <c r="H338" s="80"/>
      <c r="I338" s="80"/>
      <c r="J338" s="80"/>
      <c r="K338" s="80"/>
      <c r="L338" s="111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</row>
    <row r="339" spans="1:54">
      <c r="A339" s="80"/>
      <c r="B339" s="80"/>
      <c r="C339" s="111"/>
      <c r="D339" s="80"/>
      <c r="E339" s="111"/>
      <c r="F339" s="80"/>
      <c r="G339" s="111"/>
      <c r="H339" s="80"/>
      <c r="I339" s="80"/>
      <c r="J339" s="80"/>
      <c r="K339" s="80"/>
      <c r="L339" s="111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</row>
    <row r="340" spans="1:54">
      <c r="A340" s="80"/>
      <c r="B340" s="80"/>
      <c r="C340" s="111"/>
      <c r="D340" s="80"/>
      <c r="E340" s="111"/>
      <c r="F340" s="80"/>
      <c r="G340" s="111"/>
      <c r="H340" s="80"/>
      <c r="I340" s="80"/>
      <c r="J340" s="80"/>
      <c r="K340" s="80"/>
      <c r="L340" s="111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</row>
    <row r="341" spans="1:54">
      <c r="A341" s="80"/>
      <c r="B341" s="80"/>
      <c r="C341" s="111"/>
      <c r="D341" s="80"/>
      <c r="E341" s="111"/>
      <c r="F341" s="80"/>
      <c r="G341" s="111"/>
      <c r="H341" s="80"/>
      <c r="I341" s="80"/>
      <c r="J341" s="80"/>
      <c r="K341" s="80"/>
      <c r="L341" s="111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</row>
    <row r="342" spans="1:54">
      <c r="A342" s="80"/>
      <c r="B342" s="80"/>
      <c r="C342" s="111"/>
      <c r="D342" s="80"/>
      <c r="E342" s="111"/>
      <c r="F342" s="80"/>
      <c r="G342" s="111"/>
      <c r="H342" s="80"/>
      <c r="I342" s="80"/>
      <c r="J342" s="80"/>
      <c r="K342" s="80"/>
      <c r="L342" s="111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</row>
    <row r="343" spans="1:54">
      <c r="A343" s="80"/>
      <c r="B343" s="80"/>
      <c r="C343" s="111"/>
      <c r="D343" s="80"/>
      <c r="E343" s="111"/>
      <c r="F343" s="80"/>
      <c r="G343" s="111"/>
      <c r="H343" s="80"/>
      <c r="I343" s="80"/>
      <c r="J343" s="80"/>
      <c r="K343" s="80"/>
      <c r="L343" s="111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</row>
    <row r="344" spans="1:54">
      <c r="A344" s="80"/>
      <c r="B344" s="80"/>
      <c r="C344" s="111"/>
      <c r="D344" s="80"/>
      <c r="E344" s="111"/>
      <c r="F344" s="80"/>
      <c r="G344" s="111"/>
      <c r="H344" s="80"/>
      <c r="I344" s="80"/>
      <c r="J344" s="80"/>
      <c r="K344" s="80"/>
      <c r="L344" s="111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</row>
    <row r="345" spans="1:54">
      <c r="A345" s="80"/>
      <c r="B345" s="80"/>
      <c r="C345" s="111"/>
      <c r="D345" s="80"/>
      <c r="E345" s="111"/>
      <c r="F345" s="80"/>
      <c r="G345" s="111"/>
      <c r="H345" s="80"/>
      <c r="I345" s="80"/>
      <c r="J345" s="80"/>
      <c r="K345" s="80"/>
      <c r="L345" s="111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</row>
    <row r="346" spans="1:54">
      <c r="A346" s="80"/>
      <c r="B346" s="80"/>
      <c r="C346" s="111"/>
      <c r="D346" s="80"/>
      <c r="E346" s="111"/>
      <c r="F346" s="80"/>
      <c r="G346" s="111"/>
      <c r="H346" s="80"/>
      <c r="I346" s="80"/>
      <c r="J346" s="80"/>
      <c r="K346" s="80"/>
      <c r="L346" s="111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</row>
    <row r="347" spans="1:54">
      <c r="A347" s="80"/>
      <c r="B347" s="80"/>
      <c r="C347" s="111"/>
      <c r="D347" s="80"/>
      <c r="E347" s="111"/>
      <c r="F347" s="80"/>
      <c r="G347" s="111"/>
      <c r="H347" s="80"/>
      <c r="I347" s="80"/>
      <c r="J347" s="80"/>
      <c r="K347" s="80"/>
      <c r="L347" s="111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</row>
    <row r="348" spans="1:54">
      <c r="A348" s="80"/>
      <c r="B348" s="80"/>
      <c r="C348" s="111"/>
      <c r="D348" s="80"/>
      <c r="E348" s="111"/>
      <c r="F348" s="80"/>
      <c r="G348" s="111"/>
      <c r="H348" s="80"/>
      <c r="I348" s="80"/>
      <c r="J348" s="80"/>
      <c r="K348" s="80"/>
      <c r="L348" s="111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</row>
    <row r="349" spans="1:54">
      <c r="A349" s="80"/>
      <c r="B349" s="80"/>
      <c r="C349" s="111"/>
      <c r="D349" s="80"/>
      <c r="E349" s="111"/>
      <c r="F349" s="80"/>
      <c r="G349" s="111"/>
      <c r="H349" s="80"/>
      <c r="I349" s="80"/>
      <c r="J349" s="80"/>
      <c r="K349" s="80"/>
      <c r="L349" s="111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</row>
    <row r="350" spans="1:54">
      <c r="A350" s="80"/>
      <c r="B350" s="80"/>
      <c r="C350" s="111"/>
      <c r="D350" s="80"/>
      <c r="E350" s="111"/>
      <c r="F350" s="80"/>
      <c r="G350" s="111"/>
      <c r="H350" s="80"/>
      <c r="I350" s="80"/>
      <c r="J350" s="80"/>
      <c r="K350" s="80"/>
      <c r="L350" s="111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</row>
    <row r="351" spans="1:54">
      <c r="A351" s="80"/>
      <c r="B351" s="80"/>
      <c r="C351" s="111"/>
      <c r="D351" s="80"/>
      <c r="E351" s="111"/>
      <c r="F351" s="80"/>
      <c r="G351" s="111"/>
      <c r="H351" s="80"/>
      <c r="I351" s="80"/>
      <c r="J351" s="80"/>
      <c r="K351" s="80"/>
      <c r="L351" s="111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</row>
    <row r="352" spans="1:54">
      <c r="A352" s="80"/>
      <c r="B352" s="80"/>
      <c r="C352" s="111"/>
      <c r="D352" s="80"/>
      <c r="E352" s="111"/>
      <c r="F352" s="80"/>
      <c r="G352" s="111"/>
      <c r="H352" s="80"/>
      <c r="I352" s="80"/>
      <c r="J352" s="80"/>
      <c r="K352" s="80"/>
      <c r="L352" s="111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</row>
    <row r="353" spans="1:54">
      <c r="A353" s="80"/>
      <c r="B353" s="80"/>
      <c r="C353" s="111"/>
      <c r="D353" s="80"/>
      <c r="E353" s="111"/>
      <c r="F353" s="80"/>
      <c r="G353" s="111"/>
      <c r="H353" s="80"/>
      <c r="I353" s="80"/>
      <c r="J353" s="80"/>
      <c r="K353" s="80"/>
      <c r="L353" s="111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</row>
    <row r="354" spans="1:54">
      <c r="A354" s="80"/>
      <c r="B354" s="80"/>
      <c r="C354" s="111"/>
      <c r="D354" s="80"/>
      <c r="E354" s="111"/>
      <c r="F354" s="80"/>
      <c r="G354" s="111"/>
      <c r="H354" s="80"/>
      <c r="I354" s="80"/>
      <c r="J354" s="80"/>
      <c r="K354" s="80"/>
      <c r="L354" s="111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</row>
    <row r="355" spans="1:54">
      <c r="A355" s="80"/>
      <c r="B355" s="80"/>
      <c r="C355" s="111"/>
      <c r="D355" s="80"/>
      <c r="E355" s="111"/>
      <c r="F355" s="80"/>
      <c r="G355" s="111"/>
      <c r="H355" s="80"/>
      <c r="I355" s="80"/>
      <c r="J355" s="80"/>
      <c r="K355" s="80"/>
      <c r="L355" s="111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</row>
    <row r="356" spans="1:54">
      <c r="A356" s="80"/>
      <c r="B356" s="80"/>
      <c r="C356" s="111"/>
      <c r="D356" s="80"/>
      <c r="E356" s="111"/>
      <c r="F356" s="80"/>
      <c r="G356" s="111"/>
      <c r="H356" s="80"/>
      <c r="I356" s="80"/>
      <c r="J356" s="80"/>
      <c r="K356" s="80"/>
      <c r="L356" s="111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</row>
    <row r="357" spans="1:54">
      <c r="A357" s="80"/>
      <c r="B357" s="80"/>
      <c r="C357" s="111"/>
      <c r="D357" s="80"/>
      <c r="E357" s="111"/>
      <c r="F357" s="80"/>
      <c r="G357" s="111"/>
      <c r="H357" s="80"/>
      <c r="I357" s="80"/>
      <c r="J357" s="80"/>
      <c r="K357" s="80"/>
      <c r="L357" s="111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</row>
    <row r="358" spans="1:54">
      <c r="A358" s="80"/>
      <c r="B358" s="80"/>
      <c r="C358" s="111"/>
      <c r="D358" s="80"/>
      <c r="E358" s="111"/>
      <c r="F358" s="80"/>
      <c r="G358" s="111"/>
      <c r="H358" s="80"/>
      <c r="I358" s="80"/>
      <c r="J358" s="80"/>
      <c r="K358" s="80"/>
      <c r="L358" s="111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</row>
    <row r="359" spans="1:54">
      <c r="A359" s="80"/>
      <c r="B359" s="80"/>
      <c r="C359" s="111"/>
      <c r="D359" s="80"/>
      <c r="E359" s="111"/>
      <c r="F359" s="80"/>
      <c r="G359" s="111"/>
      <c r="H359" s="80"/>
      <c r="I359" s="80"/>
      <c r="J359" s="80"/>
      <c r="K359" s="80"/>
      <c r="L359" s="111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</row>
    <row r="360" spans="1:54">
      <c r="A360" s="80"/>
      <c r="B360" s="80"/>
      <c r="C360" s="111"/>
      <c r="D360" s="80"/>
      <c r="E360" s="111"/>
      <c r="F360" s="80"/>
      <c r="G360" s="111"/>
      <c r="H360" s="80"/>
      <c r="I360" s="80"/>
      <c r="J360" s="80"/>
      <c r="K360" s="80"/>
      <c r="L360" s="111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</row>
    <row r="361" spans="1:54">
      <c r="A361" s="80"/>
      <c r="B361" s="80"/>
      <c r="C361" s="111"/>
      <c r="D361" s="80"/>
      <c r="E361" s="111"/>
      <c r="F361" s="80"/>
      <c r="G361" s="111"/>
      <c r="H361" s="80"/>
      <c r="I361" s="80"/>
      <c r="J361" s="80"/>
      <c r="K361" s="80"/>
      <c r="L361" s="111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</row>
    <row r="362" spans="1:54">
      <c r="A362" s="80"/>
      <c r="B362" s="80"/>
      <c r="C362" s="111"/>
      <c r="D362" s="80"/>
      <c r="E362" s="111"/>
      <c r="F362" s="80"/>
      <c r="G362" s="111"/>
      <c r="H362" s="80"/>
      <c r="I362" s="80"/>
      <c r="J362" s="80"/>
      <c r="K362" s="80"/>
      <c r="L362" s="111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</row>
    <row r="363" spans="1:54">
      <c r="A363" s="80"/>
      <c r="B363" s="80"/>
      <c r="C363" s="111"/>
      <c r="D363" s="80"/>
      <c r="E363" s="111"/>
      <c r="F363" s="80"/>
      <c r="G363" s="111"/>
      <c r="H363" s="80"/>
      <c r="I363" s="80"/>
      <c r="J363" s="80"/>
      <c r="K363" s="80"/>
      <c r="L363" s="111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</row>
    <row r="364" spans="1:54">
      <c r="A364" s="80"/>
      <c r="B364" s="80"/>
      <c r="C364" s="111"/>
      <c r="D364" s="80"/>
      <c r="E364" s="111"/>
      <c r="F364" s="80"/>
      <c r="G364" s="111"/>
      <c r="H364" s="80"/>
      <c r="I364" s="80"/>
      <c r="J364" s="80"/>
      <c r="K364" s="80"/>
      <c r="L364" s="111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</row>
    <row r="365" spans="1:54">
      <c r="A365" s="80"/>
      <c r="B365" s="80"/>
      <c r="C365" s="111"/>
      <c r="D365" s="80"/>
      <c r="E365" s="111"/>
      <c r="F365" s="80"/>
      <c r="G365" s="111"/>
      <c r="H365" s="80"/>
      <c r="I365" s="80"/>
      <c r="J365" s="80"/>
      <c r="K365" s="80"/>
      <c r="L365" s="111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</row>
    <row r="366" spans="1:54">
      <c r="A366" s="80"/>
      <c r="B366" s="80"/>
      <c r="C366" s="111"/>
      <c r="D366" s="80"/>
      <c r="E366" s="111"/>
      <c r="F366" s="80"/>
      <c r="G366" s="111"/>
      <c r="H366" s="80"/>
      <c r="I366" s="80"/>
      <c r="J366" s="80"/>
      <c r="K366" s="80"/>
      <c r="L366" s="111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</row>
    <row r="367" spans="1:54">
      <c r="A367" s="80"/>
      <c r="B367" s="80"/>
      <c r="C367" s="111"/>
      <c r="D367" s="80"/>
      <c r="E367" s="111"/>
      <c r="F367" s="80"/>
      <c r="G367" s="111"/>
      <c r="H367" s="80"/>
      <c r="I367" s="80"/>
      <c r="J367" s="80"/>
      <c r="K367" s="80"/>
      <c r="L367" s="111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</row>
    <row r="368" spans="1:54">
      <c r="A368" s="80"/>
      <c r="B368" s="80"/>
      <c r="C368" s="111"/>
      <c r="D368" s="80"/>
      <c r="E368" s="111"/>
      <c r="F368" s="80"/>
      <c r="G368" s="111"/>
      <c r="H368" s="80"/>
      <c r="I368" s="80"/>
      <c r="J368" s="80"/>
      <c r="K368" s="80"/>
      <c r="L368" s="111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</row>
    <row r="369" spans="1:54">
      <c r="A369" s="80"/>
      <c r="B369" s="80"/>
      <c r="C369" s="111"/>
      <c r="D369" s="80"/>
      <c r="E369" s="111"/>
      <c r="F369" s="80"/>
      <c r="G369" s="111"/>
      <c r="H369" s="80"/>
      <c r="I369" s="80"/>
      <c r="J369" s="80"/>
      <c r="K369" s="80"/>
      <c r="L369" s="111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</row>
    <row r="370" spans="1:54">
      <c r="A370" s="80"/>
      <c r="B370" s="80"/>
      <c r="C370" s="111"/>
      <c r="D370" s="80"/>
      <c r="E370" s="111"/>
      <c r="F370" s="80"/>
      <c r="G370" s="111"/>
      <c r="H370" s="80"/>
      <c r="I370" s="80"/>
      <c r="J370" s="80"/>
      <c r="K370" s="80"/>
      <c r="L370" s="111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</row>
    <row r="371" spans="1:54">
      <c r="A371" s="80"/>
      <c r="B371" s="80"/>
      <c r="C371" s="111"/>
      <c r="D371" s="80"/>
      <c r="E371" s="111"/>
      <c r="F371" s="80"/>
      <c r="G371" s="111"/>
      <c r="H371" s="80"/>
      <c r="I371" s="80"/>
      <c r="J371" s="80"/>
      <c r="K371" s="80"/>
      <c r="L371" s="111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</row>
    <row r="372" spans="1:54">
      <c r="A372" s="80"/>
      <c r="B372" s="80"/>
      <c r="C372" s="111"/>
      <c r="D372" s="80"/>
      <c r="E372" s="111"/>
      <c r="F372" s="80"/>
      <c r="G372" s="111"/>
      <c r="H372" s="80"/>
      <c r="I372" s="80"/>
      <c r="J372" s="80"/>
      <c r="K372" s="80"/>
      <c r="L372" s="111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</row>
    <row r="373" spans="1:54">
      <c r="A373" s="80"/>
      <c r="B373" s="80"/>
      <c r="C373" s="111"/>
      <c r="D373" s="80"/>
      <c r="E373" s="111"/>
      <c r="F373" s="80"/>
      <c r="G373" s="111"/>
      <c r="H373" s="80"/>
      <c r="I373" s="80"/>
      <c r="J373" s="80"/>
      <c r="K373" s="80"/>
      <c r="L373" s="111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</row>
    <row r="374" spans="1:54">
      <c r="A374" s="80"/>
      <c r="B374" s="80"/>
      <c r="C374" s="111"/>
      <c r="D374" s="80"/>
      <c r="E374" s="111"/>
      <c r="F374" s="80"/>
      <c r="G374" s="111"/>
      <c r="H374" s="80"/>
      <c r="I374" s="80"/>
      <c r="J374" s="80"/>
      <c r="K374" s="80"/>
      <c r="L374" s="111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</row>
    <row r="375" spans="1:54">
      <c r="A375" s="80"/>
      <c r="B375" s="80"/>
      <c r="C375" s="111"/>
      <c r="D375" s="80"/>
      <c r="E375" s="111"/>
      <c r="F375" s="80"/>
      <c r="G375" s="111"/>
      <c r="H375" s="80"/>
      <c r="I375" s="80"/>
      <c r="J375" s="80"/>
      <c r="K375" s="80"/>
      <c r="L375" s="111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</row>
    <row r="376" spans="1:54">
      <c r="A376" s="80"/>
      <c r="B376" s="80"/>
      <c r="C376" s="111"/>
      <c r="D376" s="80"/>
      <c r="E376" s="111"/>
      <c r="F376" s="80"/>
      <c r="G376" s="111"/>
      <c r="H376" s="80"/>
      <c r="I376" s="80"/>
      <c r="J376" s="80"/>
      <c r="K376" s="80"/>
      <c r="L376" s="111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</row>
    <row r="377" spans="1:54">
      <c r="A377" s="80"/>
      <c r="B377" s="80"/>
      <c r="C377" s="111"/>
      <c r="D377" s="80"/>
      <c r="E377" s="111"/>
      <c r="F377" s="80"/>
      <c r="G377" s="111"/>
      <c r="H377" s="80"/>
      <c r="I377" s="80"/>
      <c r="J377" s="80"/>
      <c r="K377" s="80"/>
      <c r="L377" s="111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</row>
    <row r="378" spans="1:54">
      <c r="A378" s="80"/>
      <c r="B378" s="80"/>
      <c r="C378" s="111"/>
      <c r="D378" s="80"/>
      <c r="E378" s="111"/>
      <c r="F378" s="80"/>
      <c r="G378" s="111"/>
      <c r="H378" s="80"/>
      <c r="I378" s="80"/>
      <c r="J378" s="80"/>
      <c r="K378" s="80"/>
      <c r="L378" s="111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</row>
    <row r="379" spans="1:54">
      <c r="A379" s="80"/>
      <c r="B379" s="80"/>
      <c r="C379" s="111"/>
      <c r="D379" s="80"/>
      <c r="E379" s="111"/>
      <c r="F379" s="80"/>
      <c r="G379" s="111"/>
      <c r="H379" s="80"/>
      <c r="I379" s="80"/>
      <c r="J379" s="80"/>
      <c r="K379" s="80"/>
      <c r="L379" s="111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</row>
    <row r="380" spans="1:54">
      <c r="A380" s="80"/>
      <c r="B380" s="80"/>
      <c r="C380" s="111"/>
      <c r="D380" s="80"/>
      <c r="E380" s="111"/>
      <c r="F380" s="80"/>
      <c r="G380" s="111"/>
      <c r="H380" s="80"/>
      <c r="I380" s="80"/>
      <c r="J380" s="80"/>
      <c r="K380" s="80"/>
      <c r="L380" s="111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</row>
    <row r="381" spans="1:54">
      <c r="A381" s="80"/>
      <c r="B381" s="80"/>
      <c r="C381" s="111"/>
      <c r="D381" s="80"/>
      <c r="E381" s="111"/>
      <c r="F381" s="80"/>
      <c r="G381" s="111"/>
      <c r="H381" s="80"/>
      <c r="I381" s="80"/>
      <c r="J381" s="80"/>
      <c r="K381" s="80"/>
      <c r="L381" s="111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</row>
    <row r="382" spans="1:54">
      <c r="A382" s="80"/>
      <c r="B382" s="80"/>
      <c r="C382" s="111"/>
      <c r="D382" s="80"/>
      <c r="E382" s="111"/>
      <c r="F382" s="80"/>
      <c r="G382" s="111"/>
      <c r="H382" s="80"/>
      <c r="I382" s="80"/>
      <c r="J382" s="80"/>
      <c r="K382" s="80"/>
      <c r="L382" s="111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</row>
    <row r="383" spans="1:54">
      <c r="A383" s="80"/>
      <c r="B383" s="80"/>
      <c r="C383" s="111"/>
      <c r="D383" s="80"/>
      <c r="E383" s="111"/>
      <c r="F383" s="80"/>
      <c r="G383" s="111"/>
      <c r="H383" s="80"/>
      <c r="I383" s="80"/>
      <c r="J383" s="80"/>
      <c r="K383" s="80"/>
      <c r="L383" s="111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</row>
    <row r="384" spans="1:54">
      <c r="A384" s="80"/>
      <c r="B384" s="80"/>
      <c r="C384" s="111"/>
      <c r="D384" s="80"/>
      <c r="E384" s="111"/>
      <c r="F384" s="80"/>
      <c r="G384" s="111"/>
      <c r="H384" s="80"/>
      <c r="I384" s="80"/>
      <c r="J384" s="80"/>
      <c r="K384" s="80"/>
      <c r="L384" s="111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</row>
    <row r="385" spans="1:54">
      <c r="A385" s="80"/>
      <c r="B385" s="80"/>
      <c r="C385" s="111"/>
      <c r="D385" s="80"/>
      <c r="E385" s="111"/>
      <c r="F385" s="80"/>
      <c r="G385" s="111"/>
      <c r="H385" s="80"/>
      <c r="I385" s="80"/>
      <c r="J385" s="80"/>
      <c r="K385" s="80"/>
      <c r="L385" s="111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</row>
    <row r="386" spans="1:54">
      <c r="A386" s="80"/>
      <c r="B386" s="80"/>
      <c r="C386" s="111"/>
      <c r="D386" s="80"/>
      <c r="E386" s="111"/>
      <c r="F386" s="80"/>
      <c r="G386" s="111"/>
      <c r="H386" s="80"/>
      <c r="I386" s="80"/>
      <c r="J386" s="80"/>
      <c r="K386" s="80"/>
      <c r="L386" s="111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</row>
    <row r="387" spans="1:54">
      <c r="A387" s="80"/>
      <c r="B387" s="80"/>
      <c r="C387" s="111"/>
      <c r="D387" s="80"/>
      <c r="E387" s="111"/>
      <c r="F387" s="80"/>
      <c r="G387" s="111"/>
      <c r="H387" s="80"/>
      <c r="I387" s="80"/>
      <c r="J387" s="80"/>
      <c r="K387" s="80"/>
      <c r="L387" s="111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</row>
    <row r="388" spans="1:54">
      <c r="A388" s="80"/>
      <c r="B388" s="80"/>
      <c r="C388" s="111"/>
      <c r="D388" s="80"/>
      <c r="E388" s="111"/>
      <c r="F388" s="80"/>
      <c r="G388" s="111"/>
      <c r="H388" s="80"/>
      <c r="I388" s="80"/>
      <c r="J388" s="80"/>
      <c r="K388" s="80"/>
      <c r="L388" s="111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</row>
    <row r="389" spans="1:54">
      <c r="A389" s="80"/>
      <c r="B389" s="80"/>
      <c r="C389" s="111"/>
      <c r="D389" s="80"/>
      <c r="E389" s="111"/>
      <c r="F389" s="80"/>
      <c r="G389" s="111"/>
      <c r="H389" s="80"/>
      <c r="I389" s="80"/>
      <c r="J389" s="80"/>
      <c r="K389" s="80"/>
      <c r="L389" s="111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</row>
    <row r="390" spans="1:54">
      <c r="A390" s="80"/>
      <c r="B390" s="80"/>
      <c r="C390" s="111"/>
      <c r="D390" s="80"/>
      <c r="E390" s="111"/>
      <c r="F390" s="80"/>
      <c r="G390" s="111"/>
      <c r="H390" s="80"/>
      <c r="I390" s="80"/>
      <c r="J390" s="80"/>
      <c r="K390" s="80"/>
      <c r="L390" s="111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</row>
    <row r="391" spans="1:54">
      <c r="A391" s="80"/>
      <c r="B391" s="80"/>
      <c r="C391" s="111"/>
      <c r="D391" s="80"/>
      <c r="E391" s="111"/>
      <c r="F391" s="80"/>
      <c r="G391" s="111"/>
      <c r="H391" s="80"/>
      <c r="I391" s="80"/>
      <c r="J391" s="80"/>
      <c r="K391" s="80"/>
      <c r="L391" s="111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</row>
    <row r="392" spans="1:54">
      <c r="A392" s="80"/>
      <c r="B392" s="80"/>
      <c r="C392" s="111"/>
      <c r="D392" s="80"/>
      <c r="E392" s="111"/>
      <c r="F392" s="80"/>
      <c r="G392" s="111"/>
      <c r="H392" s="80"/>
      <c r="I392" s="80"/>
      <c r="J392" s="80"/>
      <c r="K392" s="80"/>
      <c r="L392" s="111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</row>
    <row r="393" spans="1:54">
      <c r="A393" s="80"/>
      <c r="B393" s="80"/>
      <c r="C393" s="111"/>
      <c r="D393" s="80"/>
      <c r="E393" s="111"/>
      <c r="F393" s="80"/>
      <c r="G393" s="111"/>
      <c r="H393" s="80"/>
      <c r="I393" s="80"/>
      <c r="J393" s="80"/>
      <c r="K393" s="80"/>
      <c r="L393" s="111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</row>
    <row r="394" spans="1:54">
      <c r="A394" s="80"/>
      <c r="B394" s="80"/>
      <c r="C394" s="111"/>
      <c r="D394" s="80"/>
      <c r="E394" s="111"/>
      <c r="F394" s="80"/>
      <c r="G394" s="111"/>
      <c r="H394" s="80"/>
      <c r="I394" s="80"/>
      <c r="J394" s="80"/>
      <c r="K394" s="80"/>
      <c r="L394" s="111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</row>
    <row r="395" spans="1:54">
      <c r="A395" s="80"/>
      <c r="B395" s="80"/>
      <c r="C395" s="111"/>
      <c r="D395" s="80"/>
      <c r="E395" s="111"/>
      <c r="F395" s="80"/>
      <c r="G395" s="111"/>
      <c r="H395" s="80"/>
      <c r="I395" s="80"/>
      <c r="J395" s="80"/>
      <c r="K395" s="80"/>
      <c r="L395" s="111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</row>
    <row r="396" spans="1:54">
      <c r="A396" s="80"/>
      <c r="B396" s="80"/>
      <c r="C396" s="111"/>
      <c r="D396" s="80"/>
      <c r="E396" s="111"/>
      <c r="F396" s="80"/>
      <c r="G396" s="111"/>
      <c r="H396" s="80"/>
      <c r="I396" s="80"/>
      <c r="J396" s="80"/>
      <c r="K396" s="80"/>
      <c r="L396" s="111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</row>
    <row r="397" spans="1:54">
      <c r="A397" s="80"/>
      <c r="B397" s="80"/>
      <c r="C397" s="111"/>
      <c r="D397" s="80"/>
      <c r="E397" s="111"/>
      <c r="F397" s="80"/>
      <c r="G397" s="111"/>
      <c r="H397" s="80"/>
      <c r="I397" s="80"/>
      <c r="J397" s="80"/>
      <c r="K397" s="80"/>
      <c r="L397" s="111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</row>
    <row r="398" spans="1:54">
      <c r="A398" s="80"/>
      <c r="B398" s="80"/>
      <c r="C398" s="111"/>
      <c r="D398" s="80"/>
      <c r="E398" s="111"/>
      <c r="F398" s="80"/>
      <c r="G398" s="111"/>
      <c r="H398" s="80"/>
      <c r="I398" s="80"/>
      <c r="J398" s="80"/>
      <c r="K398" s="80"/>
      <c r="L398" s="111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</row>
    <row r="399" spans="1:54">
      <c r="A399" s="80"/>
      <c r="B399" s="80"/>
      <c r="C399" s="111"/>
      <c r="D399" s="80"/>
      <c r="E399" s="111"/>
      <c r="F399" s="80"/>
      <c r="G399" s="111"/>
      <c r="H399" s="80"/>
      <c r="I399" s="80"/>
      <c r="J399" s="80"/>
      <c r="K399" s="80"/>
      <c r="L399" s="111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</row>
    <row r="400" spans="1:54">
      <c r="A400" s="80"/>
      <c r="B400" s="80"/>
      <c r="C400" s="111"/>
      <c r="D400" s="80"/>
      <c r="E400" s="111"/>
      <c r="F400" s="80"/>
      <c r="G400" s="111"/>
      <c r="H400" s="80"/>
      <c r="I400" s="80"/>
      <c r="J400" s="80"/>
      <c r="K400" s="80"/>
      <c r="L400" s="111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</row>
    <row r="401" spans="1:54">
      <c r="A401" s="80"/>
      <c r="B401" s="80"/>
      <c r="C401" s="111"/>
      <c r="D401" s="80"/>
      <c r="E401" s="111"/>
      <c r="F401" s="80"/>
      <c r="G401" s="111"/>
      <c r="H401" s="80"/>
      <c r="I401" s="80"/>
      <c r="J401" s="80"/>
      <c r="K401" s="80"/>
      <c r="L401" s="111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</row>
    <row r="402" spans="1:54">
      <c r="A402" s="80"/>
      <c r="B402" s="80"/>
      <c r="C402" s="111"/>
      <c r="D402" s="80"/>
      <c r="E402" s="111"/>
      <c r="F402" s="80"/>
      <c r="G402" s="111"/>
      <c r="H402" s="80"/>
      <c r="I402" s="80"/>
      <c r="J402" s="80"/>
      <c r="K402" s="80"/>
      <c r="L402" s="111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</row>
    <row r="403" spans="1:54">
      <c r="A403" s="80"/>
      <c r="B403" s="80"/>
      <c r="C403" s="111"/>
      <c r="D403" s="80"/>
      <c r="E403" s="111"/>
      <c r="F403" s="80"/>
      <c r="G403" s="111"/>
      <c r="H403" s="80"/>
      <c r="I403" s="80"/>
      <c r="J403" s="80"/>
      <c r="K403" s="80"/>
      <c r="L403" s="111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</row>
    <row r="404" spans="1:54">
      <c r="A404" s="80"/>
      <c r="B404" s="80"/>
      <c r="C404" s="111"/>
      <c r="D404" s="80"/>
      <c r="E404" s="111"/>
      <c r="F404" s="80"/>
      <c r="G404" s="111"/>
      <c r="H404" s="80"/>
      <c r="I404" s="80"/>
      <c r="J404" s="80"/>
      <c r="K404" s="80"/>
      <c r="L404" s="111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</row>
    <row r="405" spans="1:54">
      <c r="A405" s="80"/>
      <c r="B405" s="80"/>
      <c r="C405" s="111"/>
      <c r="D405" s="80"/>
      <c r="E405" s="111"/>
      <c r="F405" s="80"/>
      <c r="G405" s="111"/>
      <c r="H405" s="80"/>
      <c r="I405" s="80"/>
      <c r="J405" s="80"/>
      <c r="K405" s="80"/>
      <c r="L405" s="111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</row>
    <row r="406" spans="1:54">
      <c r="A406" s="80"/>
      <c r="B406" s="80"/>
      <c r="C406" s="111"/>
      <c r="D406" s="80"/>
      <c r="E406" s="111"/>
      <c r="F406" s="80"/>
      <c r="G406" s="111"/>
      <c r="H406" s="80"/>
      <c r="I406" s="80"/>
      <c r="J406" s="80"/>
      <c r="K406" s="80"/>
      <c r="L406" s="111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</row>
    <row r="407" spans="1:54">
      <c r="A407" s="80"/>
      <c r="B407" s="80"/>
      <c r="C407" s="111"/>
      <c r="D407" s="80"/>
      <c r="E407" s="111"/>
      <c r="F407" s="80"/>
      <c r="G407" s="111"/>
      <c r="H407" s="80"/>
      <c r="I407" s="80"/>
      <c r="J407" s="80"/>
      <c r="K407" s="80"/>
      <c r="L407" s="111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</row>
    <row r="408" spans="1:54">
      <c r="A408" s="80"/>
      <c r="B408" s="80"/>
      <c r="C408" s="111"/>
      <c r="D408" s="80"/>
      <c r="E408" s="111"/>
      <c r="F408" s="80"/>
      <c r="G408" s="111"/>
      <c r="H408" s="80"/>
      <c r="I408" s="80"/>
      <c r="J408" s="80"/>
      <c r="K408" s="80"/>
      <c r="L408" s="111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="85" zoomScaleNormal="85" workbookViewId="0">
      <selection activeCell="F5" sqref="F5:F55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29" t="s">
        <v>174</v>
      </c>
      <c r="C1" s="429"/>
      <c r="D1" s="429"/>
      <c r="E1" s="429"/>
      <c r="F1" s="429" t="s">
        <v>173</v>
      </c>
      <c r="G1" s="429"/>
      <c r="H1" s="429"/>
      <c r="I1" s="429"/>
      <c r="J1" s="57" t="s">
        <v>172</v>
      </c>
      <c r="L1" s="430" t="s">
        <v>171</v>
      </c>
      <c r="M1" s="430"/>
      <c r="N1" s="430"/>
      <c r="O1" s="430"/>
      <c r="P1" s="430"/>
      <c r="Q1" s="430"/>
      <c r="T1" s="56"/>
    </row>
    <row r="2" spans="1:29" ht="68.25" customHeight="1" thickTop="1" thickBot="1">
      <c r="A2" s="55" t="s">
        <v>0</v>
      </c>
      <c r="B2" s="54" t="s">
        <v>326</v>
      </c>
      <c r="C2" s="53" t="s">
        <v>325</v>
      </c>
      <c r="D2" s="53" t="s">
        <v>170</v>
      </c>
      <c r="E2" s="52" t="s">
        <v>169</v>
      </c>
      <c r="F2" s="53" t="s">
        <v>241</v>
      </c>
      <c r="G2" s="53" t="s">
        <v>168</v>
      </c>
      <c r="H2" s="53" t="s">
        <v>167</v>
      </c>
      <c r="I2" s="50" t="s">
        <v>324</v>
      </c>
      <c r="J2" s="51" t="s">
        <v>166</v>
      </c>
      <c r="L2" s="55" t="s">
        <v>0</v>
      </c>
      <c r="M2" s="54" t="s">
        <v>165</v>
      </c>
      <c r="N2" s="53" t="s">
        <v>164</v>
      </c>
      <c r="O2" s="52" t="s">
        <v>163</v>
      </c>
      <c r="P2" s="51" t="s">
        <v>162</v>
      </c>
      <c r="Q2" s="50" t="s">
        <v>93</v>
      </c>
    </row>
    <row r="3" spans="1:29" ht="26.25" customHeight="1" thickTop="1">
      <c r="A3" s="46"/>
      <c r="B3" s="49" t="s">
        <v>161</v>
      </c>
      <c r="C3" s="49" t="s">
        <v>160</v>
      </c>
      <c r="D3" s="49" t="s">
        <v>159</v>
      </c>
      <c r="E3" s="49" t="s">
        <v>158</v>
      </c>
      <c r="F3" s="49" t="s">
        <v>157</v>
      </c>
      <c r="G3" s="49" t="s">
        <v>156</v>
      </c>
      <c r="H3" s="49"/>
      <c r="I3" s="49" t="s">
        <v>155</v>
      </c>
      <c r="J3" s="49" t="s">
        <v>154</v>
      </c>
      <c r="M3" s="48">
        <f>M4*P3</f>
        <v>7691693.1996945562</v>
      </c>
      <c r="N3" s="48">
        <f>P3*N4</f>
        <v>4615015.9198167333</v>
      </c>
      <c r="O3" s="48">
        <f>P3*O4</f>
        <v>3076677.2798778228</v>
      </c>
      <c r="P3" s="48">
        <f>+'PART MES'!E6</f>
        <v>15383386.399389112</v>
      </c>
    </row>
    <row r="4" spans="1:29" ht="13.5" thickBot="1">
      <c r="F4" s="47"/>
      <c r="G4" s="46"/>
      <c r="H4" s="46"/>
      <c r="I4" s="46"/>
      <c r="M4" s="350">
        <v>0.5</v>
      </c>
      <c r="N4" s="350">
        <v>0.3</v>
      </c>
      <c r="O4" s="350">
        <v>0.2</v>
      </c>
      <c r="P4" s="45" t="s">
        <v>153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51">
        <f t="shared" ref="D5:D55" si="0">IFERROR(C5/B5,0)</f>
        <v>0.23247250344704321</v>
      </c>
      <c r="E5" s="44">
        <f t="shared" ref="E5:E55" si="1">IFERROR(D5/$D$56,0)</f>
        <v>1.7129206960559418E-2</v>
      </c>
      <c r="F5" s="336">
        <v>110684</v>
      </c>
      <c r="G5" s="337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131752.60469469553</v>
      </c>
      <c r="N5" s="39">
        <f t="shared" ref="N5:N55" si="7">IFERROR($N$3*I5,0)</f>
        <v>509830.21505995613</v>
      </c>
      <c r="O5" s="38">
        <f t="shared" ref="O5:O55" si="8">IFERROR($O$3*J5,0)</f>
        <v>215.02349940848421</v>
      </c>
      <c r="P5" s="37">
        <f>IFERROR(SUM(M5:O5),2)</f>
        <v>641797.84325406014</v>
      </c>
      <c r="Q5" s="396">
        <f t="shared" ref="Q5:Q55" si="9">IFERROR(P5/$P$56,0)</f>
        <v>4.1720192589035303E-2</v>
      </c>
      <c r="S5" s="26" t="s">
        <v>184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52">
        <f t="shared" si="0"/>
        <v>0.29568369530318234</v>
      </c>
      <c r="E6" s="35">
        <f t="shared" si="1"/>
        <v>2.1786779669041415E-2</v>
      </c>
      <c r="F6" s="71">
        <v>953414</v>
      </c>
      <c r="G6" s="338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167577.22502360947</v>
      </c>
      <c r="N6" s="29">
        <f t="shared" si="7"/>
        <v>0</v>
      </c>
      <c r="O6" s="28">
        <f t="shared" si="8"/>
        <v>1133.6994420558472</v>
      </c>
      <c r="P6" s="339">
        <f t="shared" ref="P6:P55" si="10">IFERROR(SUM(M6:O6),2)</f>
        <v>168710.9244656653</v>
      </c>
      <c r="Q6" s="397">
        <f t="shared" si="9"/>
        <v>1.0967086185416558E-2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52">
        <f t="shared" si="0"/>
        <v>0.24163033198856654</v>
      </c>
      <c r="E7" s="35">
        <f t="shared" si="1"/>
        <v>1.780398069969457E-2</v>
      </c>
      <c r="F7" s="71">
        <v>293401</v>
      </c>
      <c r="G7" s="338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136942.75727533386</v>
      </c>
      <c r="N7" s="29">
        <f t="shared" si="7"/>
        <v>0</v>
      </c>
      <c r="O7" s="28">
        <f t="shared" si="8"/>
        <v>402.78588253122626</v>
      </c>
      <c r="P7" s="339">
        <f t="shared" si="10"/>
        <v>137345.54315786509</v>
      </c>
      <c r="Q7" s="397">
        <f t="shared" si="9"/>
        <v>8.9281735238295259E-3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52">
        <f t="shared" si="0"/>
        <v>0.42162288578873974</v>
      </c>
      <c r="E8" s="35">
        <f t="shared" si="1"/>
        <v>3.1066322093566658E-2</v>
      </c>
      <c r="F8" s="71">
        <v>18200124</v>
      </c>
      <c r="G8" s="338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238952.61838660741</v>
      </c>
      <c r="N8" s="29">
        <f t="shared" si="7"/>
        <v>438008.74097863893</v>
      </c>
      <c r="O8" s="28">
        <f t="shared" si="8"/>
        <v>34160.659834125392</v>
      </c>
      <c r="P8" s="339">
        <f t="shared" si="10"/>
        <v>711122.0191993718</v>
      </c>
      <c r="Q8" s="397">
        <f t="shared" si="9"/>
        <v>4.6226624017427727E-2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52">
        <f t="shared" si="0"/>
        <v>0.23704001147712123</v>
      </c>
      <c r="E9" s="35">
        <f t="shared" si="1"/>
        <v>1.7465753387259923E-2</v>
      </c>
      <c r="F9" s="71">
        <v>1756976</v>
      </c>
      <c r="G9" s="338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134341.21655632931</v>
      </c>
      <c r="N9" s="29">
        <f t="shared" si="7"/>
        <v>710750.94689956715</v>
      </c>
      <c r="O9" s="28">
        <f t="shared" si="8"/>
        <v>3736.3259056627048</v>
      </c>
      <c r="P9" s="339">
        <f t="shared" si="10"/>
        <v>848828.48936155916</v>
      </c>
      <c r="Q9" s="397">
        <f t="shared" si="9"/>
        <v>5.5178259670787891E-2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52">
        <f t="shared" si="0"/>
        <v>0.43829357637834249</v>
      </c>
      <c r="E10" s="35">
        <f t="shared" si="1"/>
        <v>3.2294663962177388E-2</v>
      </c>
      <c r="F10" s="71">
        <v>292840828.44</v>
      </c>
      <c r="G10" s="338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248400.64718430067</v>
      </c>
      <c r="N10" s="29">
        <f t="shared" si="7"/>
        <v>36639.987844068884</v>
      </c>
      <c r="O10" s="28">
        <f t="shared" si="8"/>
        <v>442073.96055227047</v>
      </c>
      <c r="P10" s="339">
        <f t="shared" si="10"/>
        <v>727114.59558064002</v>
      </c>
      <c r="Q10" s="397">
        <f t="shared" si="9"/>
        <v>4.7266224529698767E-2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52">
        <f t="shared" si="0"/>
        <v>0</v>
      </c>
      <c r="E11" s="35">
        <f t="shared" si="1"/>
        <v>0</v>
      </c>
      <c r="F11" s="71">
        <v>0</v>
      </c>
      <c r="G11" s="338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39">
        <f t="shared" si="10"/>
        <v>0</v>
      </c>
      <c r="Q11" s="397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52">
        <f t="shared" si="0"/>
        <v>0.36574218106619327</v>
      </c>
      <c r="E12" s="35">
        <f t="shared" si="1"/>
        <v>2.6948879634345002E-2</v>
      </c>
      <c r="F12" s="71">
        <v>927656</v>
      </c>
      <c r="G12" s="338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207282.51422287858</v>
      </c>
      <c r="N12" s="29">
        <f t="shared" si="7"/>
        <v>0</v>
      </c>
      <c r="O12" s="28">
        <f t="shared" si="8"/>
        <v>1179.9860829395207</v>
      </c>
      <c r="P12" s="339">
        <f t="shared" si="10"/>
        <v>208462.5003058181</v>
      </c>
      <c r="Q12" s="397">
        <f t="shared" si="9"/>
        <v>1.3551145040086643E-2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52">
        <f t="shared" si="0"/>
        <v>0.24993102711916435</v>
      </c>
      <c r="E13" s="35">
        <f t="shared" si="1"/>
        <v>1.8415598515566317E-2</v>
      </c>
      <c r="F13" s="71">
        <v>28519495.5</v>
      </c>
      <c r="G13" s="338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141647.13387048661</v>
      </c>
      <c r="N13" s="29">
        <f t="shared" si="7"/>
        <v>0</v>
      </c>
      <c r="O13" s="28">
        <f t="shared" si="8"/>
        <v>40632.818773326268</v>
      </c>
      <c r="P13" s="339">
        <f t="shared" si="10"/>
        <v>182279.95264381287</v>
      </c>
      <c r="Q13" s="397">
        <f t="shared" si="9"/>
        <v>1.1849143479296038E-2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52">
        <f t="shared" si="0"/>
        <v>0.15091413396469328</v>
      </c>
      <c r="E14" s="35">
        <f t="shared" si="1"/>
        <v>1.1119764254372078E-2</v>
      </c>
      <c r="F14" s="71">
        <v>6103961.7199999997</v>
      </c>
      <c r="G14" s="338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85529.81509756032</v>
      </c>
      <c r="N14" s="29">
        <f t="shared" si="7"/>
        <v>0</v>
      </c>
      <c r="O14" s="28">
        <f t="shared" si="8"/>
        <v>7301.8923957517427</v>
      </c>
      <c r="P14" s="339">
        <f t="shared" si="10"/>
        <v>92831.70749331206</v>
      </c>
      <c r="Q14" s="397">
        <f t="shared" si="9"/>
        <v>6.0345430507419669E-3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52">
        <f t="shared" si="0"/>
        <v>0.42816127399927389</v>
      </c>
      <c r="E15" s="35">
        <f t="shared" si="1"/>
        <v>3.1548088337686075E-2</v>
      </c>
      <c r="F15" s="71">
        <v>826855</v>
      </c>
      <c r="G15" s="338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242658.21653034311</v>
      </c>
      <c r="N15" s="29">
        <f t="shared" si="7"/>
        <v>770375.22152515198</v>
      </c>
      <c r="O15" s="28">
        <f t="shared" si="8"/>
        <v>1803.4829886473581</v>
      </c>
      <c r="P15" s="339">
        <f t="shared" si="10"/>
        <v>1014836.9210441423</v>
      </c>
      <c r="Q15" s="397">
        <f t="shared" si="9"/>
        <v>6.5969669791590385E-2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52">
        <f t="shared" si="0"/>
        <v>0.29774041998968209</v>
      </c>
      <c r="E16" s="35">
        <f t="shared" si="1"/>
        <v>2.1938324743377362E-2</v>
      </c>
      <c r="F16" s="71">
        <v>1648610</v>
      </c>
      <c r="G16" s="338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168742.86324132647</v>
      </c>
      <c r="N16" s="29">
        <f t="shared" si="7"/>
        <v>0</v>
      </c>
      <c r="O16" s="28">
        <f t="shared" si="8"/>
        <v>2078.6108529113317</v>
      </c>
      <c r="P16" s="339">
        <f t="shared" si="10"/>
        <v>170821.47409423781</v>
      </c>
      <c r="Q16" s="397">
        <f t="shared" si="9"/>
        <v>1.1104282871099259E-2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52">
        <f t="shared" si="0"/>
        <v>0.26089252692521026</v>
      </c>
      <c r="E17" s="35">
        <f t="shared" si="1"/>
        <v>1.9223271663967992E-2</v>
      </c>
      <c r="F17" s="71">
        <v>14225141</v>
      </c>
      <c r="G17" s="338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147859.50793362365</v>
      </c>
      <c r="N17" s="29">
        <f t="shared" si="7"/>
        <v>0</v>
      </c>
      <c r="O17" s="28">
        <f t="shared" si="8"/>
        <v>19174.467562991929</v>
      </c>
      <c r="P17" s="339">
        <f t="shared" si="10"/>
        <v>167033.97549661557</v>
      </c>
      <c r="Q17" s="397">
        <f t="shared" si="9"/>
        <v>1.0858075794237908E-2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52">
        <f t="shared" si="0"/>
        <v>0.10307283732191079</v>
      </c>
      <c r="E18" s="35">
        <f t="shared" si="1"/>
        <v>7.5946872697625215E-3</v>
      </c>
      <c r="F18" s="71">
        <v>766514</v>
      </c>
      <c r="G18" s="338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58416.0044266392</v>
      </c>
      <c r="N18" s="29">
        <f t="shared" si="7"/>
        <v>0</v>
      </c>
      <c r="O18" s="28">
        <f t="shared" si="8"/>
        <v>1021.1637732960005</v>
      </c>
      <c r="P18" s="339">
        <f t="shared" si="10"/>
        <v>59437.1681999352</v>
      </c>
      <c r="Q18" s="397">
        <f t="shared" si="9"/>
        <v>3.8637245829237898E-3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52">
        <f t="shared" si="0"/>
        <v>0.21252734311444207</v>
      </c>
      <c r="E19" s="35">
        <f t="shared" si="1"/>
        <v>1.5659593246538005E-2</v>
      </c>
      <c r="F19" s="71">
        <v>328496</v>
      </c>
      <c r="G19" s="338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120448.78688437917</v>
      </c>
      <c r="N19" s="29">
        <f t="shared" si="7"/>
        <v>3309.1050807096613</v>
      </c>
      <c r="O19" s="28">
        <f t="shared" si="8"/>
        <v>485.87835894122173</v>
      </c>
      <c r="P19" s="339">
        <f t="shared" si="10"/>
        <v>124243.77032403005</v>
      </c>
      <c r="Q19" s="397">
        <f t="shared" si="9"/>
        <v>8.0764902537300808E-3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52">
        <f t="shared" si="0"/>
        <v>0.28825095183611227</v>
      </c>
      <c r="E20" s="35">
        <f t="shared" si="1"/>
        <v>2.1239114894737506E-2</v>
      </c>
      <c r="F20" s="71">
        <v>704192</v>
      </c>
      <c r="G20" s="338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163364.75560338385</v>
      </c>
      <c r="N20" s="29">
        <f t="shared" si="7"/>
        <v>0</v>
      </c>
      <c r="O20" s="28">
        <f t="shared" si="8"/>
        <v>933.0187051472202</v>
      </c>
      <c r="P20" s="339">
        <f t="shared" si="10"/>
        <v>164297.77430853108</v>
      </c>
      <c r="Q20" s="397">
        <f t="shared" si="9"/>
        <v>1.068020850825508E-2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52">
        <f t="shared" si="0"/>
        <v>0.11878461589759591</v>
      </c>
      <c r="E21" s="35">
        <f t="shared" si="1"/>
        <v>8.7523738905490572E-3</v>
      </c>
      <c r="F21" s="71">
        <v>1253081</v>
      </c>
      <c r="G21" s="338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67320.574735120375</v>
      </c>
      <c r="N21" s="29">
        <f t="shared" si="7"/>
        <v>0</v>
      </c>
      <c r="O21" s="28">
        <f t="shared" si="8"/>
        <v>1761.5625663915916</v>
      </c>
      <c r="P21" s="339">
        <f t="shared" si="10"/>
        <v>69082.137301511961</v>
      </c>
      <c r="Q21" s="397">
        <f t="shared" si="9"/>
        <v>4.490697659668438E-3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52">
        <f t="shared" si="0"/>
        <v>0.21157456495655624</v>
      </c>
      <c r="E22" s="35">
        <f t="shared" si="1"/>
        <v>1.5589389957925661E-2</v>
      </c>
      <c r="F22" s="71">
        <v>89654721.319999993</v>
      </c>
      <c r="G22" s="338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119908.80472676341</v>
      </c>
      <c r="N22" s="29">
        <f t="shared" si="7"/>
        <v>6418.2438741823798</v>
      </c>
      <c r="O22" s="28">
        <f t="shared" si="8"/>
        <v>132863.39518444773</v>
      </c>
      <c r="P22" s="339">
        <f t="shared" si="10"/>
        <v>259190.44378539352</v>
      </c>
      <c r="Q22" s="397">
        <f t="shared" si="9"/>
        <v>1.6848724790250746E-2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52">
        <f t="shared" si="0"/>
        <v>0.15830734776904284</v>
      </c>
      <c r="E23" s="35">
        <f t="shared" si="1"/>
        <v>1.1664516375507198E-2</v>
      </c>
      <c r="F23" s="71">
        <v>1101010</v>
      </c>
      <c r="G23" s="338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89719.881283214505</v>
      </c>
      <c r="N23" s="29">
        <f t="shared" si="7"/>
        <v>0</v>
      </c>
      <c r="O23" s="28">
        <f t="shared" si="8"/>
        <v>1294.9823624000844</v>
      </c>
      <c r="P23" s="339">
        <f t="shared" si="10"/>
        <v>91014.86364561459</v>
      </c>
      <c r="Q23" s="397">
        <f t="shared" si="9"/>
        <v>5.9164387659942589E-3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52">
        <f t="shared" si="0"/>
        <v>0.29083580874850967</v>
      </c>
      <c r="E24" s="35">
        <f t="shared" si="1"/>
        <v>2.1429574189318013E-2</v>
      </c>
      <c r="F24" s="71">
        <v>149244141.31999999</v>
      </c>
      <c r="G24" s="338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164829.71006432734</v>
      </c>
      <c r="N24" s="29">
        <f t="shared" si="7"/>
        <v>0</v>
      </c>
      <c r="O24" s="28">
        <f t="shared" si="8"/>
        <v>192866.82516904382</v>
      </c>
      <c r="P24" s="339">
        <f t="shared" si="10"/>
        <v>357696.53523337119</v>
      </c>
      <c r="Q24" s="397">
        <f t="shared" si="9"/>
        <v>2.3252132264426229E-2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52">
        <f t="shared" si="0"/>
        <v>0.29188912337715578</v>
      </c>
      <c r="E25" s="35">
        <f t="shared" si="1"/>
        <v>2.1507185278806597E-2</v>
      </c>
      <c r="F25" s="71">
        <v>4417747</v>
      </c>
      <c r="G25" s="338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165426.67075356757</v>
      </c>
      <c r="N25" s="29">
        <f t="shared" si="7"/>
        <v>0</v>
      </c>
      <c r="O25" s="28">
        <f t="shared" si="8"/>
        <v>5385.8325707185977</v>
      </c>
      <c r="P25" s="339">
        <f t="shared" si="10"/>
        <v>170812.50332428617</v>
      </c>
      <c r="Q25" s="397">
        <f t="shared" si="9"/>
        <v>1.1103699724468293E-2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52">
        <f t="shared" si="0"/>
        <v>0.27482815238076108</v>
      </c>
      <c r="E26" s="35">
        <f t="shared" si="1"/>
        <v>2.0250086487284706E-2</v>
      </c>
      <c r="F26" s="71">
        <v>320606.25</v>
      </c>
      <c r="G26" s="338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155757.45252747441</v>
      </c>
      <c r="N26" s="29">
        <f t="shared" si="7"/>
        <v>0</v>
      </c>
      <c r="O26" s="28">
        <f t="shared" si="8"/>
        <v>323.1680777405997</v>
      </c>
      <c r="P26" s="339">
        <f t="shared" si="10"/>
        <v>156080.62060521499</v>
      </c>
      <c r="Q26" s="397">
        <f t="shared" si="9"/>
        <v>1.0146050846867703E-2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52">
        <f t="shared" si="0"/>
        <v>8.0380613487941815E-2</v>
      </c>
      <c r="E27" s="35">
        <f t="shared" si="1"/>
        <v>5.92266243807769E-3</v>
      </c>
      <c r="F27" s="71">
        <v>194672</v>
      </c>
      <c r="G27" s="338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45555.302399048545</v>
      </c>
      <c r="N27" s="29">
        <f t="shared" si="7"/>
        <v>0</v>
      </c>
      <c r="O27" s="28">
        <f t="shared" si="8"/>
        <v>207.26106234581738</v>
      </c>
      <c r="P27" s="339">
        <f t="shared" si="10"/>
        <v>45762.563461394362</v>
      </c>
      <c r="Q27" s="397">
        <f t="shared" si="9"/>
        <v>2.9748042643726112E-3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52">
        <f t="shared" si="0"/>
        <v>0.14503811207791859</v>
      </c>
      <c r="E28" s="35">
        <f t="shared" si="1"/>
        <v>1.0686802964280113E-2</v>
      </c>
      <c r="F28" s="71">
        <v>7133102</v>
      </c>
      <c r="G28" s="338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82199.609686828975</v>
      </c>
      <c r="N28" s="29">
        <f t="shared" si="7"/>
        <v>457561.31910790416</v>
      </c>
      <c r="O28" s="28">
        <f t="shared" si="8"/>
        <v>13516.097677258356</v>
      </c>
      <c r="P28" s="339">
        <f t="shared" si="10"/>
        <v>553277.02647199144</v>
      </c>
      <c r="Q28" s="397">
        <f t="shared" si="9"/>
        <v>3.5965879820451144E-2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52">
        <f t="shared" si="0"/>
        <v>0.41675266801260619</v>
      </c>
      <c r="E29" s="35">
        <f t="shared" si="1"/>
        <v>3.0707471188649249E-2</v>
      </c>
      <c r="F29" s="71">
        <v>259353547.03</v>
      </c>
      <c r="G29" s="338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236192.44732154993</v>
      </c>
      <c r="N29" s="29">
        <f t="shared" si="7"/>
        <v>0</v>
      </c>
      <c r="O29" s="28">
        <f t="shared" si="8"/>
        <v>317910.29898188158</v>
      </c>
      <c r="P29" s="339">
        <f t="shared" si="10"/>
        <v>554102.74630343146</v>
      </c>
      <c r="Q29" s="397">
        <f t="shared" si="9"/>
        <v>3.60195558973566E-2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52">
        <f t="shared" si="0"/>
        <v>0.28899968915761715</v>
      </c>
      <c r="E30" s="35">
        <f t="shared" si="1"/>
        <v>2.1294283899023957E-2</v>
      </c>
      <c r="F30" s="71">
        <v>294751</v>
      </c>
      <c r="G30" s="338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163789.09865848784</v>
      </c>
      <c r="N30" s="29">
        <f t="shared" si="7"/>
        <v>0</v>
      </c>
      <c r="O30" s="28">
        <f t="shared" si="8"/>
        <v>425.4280767985619</v>
      </c>
      <c r="P30" s="339">
        <f t="shared" si="10"/>
        <v>164214.5267352864</v>
      </c>
      <c r="Q30" s="397">
        <f t="shared" si="9"/>
        <v>1.0674796983699733E-2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52">
        <f t="shared" si="0"/>
        <v>0.22104772970027434</v>
      </c>
      <c r="E31" s="35">
        <f t="shared" si="1"/>
        <v>1.6287398526941593E-2</v>
      </c>
      <c r="F31" s="71">
        <v>501704</v>
      </c>
      <c r="G31" s="338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125277.67249039178</v>
      </c>
      <c r="N31" s="29">
        <f t="shared" si="7"/>
        <v>55034.74319160734</v>
      </c>
      <c r="O31" s="28">
        <f t="shared" si="8"/>
        <v>765.82116747978375</v>
      </c>
      <c r="P31" s="339">
        <f t="shared" si="10"/>
        <v>181078.23684947891</v>
      </c>
      <c r="Q31" s="397">
        <f t="shared" si="9"/>
        <v>1.1771025712301531E-2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52">
        <f t="shared" si="0"/>
        <v>0.47927584225230302</v>
      </c>
      <c r="E32" s="35">
        <f t="shared" si="1"/>
        <v>3.531434888602325E-2</v>
      </c>
      <c r="F32" s="71">
        <v>314751</v>
      </c>
      <c r="G32" s="338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271627.13717826607</v>
      </c>
      <c r="N32" s="29">
        <f t="shared" si="7"/>
        <v>113641.251561524</v>
      </c>
      <c r="O32" s="28">
        <f t="shared" si="8"/>
        <v>497.33119543004193</v>
      </c>
      <c r="P32" s="339">
        <f t="shared" si="10"/>
        <v>385765.71993522008</v>
      </c>
      <c r="Q32" s="397">
        <f t="shared" si="9"/>
        <v>2.5076775029881534E-2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52">
        <f t="shared" si="0"/>
        <v>0.31808362466222279</v>
      </c>
      <c r="E33" s="35">
        <f t="shared" si="1"/>
        <v>2.3437267448041563E-2</v>
      </c>
      <c r="F33" s="71">
        <v>586273</v>
      </c>
      <c r="G33" s="338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180272.27064952388</v>
      </c>
      <c r="N33" s="29">
        <f t="shared" si="7"/>
        <v>118009.75224889243</v>
      </c>
      <c r="O33" s="28">
        <f t="shared" si="8"/>
        <v>928.70119686911755</v>
      </c>
      <c r="P33" s="339">
        <f t="shared" si="10"/>
        <v>299210.72409528546</v>
      </c>
      <c r="Q33" s="397">
        <f t="shared" si="9"/>
        <v>1.9450250830803248E-2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52">
        <f t="shared" si="0"/>
        <v>0.19498931932037375</v>
      </c>
      <c r="E34" s="35">
        <f t="shared" si="1"/>
        <v>1.4367343906106889E-2</v>
      </c>
      <c r="F34" s="71">
        <v>107675</v>
      </c>
      <c r="G34" s="338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110509.20142027538</v>
      </c>
      <c r="N34" s="29">
        <f t="shared" si="7"/>
        <v>78486.896023740715</v>
      </c>
      <c r="O34" s="28">
        <f t="shared" si="8"/>
        <v>166.67058024682703</v>
      </c>
      <c r="P34" s="339">
        <f t="shared" si="10"/>
        <v>189162.76802426291</v>
      </c>
      <c r="Q34" s="397">
        <f t="shared" si="9"/>
        <v>1.2296562220641792E-2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52">
        <f t="shared" si="0"/>
        <v>0</v>
      </c>
      <c r="E35" s="35">
        <f t="shared" si="1"/>
        <v>0</v>
      </c>
      <c r="F35" s="71">
        <v>0</v>
      </c>
      <c r="G35" s="338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39">
        <f t="shared" si="10"/>
        <v>0</v>
      </c>
      <c r="Q35" s="397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52">
        <f t="shared" si="0"/>
        <v>0.3151561907391166</v>
      </c>
      <c r="E36" s="35">
        <f t="shared" si="1"/>
        <v>2.3221566146645844E-2</v>
      </c>
      <c r="F36" s="71">
        <v>1383880</v>
      </c>
      <c r="G36" s="338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178613.16241641316</v>
      </c>
      <c r="N36" s="29">
        <f t="shared" si="7"/>
        <v>0</v>
      </c>
      <c r="O36" s="28">
        <f t="shared" si="8"/>
        <v>1762.5515340997383</v>
      </c>
      <c r="P36" s="339">
        <f t="shared" si="10"/>
        <v>180375.7139505129</v>
      </c>
      <c r="Q36" s="397">
        <f t="shared" si="9"/>
        <v>1.1725358075753449E-2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52">
        <f t="shared" si="0"/>
        <v>0.26102531457579969</v>
      </c>
      <c r="E37" s="35">
        <f t="shared" si="1"/>
        <v>1.9233055819577908E-2</v>
      </c>
      <c r="F37" s="71">
        <v>10865396</v>
      </c>
      <c r="G37" s="338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147934.76465679321</v>
      </c>
      <c r="N37" s="29">
        <f t="shared" si="7"/>
        <v>0</v>
      </c>
      <c r="O37" s="28">
        <f t="shared" si="8"/>
        <v>15174.364780640844</v>
      </c>
      <c r="P37" s="339">
        <f t="shared" si="10"/>
        <v>163109.12943743405</v>
      </c>
      <c r="Q37" s="397">
        <f t="shared" si="9"/>
        <v>1.0602940419146674E-2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52">
        <f t="shared" si="0"/>
        <v>0.42927491337601992</v>
      </c>
      <c r="E38" s="35">
        <f t="shared" si="1"/>
        <v>3.1630144318848842E-2</v>
      </c>
      <c r="F38" s="71">
        <v>1126052</v>
      </c>
      <c r="G38" s="338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243289.36596264705</v>
      </c>
      <c r="N38" s="29">
        <f t="shared" si="7"/>
        <v>0</v>
      </c>
      <c r="O38" s="28">
        <f t="shared" si="8"/>
        <v>1388.9047732498884</v>
      </c>
      <c r="P38" s="339">
        <f t="shared" si="10"/>
        <v>244678.27073589695</v>
      </c>
      <c r="Q38" s="397">
        <f t="shared" si="9"/>
        <v>1.5905358182097887E-2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52">
        <f t="shared" si="0"/>
        <v>0.40780519589368125</v>
      </c>
      <c r="E39" s="35">
        <f t="shared" si="1"/>
        <v>3.0048197083426677E-2</v>
      </c>
      <c r="F39" s="71">
        <v>319251</v>
      </c>
      <c r="G39" s="338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231121.51316967478</v>
      </c>
      <c r="N39" s="29">
        <f t="shared" si="7"/>
        <v>0</v>
      </c>
      <c r="O39" s="28">
        <f t="shared" si="8"/>
        <v>445.28492469981904</v>
      </c>
      <c r="P39" s="339">
        <f t="shared" si="10"/>
        <v>231566.79809437459</v>
      </c>
      <c r="Q39" s="397">
        <f t="shared" si="9"/>
        <v>1.5053044374128853E-2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52">
        <f t="shared" si="0"/>
        <v>7.6947475335443896E-2</v>
      </c>
      <c r="E40" s="35">
        <f t="shared" si="1"/>
        <v>5.6696994722802083E-3</v>
      </c>
      <c r="F40" s="71">
        <v>69817</v>
      </c>
      <c r="G40" s="338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43609.588875249494</v>
      </c>
      <c r="N40" s="29">
        <f t="shared" si="7"/>
        <v>0</v>
      </c>
      <c r="O40" s="28">
        <f t="shared" si="8"/>
        <v>95.611036309684039</v>
      </c>
      <c r="P40" s="339">
        <f t="shared" si="10"/>
        <v>43705.199911559175</v>
      </c>
      <c r="Q40" s="397">
        <f t="shared" si="9"/>
        <v>2.8410649499966243E-3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52">
        <f t="shared" si="0"/>
        <v>0.23302070641958469</v>
      </c>
      <c r="E41" s="35">
        <f t="shared" si="1"/>
        <v>1.7169600048059317E-2</v>
      </c>
      <c r="F41" s="71">
        <v>875732</v>
      </c>
      <c r="G41" s="338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132063.29593113318</v>
      </c>
      <c r="N41" s="29">
        <f t="shared" si="7"/>
        <v>422373.74155630893</v>
      </c>
      <c r="O41" s="28">
        <f t="shared" si="8"/>
        <v>1631.1708642504771</v>
      </c>
      <c r="P41" s="339">
        <f t="shared" si="10"/>
        <v>556068.20835169265</v>
      </c>
      <c r="Q41" s="397">
        <f t="shared" si="9"/>
        <v>3.6147321136897052E-2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52">
        <f t="shared" si="0"/>
        <v>0.2858914767622755</v>
      </c>
      <c r="E42" s="35">
        <f t="shared" si="1"/>
        <v>2.1065262347624389E-2</v>
      </c>
      <c r="F42" s="71">
        <v>15135193.17</v>
      </c>
      <c r="G42" s="338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162027.53514900428</v>
      </c>
      <c r="N42" s="29">
        <f t="shared" si="7"/>
        <v>187170.96021448122</v>
      </c>
      <c r="O42" s="28">
        <f t="shared" si="8"/>
        <v>24933.32719558588</v>
      </c>
      <c r="P42" s="339">
        <f t="shared" si="10"/>
        <v>374131.82255907141</v>
      </c>
      <c r="Q42" s="397">
        <f t="shared" si="9"/>
        <v>2.4320511287029008E-2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52">
        <f t="shared" si="0"/>
        <v>0</v>
      </c>
      <c r="E43" s="35">
        <f t="shared" si="1"/>
        <v>0</v>
      </c>
      <c r="F43" s="71">
        <v>0</v>
      </c>
      <c r="G43" s="338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39">
        <f t="shared" si="10"/>
        <v>0</v>
      </c>
      <c r="Q43" s="397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52">
        <f t="shared" si="0"/>
        <v>0.33532010732145034</v>
      </c>
      <c r="E44" s="35">
        <f t="shared" si="1"/>
        <v>2.4707298416711626E-2</v>
      </c>
      <c r="F44" s="71">
        <v>468889</v>
      </c>
      <c r="G44" s="338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190040.95921464488</v>
      </c>
      <c r="N44" s="29">
        <f t="shared" si="7"/>
        <v>0</v>
      </c>
      <c r="O44" s="28">
        <f t="shared" si="8"/>
        <v>666.32806389782274</v>
      </c>
      <c r="P44" s="339">
        <f t="shared" si="10"/>
        <v>190707.2872785427</v>
      </c>
      <c r="Q44" s="397">
        <f t="shared" si="9"/>
        <v>1.2396963992669121E-2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52">
        <f t="shared" si="0"/>
        <v>0.16393112857886435</v>
      </c>
      <c r="E45" s="35">
        <f t="shared" si="1"/>
        <v>1.2078891856322714E-2</v>
      </c>
      <c r="F45" s="71">
        <v>15857010</v>
      </c>
      <c r="G45" s="338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92907.130351123371</v>
      </c>
      <c r="N45" s="29">
        <f t="shared" si="7"/>
        <v>141949.98305302026</v>
      </c>
      <c r="O45" s="28">
        <f t="shared" si="8"/>
        <v>25466.151704025702</v>
      </c>
      <c r="P45" s="339">
        <f t="shared" si="10"/>
        <v>260323.26510816935</v>
      </c>
      <c r="Q45" s="397">
        <f t="shared" si="9"/>
        <v>1.692236405883343E-2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52">
        <f t="shared" si="0"/>
        <v>0.13831954936901275</v>
      </c>
      <c r="E46" s="35">
        <f t="shared" si="1"/>
        <v>1.0191760972595446E-2</v>
      </c>
      <c r="F46" s="71">
        <v>1139783</v>
      </c>
      <c r="G46" s="338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78391.898565824769</v>
      </c>
      <c r="N46" s="29">
        <f t="shared" si="7"/>
        <v>0</v>
      </c>
      <c r="O46" s="28">
        <f t="shared" si="8"/>
        <v>1588.1537210885122</v>
      </c>
      <c r="P46" s="339">
        <f t="shared" si="10"/>
        <v>79980.052286913284</v>
      </c>
      <c r="Q46" s="397">
        <f t="shared" si="9"/>
        <v>5.1991187252560566E-3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52">
        <f t="shared" si="0"/>
        <v>0.23703135405844589</v>
      </c>
      <c r="E47" s="35">
        <f t="shared" si="1"/>
        <v>1.7465115485082096E-2</v>
      </c>
      <c r="F47" s="71">
        <v>622808</v>
      </c>
      <c r="G47" s="338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134336.31000848603</v>
      </c>
      <c r="N47" s="29">
        <f t="shared" si="7"/>
        <v>0</v>
      </c>
      <c r="O47" s="28">
        <f t="shared" si="8"/>
        <v>328.34908767432296</v>
      </c>
      <c r="P47" s="339">
        <f t="shared" si="10"/>
        <v>134664.65909616035</v>
      </c>
      <c r="Q47" s="397">
        <f t="shared" si="9"/>
        <v>8.7539021383164373E-3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52">
        <f t="shared" si="0"/>
        <v>0.4081564476960613</v>
      </c>
      <c r="E48" s="35">
        <f t="shared" si="1"/>
        <v>3.0074078272509359E-2</v>
      </c>
      <c r="F48" s="71">
        <v>9313018</v>
      </c>
      <c r="G48" s="338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231320.58333574203</v>
      </c>
      <c r="N48" s="29">
        <f t="shared" si="7"/>
        <v>0</v>
      </c>
      <c r="O48" s="28">
        <f t="shared" si="8"/>
        <v>11634.099509011394</v>
      </c>
      <c r="P48" s="339">
        <f t="shared" si="10"/>
        <v>242954.68284475344</v>
      </c>
      <c r="Q48" s="397">
        <f t="shared" si="9"/>
        <v>1.5793316018792934E-2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52">
        <f t="shared" si="0"/>
        <v>0.15184935024662188</v>
      </c>
      <c r="E49" s="35">
        <f t="shared" si="1"/>
        <v>1.1188673536151671E-2</v>
      </c>
      <c r="F49" s="71">
        <v>20380807</v>
      </c>
      <c r="G49" s="338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86059.844151620258</v>
      </c>
      <c r="N49" s="29">
        <f t="shared" si="7"/>
        <v>0</v>
      </c>
      <c r="O49" s="28">
        <f t="shared" si="8"/>
        <v>28102.497375898911</v>
      </c>
      <c r="P49" s="339">
        <f t="shared" si="10"/>
        <v>114162.34152751917</v>
      </c>
      <c r="Q49" s="397">
        <f t="shared" si="9"/>
        <v>7.4211450303330257E-3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52">
        <f t="shared" si="0"/>
        <v>0.46579017629530794</v>
      </c>
      <c r="E50" s="35">
        <f t="shared" si="1"/>
        <v>3.4320688303575229E-2</v>
      </c>
      <c r="F50" s="71">
        <v>291911120</v>
      </c>
      <c r="G50" s="338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263984.20483344607</v>
      </c>
      <c r="N50" s="29">
        <f t="shared" si="7"/>
        <v>81678.387680886211</v>
      </c>
      <c r="O50" s="28">
        <f t="shared" si="8"/>
        <v>452703.08673737873</v>
      </c>
      <c r="P50" s="339">
        <f t="shared" si="10"/>
        <v>798365.679251711</v>
      </c>
      <c r="Q50" s="397">
        <f t="shared" si="9"/>
        <v>5.1897914966461144E-2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52">
        <f t="shared" si="0"/>
        <v>0.58927297014765223</v>
      </c>
      <c r="E51" s="35">
        <f t="shared" si="1"/>
        <v>4.3419236736623477E-2</v>
      </c>
      <c r="F51" s="71">
        <v>707374780.13</v>
      </c>
      <c r="G51" s="338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333967.44794301485</v>
      </c>
      <c r="N51" s="29">
        <f t="shared" si="7"/>
        <v>0</v>
      </c>
      <c r="O51" s="28">
        <f t="shared" si="8"/>
        <v>990843.84839342558</v>
      </c>
      <c r="P51" s="339">
        <f t="shared" si="10"/>
        <v>1324811.2963364404</v>
      </c>
      <c r="Q51" s="397">
        <f t="shared" si="9"/>
        <v>8.611961384452059E-2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52">
        <f t="shared" si="0"/>
        <v>0.38687976306286082</v>
      </c>
      <c r="E52" s="35">
        <f t="shared" si="1"/>
        <v>2.8506354222943786E-2</v>
      </c>
      <c r="F52" s="71">
        <v>114179634.2</v>
      </c>
      <c r="G52" s="338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219262.1309247009</v>
      </c>
      <c r="N52" s="29">
        <f t="shared" si="7"/>
        <v>0</v>
      </c>
      <c r="O52" s="28">
        <f t="shared" si="8"/>
        <v>165529.16298934107</v>
      </c>
      <c r="P52" s="339">
        <f t="shared" si="10"/>
        <v>384791.29391404195</v>
      </c>
      <c r="Q52" s="397">
        <f t="shared" si="9"/>
        <v>2.5013432278430083E-2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52">
        <f t="shared" si="0"/>
        <v>0.4293036905183733</v>
      </c>
      <c r="E53" s="35">
        <f t="shared" si="1"/>
        <v>3.1632264697043236E-2</v>
      </c>
      <c r="F53" s="71">
        <v>77757928.799999997</v>
      </c>
      <c r="G53" s="338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243305.67526118565</v>
      </c>
      <c r="N53" s="29">
        <f t="shared" si="7"/>
        <v>157720.32876514495</v>
      </c>
      <c r="O53" s="28">
        <f t="shared" si="8"/>
        <v>126000.53078039916</v>
      </c>
      <c r="P53" s="339">
        <f t="shared" si="10"/>
        <v>527026.53480672976</v>
      </c>
      <c r="Q53" s="397">
        <f t="shared" si="9"/>
        <v>3.4259461546623987E-2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52">
        <f t="shared" si="0"/>
        <v>0.32077578794747785</v>
      </c>
      <c r="E54" s="35">
        <f t="shared" si="1"/>
        <v>2.3635633368315909E-2</v>
      </c>
      <c r="F54" s="71">
        <v>1324391</v>
      </c>
      <c r="G54" s="338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181798.04044954921</v>
      </c>
      <c r="N54" s="29">
        <f t="shared" si="7"/>
        <v>161327.45760992225</v>
      </c>
      <c r="O54" s="28">
        <f t="shared" si="8"/>
        <v>2150.4423820893121</v>
      </c>
      <c r="P54" s="339">
        <f t="shared" si="10"/>
        <v>345275.94044156082</v>
      </c>
      <c r="Q54" s="397">
        <f t="shared" si="9"/>
        <v>2.2444729104332452E-2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52">
        <f t="shared" si="0"/>
        <v>0.22118813710084007</v>
      </c>
      <c r="E55" s="35">
        <f t="shared" si="1"/>
        <v>1.6297744126474539E-2</v>
      </c>
      <c r="F55" s="71">
        <v>606247</v>
      </c>
      <c r="G55" s="338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125357.2476679661</v>
      </c>
      <c r="N55" s="29">
        <f t="shared" si="7"/>
        <v>164728.63754102576</v>
      </c>
      <c r="O55" s="28">
        <f t="shared" si="8"/>
        <v>986.26354569686862</v>
      </c>
      <c r="P55" s="339">
        <f t="shared" si="10"/>
        <v>291072.14875468874</v>
      </c>
      <c r="Q55" s="397">
        <f t="shared" si="9"/>
        <v>1.8921201171040434E-2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53" t="s">
        <v>52</v>
      </c>
      <c r="B56" s="354">
        <f>SUM(B5:B55)</f>
        <v>5122664860.750001</v>
      </c>
      <c r="C56" s="355">
        <f>SUM(C5:C55)</f>
        <v>2084369146.27</v>
      </c>
      <c r="D56" s="356">
        <f>SUM(D5:D55)</f>
        <v>13.571702646965447</v>
      </c>
      <c r="E56" s="357">
        <f>SUM(E5:E55)</f>
        <v>1</v>
      </c>
      <c r="F56" s="358">
        <f>SUM(F5:F55)</f>
        <v>2153395867.8800001</v>
      </c>
      <c r="G56" s="359"/>
      <c r="H56" s="360">
        <f>SUM(H5:H55)</f>
        <v>2.8614914722209539</v>
      </c>
      <c r="I56" s="361">
        <f>SUM(I5:I55)</f>
        <v>0.99999999999999989</v>
      </c>
      <c r="J56" s="362">
        <f>SUM(J5:J55)</f>
        <v>1</v>
      </c>
      <c r="L56" s="353" t="s">
        <v>52</v>
      </c>
      <c r="M56" s="363">
        <f>SUM(M5:M55)</f>
        <v>7691693.1996945571</v>
      </c>
      <c r="N56" s="358">
        <f>SUM(N5:N55)</f>
        <v>4615015.9198167333</v>
      </c>
      <c r="O56" s="364">
        <f>SUM(O5:O55)</f>
        <v>3076677.2798778238</v>
      </c>
      <c r="P56" s="365">
        <f>SUM(P5:P55)</f>
        <v>15383386.399389112</v>
      </c>
      <c r="Q56" s="398">
        <f>SUM(Q5:Q55)</f>
        <v>0.99999999999999978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31" t="s">
        <v>152</v>
      </c>
      <c r="M59" s="431"/>
      <c r="N59" s="431"/>
      <c r="O59" s="431"/>
      <c r="P59" s="431"/>
      <c r="Q59" s="431"/>
    </row>
    <row r="60" spans="1:26">
      <c r="L60" s="431"/>
      <c r="M60" s="431"/>
      <c r="N60" s="431"/>
      <c r="O60" s="431"/>
      <c r="P60" s="431"/>
      <c r="Q60" s="431"/>
    </row>
    <row r="61" spans="1:26">
      <c r="L61" s="431"/>
      <c r="M61" s="431"/>
      <c r="N61" s="431"/>
      <c r="O61" s="431"/>
      <c r="P61" s="431"/>
      <c r="Q61" s="431"/>
    </row>
    <row r="62" spans="1:26">
      <c r="L62" s="431"/>
      <c r="M62" s="431"/>
      <c r="N62" s="431"/>
      <c r="O62" s="431"/>
      <c r="P62" s="431"/>
      <c r="Q62" s="431"/>
    </row>
    <row r="63" spans="1:26">
      <c r="L63" s="431"/>
      <c r="M63" s="431"/>
      <c r="N63" s="431"/>
      <c r="O63" s="431"/>
      <c r="P63" s="431"/>
      <c r="Q63" s="431"/>
    </row>
    <row r="64" spans="1:26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</row>
    <row r="65" spans="1:22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</row>
    <row r="66" spans="1:22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</row>
    <row r="67" spans="1:22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</row>
    <row r="68" spans="1:22">
      <c r="A68" s="194"/>
      <c r="B68" s="432"/>
      <c r="C68" s="432"/>
      <c r="D68" s="432"/>
      <c r="E68" s="432"/>
      <c r="F68" s="432"/>
      <c r="G68" s="432"/>
      <c r="H68" s="432"/>
      <c r="I68" s="432"/>
      <c r="J68" s="195"/>
      <c r="K68" s="193"/>
      <c r="L68" s="433"/>
      <c r="M68" s="433"/>
      <c r="N68" s="433"/>
      <c r="O68" s="433"/>
      <c r="P68" s="433"/>
      <c r="Q68" s="433"/>
      <c r="R68" s="193"/>
      <c r="S68" s="193"/>
      <c r="T68" s="193"/>
      <c r="U68" s="193"/>
      <c r="V68" s="193"/>
    </row>
    <row r="69" spans="1:22">
      <c r="A69" s="349"/>
      <c r="B69" s="195"/>
      <c r="C69" s="195"/>
      <c r="D69" s="195"/>
      <c r="E69" s="195"/>
      <c r="F69" s="195"/>
      <c r="G69" s="195"/>
      <c r="H69" s="195"/>
      <c r="I69" s="195"/>
      <c r="J69" s="195"/>
      <c r="K69" s="193"/>
      <c r="L69" s="349"/>
      <c r="M69" s="195"/>
      <c r="N69" s="195"/>
      <c r="O69" s="195"/>
      <c r="P69" s="195"/>
      <c r="Q69" s="195"/>
      <c r="R69" s="193"/>
      <c r="S69" s="193"/>
      <c r="T69" s="193"/>
      <c r="U69" s="193"/>
      <c r="V69" s="193"/>
    </row>
    <row r="70" spans="1:22">
      <c r="A70" s="194"/>
      <c r="B70" s="196"/>
      <c r="C70" s="196"/>
      <c r="D70" s="196"/>
      <c r="E70" s="196"/>
      <c r="F70" s="196"/>
      <c r="G70" s="196"/>
      <c r="H70" s="196"/>
      <c r="I70" s="196"/>
      <c r="J70" s="196"/>
      <c r="K70" s="193"/>
      <c r="L70" s="193"/>
      <c r="M70" s="197"/>
      <c r="N70" s="197"/>
      <c r="O70" s="197"/>
      <c r="P70" s="197"/>
      <c r="Q70" s="193"/>
      <c r="R70" s="193"/>
      <c r="S70" s="193"/>
      <c r="T70" s="193"/>
      <c r="U70" s="193"/>
      <c r="V70" s="193"/>
    </row>
    <row r="71" spans="1:22">
      <c r="A71" s="193"/>
      <c r="B71" s="193"/>
      <c r="C71" s="193"/>
      <c r="D71" s="193"/>
      <c r="E71" s="193"/>
      <c r="F71" s="198"/>
      <c r="G71" s="194"/>
      <c r="H71" s="194"/>
      <c r="I71" s="194"/>
      <c r="J71" s="193"/>
      <c r="K71" s="193"/>
      <c r="L71" s="193"/>
      <c r="M71" s="366"/>
      <c r="N71" s="366"/>
      <c r="O71" s="366"/>
      <c r="P71" s="199"/>
      <c r="Q71" s="199"/>
      <c r="R71" s="193"/>
      <c r="S71" s="193"/>
      <c r="T71" s="193"/>
      <c r="U71" s="193"/>
      <c r="V71" s="193"/>
    </row>
    <row r="72" spans="1:22">
      <c r="A72" s="194"/>
      <c r="B72" s="29"/>
      <c r="C72" s="29"/>
      <c r="D72" s="352"/>
      <c r="E72" s="33"/>
      <c r="F72" s="29"/>
      <c r="G72" s="34"/>
      <c r="H72" s="33"/>
      <c r="I72" s="200"/>
      <c r="J72" s="201"/>
      <c r="K72" s="193"/>
      <c r="L72" s="194"/>
      <c r="M72" s="71"/>
      <c r="N72" s="71"/>
      <c r="O72" s="71"/>
      <c r="P72" s="71"/>
      <c r="Q72" s="202"/>
      <c r="R72" s="193"/>
      <c r="S72" s="193"/>
      <c r="T72" s="193"/>
      <c r="U72" s="193"/>
      <c r="V72" s="193"/>
    </row>
    <row r="73" spans="1:22">
      <c r="A73" s="194"/>
      <c r="B73" s="29"/>
      <c r="C73" s="29"/>
      <c r="D73" s="352"/>
      <c r="E73" s="33"/>
      <c r="F73" s="29"/>
      <c r="G73" s="34"/>
      <c r="H73" s="33"/>
      <c r="I73" s="200"/>
      <c r="J73" s="201"/>
      <c r="K73" s="193"/>
      <c r="L73" s="194"/>
      <c r="M73" s="71"/>
      <c r="N73" s="71"/>
      <c r="O73" s="71"/>
      <c r="P73" s="202"/>
      <c r="Q73" s="202"/>
      <c r="R73" s="193"/>
      <c r="S73" s="193"/>
      <c r="T73" s="193"/>
      <c r="U73" s="193"/>
      <c r="V73" s="193"/>
    </row>
    <row r="74" spans="1:22">
      <c r="A74" s="194"/>
      <c r="B74" s="29"/>
      <c r="C74" s="29"/>
      <c r="D74" s="352"/>
      <c r="E74" s="33"/>
      <c r="F74" s="29"/>
      <c r="G74" s="34"/>
      <c r="H74" s="33"/>
      <c r="I74" s="200"/>
      <c r="J74" s="201"/>
      <c r="K74" s="193"/>
      <c r="L74" s="194"/>
      <c r="M74" s="71"/>
      <c r="N74" s="71"/>
      <c r="O74" s="71"/>
      <c r="P74" s="202"/>
      <c r="Q74" s="202"/>
      <c r="R74" s="193"/>
      <c r="S74" s="193"/>
      <c r="T74" s="193"/>
      <c r="U74" s="193"/>
      <c r="V74" s="193"/>
    </row>
    <row r="75" spans="1:22">
      <c r="A75" s="194"/>
      <c r="B75" s="29"/>
      <c r="C75" s="29"/>
      <c r="D75" s="352"/>
      <c r="E75" s="33"/>
      <c r="F75" s="29"/>
      <c r="G75" s="34"/>
      <c r="H75" s="33"/>
      <c r="I75" s="200"/>
      <c r="J75" s="201"/>
      <c r="K75" s="193"/>
      <c r="L75" s="194"/>
      <c r="M75" s="71"/>
      <c r="N75" s="71"/>
      <c r="O75" s="71"/>
      <c r="P75" s="202"/>
      <c r="Q75" s="202"/>
      <c r="R75" s="193"/>
      <c r="S75" s="193"/>
      <c r="T75" s="193"/>
      <c r="U75" s="193"/>
      <c r="V75" s="193"/>
    </row>
    <row r="76" spans="1:22">
      <c r="A76" s="194"/>
      <c r="B76" s="29"/>
      <c r="C76" s="29"/>
      <c r="D76" s="352"/>
      <c r="E76" s="33"/>
      <c r="F76" s="29"/>
      <c r="G76" s="34"/>
      <c r="H76" s="33"/>
      <c r="I76" s="200"/>
      <c r="J76" s="201"/>
      <c r="K76" s="193"/>
      <c r="L76" s="194"/>
      <c r="M76" s="71"/>
      <c r="N76" s="71"/>
      <c r="O76" s="71"/>
      <c r="P76" s="202"/>
      <c r="Q76" s="202"/>
      <c r="R76" s="193"/>
      <c r="S76" s="193"/>
      <c r="T76" s="193"/>
      <c r="U76" s="193"/>
      <c r="V76" s="193"/>
    </row>
    <row r="77" spans="1:22">
      <c r="A77" s="194"/>
      <c r="B77" s="29"/>
      <c r="C77" s="29"/>
      <c r="D77" s="352"/>
      <c r="E77" s="33"/>
      <c r="F77" s="29"/>
      <c r="G77" s="34"/>
      <c r="H77" s="33"/>
      <c r="I77" s="200"/>
      <c r="J77" s="201"/>
      <c r="K77" s="193"/>
      <c r="L77" s="194"/>
      <c r="M77" s="71"/>
      <c r="N77" s="71"/>
      <c r="O77" s="71"/>
      <c r="P77" s="202"/>
      <c r="Q77" s="202"/>
      <c r="R77" s="193"/>
      <c r="S77" s="193"/>
      <c r="T77" s="193"/>
      <c r="U77" s="193"/>
      <c r="V77" s="193"/>
    </row>
    <row r="78" spans="1:22">
      <c r="A78" s="194"/>
      <c r="B78" s="29"/>
      <c r="C78" s="29"/>
      <c r="D78" s="352"/>
      <c r="E78" s="33"/>
      <c r="F78" s="29"/>
      <c r="G78" s="34"/>
      <c r="H78" s="33"/>
      <c r="I78" s="200"/>
      <c r="J78" s="201"/>
      <c r="K78" s="193"/>
      <c r="L78" s="194"/>
      <c r="M78" s="71"/>
      <c r="N78" s="71"/>
      <c r="O78" s="71"/>
      <c r="P78" s="202"/>
      <c r="Q78" s="202"/>
      <c r="R78" s="193"/>
      <c r="S78" s="193"/>
      <c r="T78" s="193"/>
      <c r="U78" s="193"/>
      <c r="V78" s="193"/>
    </row>
    <row r="79" spans="1:22">
      <c r="A79" s="194"/>
      <c r="B79" s="29"/>
      <c r="C79" s="29"/>
      <c r="D79" s="352"/>
      <c r="E79" s="33"/>
      <c r="F79" s="29"/>
      <c r="G79" s="34"/>
      <c r="H79" s="33"/>
      <c r="I79" s="200"/>
      <c r="J79" s="201"/>
      <c r="K79" s="193"/>
      <c r="L79" s="194"/>
      <c r="M79" s="71"/>
      <c r="N79" s="71"/>
      <c r="O79" s="71"/>
      <c r="P79" s="202"/>
      <c r="Q79" s="202"/>
      <c r="R79" s="193"/>
      <c r="S79" s="193"/>
      <c r="T79" s="193"/>
      <c r="U79" s="193"/>
      <c r="V79" s="193"/>
    </row>
    <row r="80" spans="1:22">
      <c r="A80" s="194"/>
      <c r="B80" s="29"/>
      <c r="C80" s="29"/>
      <c r="D80" s="352"/>
      <c r="E80" s="33"/>
      <c r="F80" s="29"/>
      <c r="G80" s="34"/>
      <c r="H80" s="33"/>
      <c r="I80" s="200"/>
      <c r="J80" s="201"/>
      <c r="K80" s="193"/>
      <c r="L80" s="194"/>
      <c r="M80" s="71"/>
      <c r="N80" s="71"/>
      <c r="O80" s="71"/>
      <c r="P80" s="202"/>
      <c r="Q80" s="202"/>
      <c r="R80" s="193"/>
      <c r="S80" s="193"/>
      <c r="T80" s="193"/>
      <c r="U80" s="193"/>
      <c r="V80" s="193"/>
    </row>
    <row r="81" spans="1:22">
      <c r="A81" s="194"/>
      <c r="B81" s="29"/>
      <c r="C81" s="29"/>
      <c r="D81" s="352"/>
      <c r="E81" s="33"/>
      <c r="F81" s="29"/>
      <c r="G81" s="34"/>
      <c r="H81" s="33"/>
      <c r="I81" s="200"/>
      <c r="J81" s="201"/>
      <c r="K81" s="193"/>
      <c r="L81" s="194"/>
      <c r="M81" s="71"/>
      <c r="N81" s="71"/>
      <c r="O81" s="71"/>
      <c r="P81" s="202"/>
      <c r="Q81" s="202"/>
      <c r="R81" s="193"/>
      <c r="S81" s="193"/>
      <c r="T81" s="193"/>
      <c r="U81" s="193"/>
      <c r="V81" s="193"/>
    </row>
    <row r="82" spans="1:22">
      <c r="A82" s="194"/>
      <c r="B82" s="29"/>
      <c r="C82" s="29"/>
      <c r="D82" s="352"/>
      <c r="E82" s="33"/>
      <c r="F82" s="29"/>
      <c r="G82" s="34"/>
      <c r="H82" s="33"/>
      <c r="I82" s="200"/>
      <c r="J82" s="201"/>
      <c r="K82" s="193"/>
      <c r="L82" s="194"/>
      <c r="M82" s="71"/>
      <c r="N82" s="71"/>
      <c r="O82" s="71"/>
      <c r="P82" s="202"/>
      <c r="Q82" s="202"/>
      <c r="R82" s="193"/>
      <c r="S82" s="193"/>
      <c r="T82" s="193"/>
      <c r="U82" s="193"/>
      <c r="V82" s="193"/>
    </row>
    <row r="83" spans="1:22">
      <c r="A83" s="194"/>
      <c r="B83" s="29"/>
      <c r="C83" s="29"/>
      <c r="D83" s="352"/>
      <c r="E83" s="33"/>
      <c r="F83" s="29"/>
      <c r="G83" s="34"/>
      <c r="H83" s="33"/>
      <c r="I83" s="200"/>
      <c r="J83" s="201"/>
      <c r="K83" s="193"/>
      <c r="L83" s="194"/>
      <c r="M83" s="71"/>
      <c r="N83" s="71"/>
      <c r="O83" s="71"/>
      <c r="P83" s="202"/>
      <c r="Q83" s="202"/>
      <c r="R83" s="193"/>
      <c r="S83" s="193"/>
      <c r="T83" s="193"/>
      <c r="U83" s="193"/>
      <c r="V83" s="193"/>
    </row>
    <row r="84" spans="1:22">
      <c r="A84" s="194"/>
      <c r="B84" s="29"/>
      <c r="C84" s="29"/>
      <c r="D84" s="352"/>
      <c r="E84" s="33"/>
      <c r="F84" s="29"/>
      <c r="G84" s="34"/>
      <c r="H84" s="33"/>
      <c r="I84" s="200"/>
      <c r="J84" s="201"/>
      <c r="K84" s="193"/>
      <c r="L84" s="194"/>
      <c r="M84" s="71"/>
      <c r="N84" s="71"/>
      <c r="O84" s="71"/>
      <c r="P84" s="202"/>
      <c r="Q84" s="202"/>
      <c r="R84" s="193"/>
      <c r="S84" s="193"/>
      <c r="T84" s="193"/>
      <c r="U84" s="193"/>
      <c r="V84" s="193"/>
    </row>
    <row r="85" spans="1:22">
      <c r="A85" s="194"/>
      <c r="B85" s="29"/>
      <c r="C85" s="29"/>
      <c r="D85" s="352"/>
      <c r="E85" s="33"/>
      <c r="F85" s="29"/>
      <c r="G85" s="34"/>
      <c r="H85" s="33"/>
      <c r="I85" s="200"/>
      <c r="J85" s="201"/>
      <c r="K85" s="193"/>
      <c r="L85" s="194"/>
      <c r="M85" s="71"/>
      <c r="N85" s="71"/>
      <c r="O85" s="71"/>
      <c r="P85" s="202"/>
      <c r="Q85" s="202"/>
      <c r="R85" s="193"/>
      <c r="S85" s="193"/>
      <c r="T85" s="193"/>
      <c r="U85" s="193"/>
      <c r="V85" s="193"/>
    </row>
    <row r="86" spans="1:22">
      <c r="A86" s="194"/>
      <c r="B86" s="29"/>
      <c r="C86" s="29"/>
      <c r="D86" s="352"/>
      <c r="E86" s="33"/>
      <c r="F86" s="29"/>
      <c r="G86" s="34"/>
      <c r="H86" s="33"/>
      <c r="I86" s="200"/>
      <c r="J86" s="201"/>
      <c r="K86" s="193"/>
      <c r="L86" s="194"/>
      <c r="M86" s="71"/>
      <c r="N86" s="71"/>
      <c r="O86" s="71"/>
      <c r="P86" s="202"/>
      <c r="Q86" s="202"/>
      <c r="R86" s="193"/>
      <c r="S86" s="193"/>
      <c r="T86" s="193"/>
      <c r="U86" s="193"/>
      <c r="V86" s="193"/>
    </row>
    <row r="87" spans="1:22">
      <c r="A87" s="194"/>
      <c r="B87" s="29"/>
      <c r="C87" s="29"/>
      <c r="D87" s="352"/>
      <c r="E87" s="33"/>
      <c r="F87" s="29"/>
      <c r="G87" s="34"/>
      <c r="H87" s="33"/>
      <c r="I87" s="200"/>
      <c r="J87" s="201"/>
      <c r="K87" s="193"/>
      <c r="L87" s="194"/>
      <c r="M87" s="71"/>
      <c r="N87" s="71"/>
      <c r="O87" s="71"/>
      <c r="P87" s="202"/>
      <c r="Q87" s="202"/>
      <c r="R87" s="193"/>
      <c r="S87" s="193"/>
      <c r="T87" s="193"/>
      <c r="U87" s="193"/>
      <c r="V87" s="193"/>
    </row>
    <row r="88" spans="1:22">
      <c r="A88" s="194"/>
      <c r="B88" s="29"/>
      <c r="C88" s="29"/>
      <c r="D88" s="352"/>
      <c r="E88" s="33"/>
      <c r="F88" s="29"/>
      <c r="G88" s="34"/>
      <c r="H88" s="33"/>
      <c r="I88" s="200"/>
      <c r="J88" s="201"/>
      <c r="K88" s="193"/>
      <c r="L88" s="194"/>
      <c r="M88" s="71"/>
      <c r="N88" s="71"/>
      <c r="O88" s="71"/>
      <c r="P88" s="202"/>
      <c r="Q88" s="202"/>
      <c r="R88" s="193"/>
      <c r="S88" s="193"/>
      <c r="T88" s="193"/>
      <c r="U88" s="193"/>
      <c r="V88" s="193"/>
    </row>
    <row r="89" spans="1:22">
      <c r="A89" s="194"/>
      <c r="B89" s="29"/>
      <c r="C89" s="29"/>
      <c r="D89" s="352"/>
      <c r="E89" s="33"/>
      <c r="F89" s="29"/>
      <c r="G89" s="34"/>
      <c r="H89" s="33"/>
      <c r="I89" s="200"/>
      <c r="J89" s="201"/>
      <c r="K89" s="193"/>
      <c r="L89" s="194"/>
      <c r="M89" s="71"/>
      <c r="N89" s="71"/>
      <c r="O89" s="71"/>
      <c r="P89" s="202"/>
      <c r="Q89" s="202"/>
      <c r="R89" s="193"/>
      <c r="S89" s="193"/>
      <c r="T89" s="193"/>
      <c r="U89" s="193"/>
      <c r="V89" s="193"/>
    </row>
    <row r="90" spans="1:22">
      <c r="A90" s="194"/>
      <c r="B90" s="29"/>
      <c r="C90" s="29"/>
      <c r="D90" s="352"/>
      <c r="E90" s="33"/>
      <c r="F90" s="29"/>
      <c r="G90" s="34"/>
      <c r="H90" s="33"/>
      <c r="I90" s="200"/>
      <c r="J90" s="201"/>
      <c r="K90" s="193"/>
      <c r="L90" s="194"/>
      <c r="M90" s="71"/>
      <c r="N90" s="71"/>
      <c r="O90" s="71"/>
      <c r="P90" s="202"/>
      <c r="Q90" s="202"/>
      <c r="R90" s="193"/>
      <c r="S90" s="193"/>
      <c r="T90" s="193"/>
      <c r="U90" s="193"/>
      <c r="V90" s="193"/>
    </row>
    <row r="91" spans="1:22">
      <c r="A91" s="194"/>
      <c r="B91" s="29"/>
      <c r="C91" s="29"/>
      <c r="D91" s="352"/>
      <c r="E91" s="33"/>
      <c r="F91" s="29"/>
      <c r="G91" s="34"/>
      <c r="H91" s="33"/>
      <c r="I91" s="200"/>
      <c r="J91" s="201"/>
      <c r="K91" s="193"/>
      <c r="L91" s="194"/>
      <c r="M91" s="71"/>
      <c r="N91" s="71"/>
      <c r="O91" s="71"/>
      <c r="P91" s="202"/>
      <c r="Q91" s="202"/>
      <c r="R91" s="193"/>
      <c r="S91" s="193"/>
      <c r="T91" s="193"/>
      <c r="U91" s="193"/>
      <c r="V91" s="193"/>
    </row>
    <row r="92" spans="1:22">
      <c r="A92" s="194"/>
      <c r="B92" s="29"/>
      <c r="C92" s="29"/>
      <c r="D92" s="352"/>
      <c r="E92" s="33"/>
      <c r="F92" s="29"/>
      <c r="G92" s="34"/>
      <c r="H92" s="33"/>
      <c r="I92" s="200"/>
      <c r="J92" s="201"/>
      <c r="K92" s="193"/>
      <c r="L92" s="194"/>
      <c r="M92" s="71"/>
      <c r="N92" s="71"/>
      <c r="O92" s="71"/>
      <c r="P92" s="202"/>
      <c r="Q92" s="202"/>
      <c r="R92" s="193"/>
      <c r="S92" s="193"/>
      <c r="T92" s="193"/>
      <c r="U92" s="193"/>
      <c r="V92" s="193"/>
    </row>
    <row r="93" spans="1:22">
      <c r="A93" s="194"/>
      <c r="B93" s="29"/>
      <c r="C93" s="29"/>
      <c r="D93" s="352"/>
      <c r="E93" s="33"/>
      <c r="F93" s="29"/>
      <c r="G93" s="34"/>
      <c r="H93" s="33"/>
      <c r="I93" s="200"/>
      <c r="J93" s="201"/>
      <c r="K93" s="193"/>
      <c r="L93" s="194"/>
      <c r="M93" s="71"/>
      <c r="N93" s="71"/>
      <c r="O93" s="71"/>
      <c r="P93" s="202"/>
      <c r="Q93" s="202"/>
      <c r="R93" s="193"/>
      <c r="S93" s="193"/>
      <c r="T93" s="193"/>
      <c r="U93" s="193"/>
      <c r="V93" s="193"/>
    </row>
    <row r="94" spans="1:22">
      <c r="A94" s="194"/>
      <c r="B94" s="29"/>
      <c r="C94" s="29"/>
      <c r="D94" s="352"/>
      <c r="E94" s="33"/>
      <c r="F94" s="29"/>
      <c r="G94" s="34"/>
      <c r="H94" s="33"/>
      <c r="I94" s="200"/>
      <c r="J94" s="201"/>
      <c r="K94" s="193"/>
      <c r="L94" s="194"/>
      <c r="M94" s="71"/>
      <c r="N94" s="71"/>
      <c r="O94" s="71"/>
      <c r="P94" s="202"/>
      <c r="Q94" s="202"/>
      <c r="R94" s="193"/>
      <c r="S94" s="193"/>
      <c r="T94" s="193"/>
      <c r="U94" s="193"/>
      <c r="V94" s="193"/>
    </row>
    <row r="95" spans="1:22">
      <c r="A95" s="194"/>
      <c r="B95" s="29"/>
      <c r="C95" s="29"/>
      <c r="D95" s="352"/>
      <c r="E95" s="33"/>
      <c r="F95" s="29"/>
      <c r="G95" s="34"/>
      <c r="H95" s="33"/>
      <c r="I95" s="200"/>
      <c r="J95" s="201"/>
      <c r="K95" s="193"/>
      <c r="L95" s="194"/>
      <c r="M95" s="71"/>
      <c r="N95" s="71"/>
      <c r="O95" s="71"/>
      <c r="P95" s="202"/>
      <c r="Q95" s="202"/>
      <c r="R95" s="193"/>
      <c r="S95" s="193"/>
      <c r="T95" s="193"/>
      <c r="U95" s="193"/>
      <c r="V95" s="193"/>
    </row>
    <row r="96" spans="1:22">
      <c r="A96" s="194"/>
      <c r="B96" s="29"/>
      <c r="C96" s="29"/>
      <c r="D96" s="352"/>
      <c r="E96" s="33"/>
      <c r="F96" s="29"/>
      <c r="G96" s="34"/>
      <c r="H96" s="33"/>
      <c r="I96" s="200"/>
      <c r="J96" s="201"/>
      <c r="K96" s="193"/>
      <c r="L96" s="194"/>
      <c r="M96" s="71"/>
      <c r="N96" s="71"/>
      <c r="O96" s="71"/>
      <c r="P96" s="202"/>
      <c r="Q96" s="202"/>
      <c r="R96" s="193"/>
      <c r="S96" s="193"/>
      <c r="T96" s="193"/>
      <c r="U96" s="193"/>
      <c r="V96" s="193"/>
    </row>
    <row r="97" spans="1:22">
      <c r="A97" s="194"/>
      <c r="B97" s="29"/>
      <c r="C97" s="29"/>
      <c r="D97" s="352"/>
      <c r="E97" s="33"/>
      <c r="F97" s="29"/>
      <c r="G97" s="34"/>
      <c r="H97" s="33"/>
      <c r="I97" s="200"/>
      <c r="J97" s="201"/>
      <c r="K97" s="193"/>
      <c r="L97" s="194"/>
      <c r="M97" s="71"/>
      <c r="N97" s="71"/>
      <c r="O97" s="71"/>
      <c r="P97" s="202"/>
      <c r="Q97" s="202"/>
      <c r="R97" s="193"/>
      <c r="S97" s="193"/>
      <c r="T97" s="193"/>
      <c r="U97" s="193"/>
      <c r="V97" s="193"/>
    </row>
    <row r="98" spans="1:22">
      <c r="A98" s="194"/>
      <c r="B98" s="29"/>
      <c r="C98" s="29"/>
      <c r="D98" s="352"/>
      <c r="E98" s="33"/>
      <c r="F98" s="29"/>
      <c r="G98" s="34"/>
      <c r="H98" s="33"/>
      <c r="I98" s="200"/>
      <c r="J98" s="201"/>
      <c r="K98" s="193"/>
      <c r="L98" s="194"/>
      <c r="M98" s="71"/>
      <c r="N98" s="71"/>
      <c r="O98" s="71"/>
      <c r="P98" s="202"/>
      <c r="Q98" s="202"/>
      <c r="R98" s="193"/>
      <c r="S98" s="193"/>
      <c r="T98" s="193"/>
      <c r="U98" s="193"/>
      <c r="V98" s="193"/>
    </row>
    <row r="99" spans="1:22">
      <c r="A99" s="194"/>
      <c r="B99" s="29"/>
      <c r="C99" s="29"/>
      <c r="D99" s="352"/>
      <c r="E99" s="33"/>
      <c r="F99" s="29"/>
      <c r="G99" s="34"/>
      <c r="H99" s="33"/>
      <c r="I99" s="200"/>
      <c r="J99" s="201"/>
      <c r="K99" s="193"/>
      <c r="L99" s="194"/>
      <c r="M99" s="71"/>
      <c r="N99" s="71"/>
      <c r="O99" s="71"/>
      <c r="P99" s="202"/>
      <c r="Q99" s="202"/>
      <c r="R99" s="193"/>
      <c r="S99" s="193"/>
      <c r="T99" s="193"/>
      <c r="U99" s="193"/>
      <c r="V99" s="193"/>
    </row>
    <row r="100" spans="1:22">
      <c r="A100" s="194"/>
      <c r="B100" s="29"/>
      <c r="C100" s="29"/>
      <c r="D100" s="352"/>
      <c r="E100" s="33"/>
      <c r="F100" s="29"/>
      <c r="G100" s="34"/>
      <c r="H100" s="33"/>
      <c r="I100" s="200"/>
      <c r="J100" s="201"/>
      <c r="K100" s="193"/>
      <c r="L100" s="194"/>
      <c r="M100" s="71"/>
      <c r="N100" s="71"/>
      <c r="O100" s="71"/>
      <c r="P100" s="202"/>
      <c r="Q100" s="202"/>
      <c r="R100" s="193"/>
      <c r="S100" s="193"/>
      <c r="T100" s="193"/>
      <c r="U100" s="193"/>
      <c r="V100" s="193"/>
    </row>
    <row r="101" spans="1:22">
      <c r="A101" s="194"/>
      <c r="B101" s="29"/>
      <c r="C101" s="29"/>
      <c r="D101" s="352"/>
      <c r="E101" s="33"/>
      <c r="F101" s="29"/>
      <c r="G101" s="34"/>
      <c r="H101" s="33"/>
      <c r="I101" s="200"/>
      <c r="J101" s="201"/>
      <c r="K101" s="193"/>
      <c r="L101" s="194"/>
      <c r="M101" s="71"/>
      <c r="N101" s="71"/>
      <c r="O101" s="71"/>
      <c r="P101" s="202"/>
      <c r="Q101" s="202"/>
      <c r="R101" s="193"/>
      <c r="S101" s="193"/>
      <c r="T101" s="193"/>
      <c r="U101" s="193"/>
      <c r="V101" s="193"/>
    </row>
    <row r="102" spans="1:22">
      <c r="A102" s="194"/>
      <c r="B102" s="29"/>
      <c r="C102" s="29"/>
      <c r="D102" s="352"/>
      <c r="E102" s="33"/>
      <c r="F102" s="29"/>
      <c r="G102" s="34"/>
      <c r="H102" s="33"/>
      <c r="I102" s="200"/>
      <c r="J102" s="201"/>
      <c r="K102" s="193"/>
      <c r="L102" s="194"/>
      <c r="M102" s="71"/>
      <c r="N102" s="71"/>
      <c r="O102" s="71"/>
      <c r="P102" s="202"/>
      <c r="Q102" s="202"/>
      <c r="R102" s="193"/>
      <c r="S102" s="193"/>
      <c r="T102" s="193"/>
      <c r="U102" s="193"/>
      <c r="V102" s="193"/>
    </row>
    <row r="103" spans="1:22">
      <c r="A103" s="194"/>
      <c r="B103" s="29"/>
      <c r="C103" s="29"/>
      <c r="D103" s="352"/>
      <c r="E103" s="33"/>
      <c r="F103" s="29"/>
      <c r="G103" s="34"/>
      <c r="H103" s="33"/>
      <c r="I103" s="200"/>
      <c r="J103" s="201"/>
      <c r="K103" s="193"/>
      <c r="L103" s="194"/>
      <c r="M103" s="71"/>
      <c r="N103" s="71"/>
      <c r="O103" s="71"/>
      <c r="P103" s="202"/>
      <c r="Q103" s="202"/>
      <c r="R103" s="193"/>
      <c r="S103" s="193"/>
      <c r="T103" s="193"/>
      <c r="U103" s="193"/>
      <c r="V103" s="193"/>
    </row>
    <row r="104" spans="1:22">
      <c r="A104" s="194"/>
      <c r="B104" s="29"/>
      <c r="C104" s="29"/>
      <c r="D104" s="352"/>
      <c r="E104" s="33"/>
      <c r="F104" s="29"/>
      <c r="G104" s="34"/>
      <c r="H104" s="33"/>
      <c r="I104" s="200"/>
      <c r="J104" s="201"/>
      <c r="K104" s="193"/>
      <c r="L104" s="194"/>
      <c r="M104" s="71"/>
      <c r="N104" s="71"/>
      <c r="O104" s="71"/>
      <c r="P104" s="202"/>
      <c r="Q104" s="202"/>
      <c r="R104" s="193"/>
      <c r="S104" s="193"/>
      <c r="T104" s="193"/>
      <c r="U104" s="193"/>
      <c r="V104" s="193"/>
    </row>
    <row r="105" spans="1:22">
      <c r="A105" s="194"/>
      <c r="B105" s="29"/>
      <c r="C105" s="29"/>
      <c r="D105" s="352"/>
      <c r="E105" s="33"/>
      <c r="F105" s="29"/>
      <c r="G105" s="34"/>
      <c r="H105" s="33"/>
      <c r="I105" s="200"/>
      <c r="J105" s="201"/>
      <c r="K105" s="193"/>
      <c r="L105" s="194"/>
      <c r="M105" s="71"/>
      <c r="N105" s="71"/>
      <c r="O105" s="71"/>
      <c r="P105" s="202"/>
      <c r="Q105" s="202"/>
      <c r="R105" s="193"/>
      <c r="S105" s="193"/>
      <c r="T105" s="193"/>
      <c r="U105" s="193"/>
      <c r="V105" s="193"/>
    </row>
    <row r="106" spans="1:22">
      <c r="A106" s="194"/>
      <c r="B106" s="29"/>
      <c r="C106" s="29"/>
      <c r="D106" s="352"/>
      <c r="E106" s="33"/>
      <c r="F106" s="29"/>
      <c r="G106" s="34"/>
      <c r="H106" s="33"/>
      <c r="I106" s="200"/>
      <c r="J106" s="201"/>
      <c r="K106" s="193"/>
      <c r="L106" s="194"/>
      <c r="M106" s="71"/>
      <c r="N106" s="71"/>
      <c r="O106" s="71"/>
      <c r="P106" s="202"/>
      <c r="Q106" s="202"/>
      <c r="R106" s="193"/>
      <c r="S106" s="193"/>
      <c r="T106" s="193"/>
      <c r="U106" s="193"/>
      <c r="V106" s="193"/>
    </row>
    <row r="107" spans="1:22">
      <c r="A107" s="194"/>
      <c r="B107" s="29"/>
      <c r="C107" s="29"/>
      <c r="D107" s="352"/>
      <c r="E107" s="33"/>
      <c r="F107" s="29"/>
      <c r="G107" s="34"/>
      <c r="H107" s="33"/>
      <c r="I107" s="200"/>
      <c r="J107" s="201"/>
      <c r="K107" s="193"/>
      <c r="L107" s="194"/>
      <c r="M107" s="71"/>
      <c r="N107" s="71"/>
      <c r="O107" s="71"/>
      <c r="P107" s="202"/>
      <c r="Q107" s="202"/>
      <c r="R107" s="193"/>
      <c r="S107" s="193"/>
      <c r="T107" s="193"/>
      <c r="U107" s="193"/>
      <c r="V107" s="193"/>
    </row>
    <row r="108" spans="1:22">
      <c r="A108" s="194"/>
      <c r="B108" s="29"/>
      <c r="C108" s="29"/>
      <c r="D108" s="352"/>
      <c r="E108" s="33"/>
      <c r="F108" s="29"/>
      <c r="G108" s="34"/>
      <c r="H108" s="33"/>
      <c r="I108" s="200"/>
      <c r="J108" s="201"/>
      <c r="K108" s="193"/>
      <c r="L108" s="194"/>
      <c r="M108" s="71"/>
      <c r="N108" s="71"/>
      <c r="O108" s="71"/>
      <c r="P108" s="202"/>
      <c r="Q108" s="202"/>
      <c r="R108" s="193"/>
      <c r="S108" s="193"/>
      <c r="T108" s="193"/>
      <c r="U108" s="193"/>
      <c r="V108" s="193"/>
    </row>
    <row r="109" spans="1:22">
      <c r="A109" s="194"/>
      <c r="B109" s="29"/>
      <c r="C109" s="29"/>
      <c r="D109" s="352"/>
      <c r="E109" s="33"/>
      <c r="F109" s="29"/>
      <c r="G109" s="34"/>
      <c r="H109" s="33"/>
      <c r="I109" s="200"/>
      <c r="J109" s="201"/>
      <c r="K109" s="193"/>
      <c r="L109" s="194"/>
      <c r="M109" s="71"/>
      <c r="N109" s="71"/>
      <c r="O109" s="71"/>
      <c r="P109" s="202"/>
      <c r="Q109" s="202"/>
      <c r="R109" s="193"/>
      <c r="S109" s="193"/>
      <c r="T109" s="193"/>
      <c r="U109" s="193"/>
      <c r="V109" s="193"/>
    </row>
    <row r="110" spans="1:22">
      <c r="A110" s="194"/>
      <c r="B110" s="29"/>
      <c r="C110" s="29"/>
      <c r="D110" s="352"/>
      <c r="E110" s="33"/>
      <c r="F110" s="29"/>
      <c r="G110" s="34"/>
      <c r="H110" s="33"/>
      <c r="I110" s="200"/>
      <c r="J110" s="201"/>
      <c r="K110" s="193"/>
      <c r="L110" s="194"/>
      <c r="M110" s="71"/>
      <c r="N110" s="71"/>
      <c r="O110" s="71"/>
      <c r="P110" s="202"/>
      <c r="Q110" s="202"/>
      <c r="R110" s="193"/>
      <c r="S110" s="193"/>
      <c r="T110" s="193"/>
      <c r="U110" s="193"/>
      <c r="V110" s="193"/>
    </row>
    <row r="111" spans="1:22">
      <c r="A111" s="194"/>
      <c r="B111" s="29"/>
      <c r="C111" s="29"/>
      <c r="D111" s="352"/>
      <c r="E111" s="33"/>
      <c r="F111" s="29"/>
      <c r="G111" s="34"/>
      <c r="H111" s="33"/>
      <c r="I111" s="200"/>
      <c r="J111" s="201"/>
      <c r="K111" s="193"/>
      <c r="L111" s="194"/>
      <c r="M111" s="71"/>
      <c r="N111" s="71"/>
      <c r="O111" s="71"/>
      <c r="P111" s="202"/>
      <c r="Q111" s="202"/>
      <c r="R111" s="193"/>
      <c r="S111" s="193"/>
      <c r="T111" s="193"/>
      <c r="U111" s="193"/>
      <c r="V111" s="193"/>
    </row>
    <row r="112" spans="1:22">
      <c r="A112" s="194"/>
      <c r="B112" s="29"/>
      <c r="C112" s="29"/>
      <c r="D112" s="352"/>
      <c r="E112" s="33"/>
      <c r="F112" s="29"/>
      <c r="G112" s="34"/>
      <c r="H112" s="33"/>
      <c r="I112" s="200"/>
      <c r="J112" s="201"/>
      <c r="K112" s="193"/>
      <c r="L112" s="194"/>
      <c r="M112" s="71"/>
      <c r="N112" s="71"/>
      <c r="O112" s="71"/>
      <c r="P112" s="202"/>
      <c r="Q112" s="202"/>
      <c r="R112" s="193"/>
      <c r="S112" s="193"/>
      <c r="T112" s="193"/>
      <c r="U112" s="193"/>
      <c r="V112" s="193"/>
    </row>
    <row r="113" spans="1:22">
      <c r="A113" s="194"/>
      <c r="B113" s="29"/>
      <c r="C113" s="29"/>
      <c r="D113" s="352"/>
      <c r="E113" s="33"/>
      <c r="F113" s="29"/>
      <c r="G113" s="34"/>
      <c r="H113" s="33"/>
      <c r="I113" s="200"/>
      <c r="J113" s="201"/>
      <c r="K113" s="193"/>
      <c r="L113" s="194"/>
      <c r="M113" s="71"/>
      <c r="N113" s="71"/>
      <c r="O113" s="71"/>
      <c r="P113" s="202"/>
      <c r="Q113" s="202"/>
      <c r="R113" s="193"/>
      <c r="S113" s="193"/>
      <c r="T113" s="193"/>
      <c r="U113" s="193"/>
      <c r="V113" s="193"/>
    </row>
    <row r="114" spans="1:22">
      <c r="A114" s="194"/>
      <c r="B114" s="29"/>
      <c r="C114" s="29"/>
      <c r="D114" s="352"/>
      <c r="E114" s="33"/>
      <c r="F114" s="29"/>
      <c r="G114" s="34"/>
      <c r="H114" s="33"/>
      <c r="I114" s="200"/>
      <c r="J114" s="201"/>
      <c r="K114" s="193"/>
      <c r="L114" s="194"/>
      <c r="M114" s="71"/>
      <c r="N114" s="71"/>
      <c r="O114" s="71"/>
      <c r="P114" s="202"/>
      <c r="Q114" s="202"/>
      <c r="R114" s="193"/>
      <c r="S114" s="193"/>
      <c r="T114" s="193"/>
      <c r="U114" s="193"/>
      <c r="V114" s="193"/>
    </row>
    <row r="115" spans="1:22">
      <c r="A115" s="194"/>
      <c r="B115" s="29"/>
      <c r="C115" s="29"/>
      <c r="D115" s="352"/>
      <c r="E115" s="33"/>
      <c r="F115" s="29"/>
      <c r="G115" s="34"/>
      <c r="H115" s="33"/>
      <c r="I115" s="200"/>
      <c r="J115" s="201"/>
      <c r="K115" s="193"/>
      <c r="L115" s="194"/>
      <c r="M115" s="71"/>
      <c r="N115" s="71"/>
      <c r="O115" s="71"/>
      <c r="P115" s="202"/>
      <c r="Q115" s="202"/>
      <c r="R115" s="193"/>
      <c r="S115" s="193"/>
      <c r="T115" s="193"/>
      <c r="U115" s="193"/>
      <c r="V115" s="193"/>
    </row>
    <row r="116" spans="1:22">
      <c r="A116" s="194"/>
      <c r="B116" s="29"/>
      <c r="C116" s="29"/>
      <c r="D116" s="352"/>
      <c r="E116" s="33"/>
      <c r="F116" s="29"/>
      <c r="G116" s="34"/>
      <c r="H116" s="33"/>
      <c r="I116" s="200"/>
      <c r="J116" s="201"/>
      <c r="K116" s="193"/>
      <c r="L116" s="194"/>
      <c r="M116" s="71"/>
      <c r="N116" s="71"/>
      <c r="O116" s="71"/>
      <c r="P116" s="202"/>
      <c r="Q116" s="202"/>
      <c r="R116" s="193"/>
      <c r="S116" s="193"/>
      <c r="T116" s="193"/>
      <c r="U116" s="193"/>
      <c r="V116" s="193"/>
    </row>
    <row r="117" spans="1:22">
      <c r="A117" s="194"/>
      <c r="B117" s="29"/>
      <c r="C117" s="29"/>
      <c r="D117" s="352"/>
      <c r="E117" s="33"/>
      <c r="F117" s="29"/>
      <c r="G117" s="34"/>
      <c r="H117" s="33"/>
      <c r="I117" s="200"/>
      <c r="J117" s="201"/>
      <c r="K117" s="193"/>
      <c r="L117" s="194"/>
      <c r="M117" s="71"/>
      <c r="N117" s="71"/>
      <c r="O117" s="71"/>
      <c r="P117" s="202"/>
      <c r="Q117" s="202"/>
      <c r="R117" s="193"/>
      <c r="S117" s="193"/>
      <c r="T117" s="193"/>
      <c r="U117" s="193"/>
      <c r="V117" s="193"/>
    </row>
    <row r="118" spans="1:22">
      <c r="A118" s="194"/>
      <c r="B118" s="29"/>
      <c r="C118" s="29"/>
      <c r="D118" s="352"/>
      <c r="E118" s="33"/>
      <c r="F118" s="29"/>
      <c r="G118" s="34"/>
      <c r="H118" s="33"/>
      <c r="I118" s="200"/>
      <c r="J118" s="201"/>
      <c r="K118" s="193"/>
      <c r="L118" s="194"/>
      <c r="M118" s="71"/>
      <c r="N118" s="71"/>
      <c r="O118" s="71"/>
      <c r="P118" s="202"/>
      <c r="Q118" s="202"/>
      <c r="R118" s="193"/>
      <c r="S118" s="193"/>
      <c r="T118" s="193"/>
      <c r="U118" s="193"/>
      <c r="V118" s="193"/>
    </row>
    <row r="119" spans="1:22">
      <c r="A119" s="194"/>
      <c r="B119" s="29"/>
      <c r="C119" s="29"/>
      <c r="D119" s="352"/>
      <c r="E119" s="33"/>
      <c r="F119" s="29"/>
      <c r="G119" s="34"/>
      <c r="H119" s="33"/>
      <c r="I119" s="200"/>
      <c r="J119" s="201"/>
      <c r="K119" s="193"/>
      <c r="L119" s="194"/>
      <c r="M119" s="71"/>
      <c r="N119" s="71"/>
      <c r="O119" s="71"/>
      <c r="P119" s="202"/>
      <c r="Q119" s="202"/>
      <c r="R119" s="193"/>
      <c r="S119" s="193"/>
      <c r="T119" s="193"/>
      <c r="U119" s="193"/>
      <c r="V119" s="193"/>
    </row>
    <row r="120" spans="1:22">
      <c r="A120" s="194"/>
      <c r="B120" s="29"/>
      <c r="C120" s="29"/>
      <c r="D120" s="352"/>
      <c r="E120" s="33"/>
      <c r="F120" s="29"/>
      <c r="G120" s="34"/>
      <c r="H120" s="33"/>
      <c r="I120" s="200"/>
      <c r="J120" s="201"/>
      <c r="K120" s="193"/>
      <c r="L120" s="194"/>
      <c r="M120" s="71"/>
      <c r="N120" s="71"/>
      <c r="O120" s="71"/>
      <c r="P120" s="202"/>
      <c r="Q120" s="202"/>
      <c r="R120" s="193"/>
      <c r="S120" s="193"/>
      <c r="T120" s="193"/>
      <c r="U120" s="193"/>
      <c r="V120" s="193"/>
    </row>
    <row r="121" spans="1:22">
      <c r="A121" s="194"/>
      <c r="B121" s="29"/>
      <c r="C121" s="29"/>
      <c r="D121" s="352"/>
      <c r="E121" s="33"/>
      <c r="F121" s="29"/>
      <c r="G121" s="34"/>
      <c r="H121" s="33"/>
      <c r="I121" s="200"/>
      <c r="J121" s="201"/>
      <c r="K121" s="193"/>
      <c r="L121" s="194"/>
      <c r="M121" s="71"/>
      <c r="N121" s="71"/>
      <c r="O121" s="71"/>
      <c r="P121" s="202"/>
      <c r="Q121" s="202"/>
      <c r="R121" s="193"/>
      <c r="S121" s="193"/>
      <c r="T121" s="193"/>
      <c r="U121" s="193"/>
      <c r="V121" s="193"/>
    </row>
    <row r="122" spans="1:22">
      <c r="A122" s="194"/>
      <c r="B122" s="29"/>
      <c r="C122" s="29"/>
      <c r="D122" s="352"/>
      <c r="E122" s="33"/>
      <c r="F122" s="29"/>
      <c r="G122" s="34"/>
      <c r="H122" s="33"/>
      <c r="I122" s="200"/>
      <c r="J122" s="201"/>
      <c r="K122" s="193"/>
      <c r="L122" s="194"/>
      <c r="M122" s="71"/>
      <c r="N122" s="71"/>
      <c r="O122" s="71"/>
      <c r="P122" s="202"/>
      <c r="Q122" s="202"/>
      <c r="R122" s="193"/>
      <c r="S122" s="193"/>
      <c r="T122" s="193"/>
      <c r="U122" s="193"/>
      <c r="V122" s="193"/>
    </row>
    <row r="123" spans="1:22">
      <c r="A123" s="194"/>
      <c r="B123" s="203"/>
      <c r="C123" s="203"/>
      <c r="D123" s="367"/>
      <c r="E123" s="204"/>
      <c r="F123" s="205"/>
      <c r="G123" s="206"/>
      <c r="H123" s="204"/>
      <c r="I123" s="207"/>
      <c r="J123" s="208"/>
      <c r="K123" s="193"/>
      <c r="L123" s="194"/>
      <c r="M123" s="209"/>
      <c r="N123" s="209"/>
      <c r="O123" s="209"/>
      <c r="P123" s="210"/>
      <c r="Q123" s="209"/>
      <c r="R123" s="193"/>
      <c r="S123" s="193"/>
      <c r="T123" s="193"/>
      <c r="U123" s="193"/>
      <c r="V123" s="193"/>
    </row>
    <row r="124" spans="1:22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</row>
    <row r="125" spans="1:22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</row>
    <row r="126" spans="1:22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428"/>
      <c r="M126" s="428"/>
      <c r="N126" s="428"/>
      <c r="O126" s="428"/>
      <c r="P126" s="428"/>
      <c r="Q126" s="428"/>
      <c r="R126" s="193"/>
      <c r="S126" s="193"/>
      <c r="T126" s="193"/>
      <c r="U126" s="193"/>
      <c r="V126" s="193"/>
    </row>
    <row r="127" spans="1:22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428"/>
      <c r="M127" s="428"/>
      <c r="N127" s="428"/>
      <c r="O127" s="428"/>
      <c r="P127" s="428"/>
      <c r="Q127" s="428"/>
      <c r="R127" s="193"/>
      <c r="S127" s="193"/>
      <c r="T127" s="193"/>
      <c r="U127" s="193"/>
      <c r="V127" s="193"/>
    </row>
    <row r="128" spans="1:22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428"/>
      <c r="M128" s="428"/>
      <c r="N128" s="428"/>
      <c r="O128" s="428"/>
      <c r="P128" s="428"/>
      <c r="Q128" s="428"/>
      <c r="R128" s="193"/>
      <c r="S128" s="193"/>
      <c r="T128" s="193"/>
      <c r="U128" s="193"/>
      <c r="V128" s="193"/>
    </row>
    <row r="129" spans="1:22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428"/>
      <c r="M129" s="428"/>
      <c r="N129" s="428"/>
      <c r="O129" s="428"/>
      <c r="P129" s="428"/>
      <c r="Q129" s="428"/>
      <c r="R129" s="193"/>
      <c r="S129" s="193"/>
      <c r="T129" s="193"/>
      <c r="U129" s="193"/>
      <c r="V129" s="193"/>
    </row>
    <row r="130" spans="1:22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428"/>
      <c r="M130" s="428"/>
      <c r="N130" s="428"/>
      <c r="O130" s="428"/>
      <c r="P130" s="428"/>
      <c r="Q130" s="428"/>
      <c r="R130" s="193"/>
      <c r="S130" s="193"/>
      <c r="T130" s="193"/>
      <c r="U130" s="193"/>
      <c r="V130" s="193"/>
    </row>
    <row r="131" spans="1:22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349"/>
      <c r="M131" s="195"/>
      <c r="N131" s="195"/>
      <c r="O131" s="195"/>
      <c r="P131" s="195"/>
      <c r="Q131" s="195"/>
      <c r="R131" s="193"/>
      <c r="S131" s="193"/>
      <c r="T131" s="193"/>
      <c r="U131" s="193"/>
      <c r="V131" s="193"/>
    </row>
    <row r="132" spans="1:2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7"/>
      <c r="N132" s="197"/>
      <c r="O132" s="197"/>
      <c r="P132" s="197"/>
      <c r="Q132" s="193"/>
      <c r="R132" s="193"/>
      <c r="S132" s="193"/>
      <c r="T132" s="193"/>
      <c r="U132" s="193"/>
      <c r="V132" s="193"/>
    </row>
    <row r="133" spans="1:22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366"/>
      <c r="N133" s="366"/>
      <c r="O133" s="366"/>
      <c r="P133" s="199"/>
      <c r="Q133" s="199"/>
      <c r="R133" s="193"/>
      <c r="S133" s="193"/>
      <c r="T133" s="193"/>
      <c r="U133" s="193"/>
      <c r="V133" s="193"/>
    </row>
    <row r="134" spans="1:22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4"/>
      <c r="M134" s="71"/>
      <c r="N134" s="71"/>
      <c r="O134" s="71"/>
      <c r="P134" s="211"/>
      <c r="Q134" s="202"/>
      <c r="R134" s="193"/>
      <c r="S134" s="193"/>
      <c r="T134" s="193"/>
      <c r="U134" s="193"/>
      <c r="V134" s="193"/>
    </row>
    <row r="135" spans="1:22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4"/>
      <c r="M135" s="71"/>
      <c r="N135" s="71"/>
      <c r="O135" s="71"/>
      <c r="P135" s="211"/>
      <c r="Q135" s="202"/>
      <c r="R135" s="193"/>
      <c r="S135" s="193"/>
      <c r="T135" s="193"/>
      <c r="U135" s="193"/>
      <c r="V135" s="193"/>
    </row>
    <row r="136" spans="1:22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4"/>
      <c r="M136" s="71"/>
      <c r="N136" s="71"/>
      <c r="O136" s="71"/>
      <c r="P136" s="211"/>
      <c r="Q136" s="202"/>
      <c r="R136" s="193"/>
      <c r="S136" s="193"/>
      <c r="T136" s="193"/>
      <c r="U136" s="193"/>
      <c r="V136" s="193"/>
    </row>
    <row r="137" spans="1:22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4"/>
      <c r="M137" s="71"/>
      <c r="N137" s="71"/>
      <c r="O137" s="71"/>
      <c r="P137" s="211"/>
      <c r="Q137" s="202"/>
      <c r="R137" s="193"/>
      <c r="S137" s="193"/>
      <c r="T137" s="193"/>
      <c r="U137" s="193"/>
      <c r="V137" s="193"/>
    </row>
    <row r="138" spans="1:22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4"/>
      <c r="M138" s="71"/>
      <c r="N138" s="71"/>
      <c r="O138" s="71"/>
      <c r="P138" s="211"/>
      <c r="Q138" s="202"/>
      <c r="R138" s="193"/>
      <c r="S138" s="193"/>
      <c r="T138" s="193"/>
      <c r="U138" s="193"/>
      <c r="V138" s="193"/>
    </row>
    <row r="139" spans="1:22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4"/>
      <c r="M139" s="71"/>
      <c r="N139" s="71"/>
      <c r="O139" s="71"/>
      <c r="P139" s="211"/>
      <c r="Q139" s="202"/>
      <c r="R139" s="193"/>
      <c r="S139" s="193"/>
      <c r="T139" s="193"/>
      <c r="U139" s="193"/>
      <c r="V139" s="193"/>
    </row>
    <row r="140" spans="1:22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4"/>
      <c r="M140" s="71"/>
      <c r="N140" s="71"/>
      <c r="O140" s="71"/>
      <c r="P140" s="211"/>
      <c r="Q140" s="202"/>
      <c r="R140" s="193"/>
      <c r="S140" s="193"/>
      <c r="T140" s="193"/>
      <c r="U140" s="193"/>
      <c r="V140" s="193"/>
    </row>
    <row r="141" spans="1:22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4"/>
      <c r="M141" s="71"/>
      <c r="N141" s="71"/>
      <c r="O141" s="71"/>
      <c r="P141" s="211"/>
      <c r="Q141" s="202"/>
      <c r="R141" s="193"/>
      <c r="S141" s="193"/>
      <c r="T141" s="193"/>
      <c r="U141" s="193"/>
      <c r="V141" s="193"/>
    </row>
    <row r="142" spans="1:2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4"/>
      <c r="M142" s="71"/>
      <c r="N142" s="71"/>
      <c r="O142" s="71"/>
      <c r="P142" s="211"/>
      <c r="Q142" s="202"/>
      <c r="R142" s="193"/>
      <c r="S142" s="193"/>
      <c r="T142" s="193"/>
      <c r="U142" s="193"/>
      <c r="V142" s="193"/>
    </row>
    <row r="143" spans="1:22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4"/>
      <c r="M143" s="71"/>
      <c r="N143" s="71"/>
      <c r="O143" s="71"/>
      <c r="P143" s="211"/>
      <c r="Q143" s="202"/>
      <c r="R143" s="193"/>
      <c r="S143" s="193"/>
      <c r="T143" s="193"/>
      <c r="U143" s="193"/>
      <c r="V143" s="193"/>
    </row>
    <row r="144" spans="1:22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4"/>
      <c r="M144" s="71"/>
      <c r="N144" s="71"/>
      <c r="O144" s="71"/>
      <c r="P144" s="211"/>
      <c r="Q144" s="202"/>
      <c r="R144" s="193"/>
      <c r="S144" s="193"/>
      <c r="T144" s="193"/>
      <c r="U144" s="193"/>
      <c r="V144" s="193"/>
    </row>
    <row r="145" spans="1:22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4"/>
      <c r="M145" s="71"/>
      <c r="N145" s="71"/>
      <c r="O145" s="71"/>
      <c r="P145" s="211"/>
      <c r="Q145" s="202"/>
      <c r="R145" s="193"/>
      <c r="S145" s="193"/>
      <c r="T145" s="193"/>
      <c r="U145" s="193"/>
      <c r="V145" s="193"/>
    </row>
    <row r="146" spans="1:22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4"/>
      <c r="M146" s="71"/>
      <c r="N146" s="71"/>
      <c r="O146" s="71"/>
      <c r="P146" s="211"/>
      <c r="Q146" s="202"/>
      <c r="R146" s="193"/>
      <c r="S146" s="193"/>
      <c r="T146" s="193"/>
      <c r="U146" s="193"/>
      <c r="V146" s="193"/>
    </row>
    <row r="147" spans="1:22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4"/>
      <c r="M147" s="71"/>
      <c r="N147" s="71"/>
      <c r="O147" s="71"/>
      <c r="P147" s="211"/>
      <c r="Q147" s="202"/>
      <c r="R147" s="193"/>
      <c r="S147" s="193"/>
      <c r="T147" s="193"/>
      <c r="U147" s="193"/>
      <c r="V147" s="193"/>
    </row>
    <row r="148" spans="1:22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4"/>
      <c r="M148" s="71"/>
      <c r="N148" s="71"/>
      <c r="O148" s="71"/>
      <c r="P148" s="211"/>
      <c r="Q148" s="202"/>
      <c r="R148" s="193"/>
      <c r="S148" s="193"/>
      <c r="T148" s="193"/>
      <c r="U148" s="193"/>
      <c r="V148" s="193"/>
    </row>
    <row r="149" spans="1:22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4"/>
      <c r="M149" s="71"/>
      <c r="N149" s="71"/>
      <c r="O149" s="71"/>
      <c r="P149" s="211"/>
      <c r="Q149" s="202"/>
      <c r="R149" s="193"/>
      <c r="S149" s="193"/>
      <c r="T149" s="193"/>
      <c r="U149" s="193"/>
      <c r="V149" s="193"/>
    </row>
    <row r="150" spans="1:22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4"/>
      <c r="M150" s="71"/>
      <c r="N150" s="71"/>
      <c r="O150" s="71"/>
      <c r="P150" s="211"/>
      <c r="Q150" s="202"/>
      <c r="R150" s="193"/>
      <c r="S150" s="193"/>
      <c r="T150" s="193"/>
      <c r="U150" s="193"/>
      <c r="V150" s="193"/>
    </row>
    <row r="151" spans="1:22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4"/>
      <c r="M151" s="71"/>
      <c r="N151" s="71"/>
      <c r="O151" s="71"/>
      <c r="P151" s="211"/>
      <c r="Q151" s="202"/>
      <c r="R151" s="193"/>
      <c r="S151" s="193"/>
      <c r="T151" s="193"/>
      <c r="U151" s="193"/>
      <c r="V151" s="193"/>
    </row>
    <row r="152" spans="1:2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4"/>
      <c r="M152" s="71"/>
      <c r="N152" s="71"/>
      <c r="O152" s="71"/>
      <c r="P152" s="211"/>
      <c r="Q152" s="202"/>
      <c r="R152" s="193"/>
      <c r="S152" s="193"/>
      <c r="T152" s="193"/>
      <c r="U152" s="193"/>
      <c r="V152" s="193"/>
    </row>
    <row r="153" spans="1:22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4"/>
      <c r="M153" s="71"/>
      <c r="N153" s="71"/>
      <c r="O153" s="71"/>
      <c r="P153" s="211"/>
      <c r="Q153" s="202"/>
      <c r="R153" s="193"/>
      <c r="S153" s="193"/>
      <c r="T153" s="193"/>
      <c r="U153" s="193"/>
      <c r="V153" s="193"/>
    </row>
    <row r="154" spans="1:22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4"/>
      <c r="M154" s="71"/>
      <c r="N154" s="71"/>
      <c r="O154" s="71"/>
      <c r="P154" s="211"/>
      <c r="Q154" s="202"/>
      <c r="R154" s="193"/>
      <c r="S154" s="193"/>
      <c r="T154" s="193"/>
      <c r="U154" s="193"/>
      <c r="V154" s="193"/>
    </row>
    <row r="155" spans="1:22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4"/>
      <c r="M155" s="71"/>
      <c r="N155" s="71"/>
      <c r="O155" s="71"/>
      <c r="P155" s="211"/>
      <c r="Q155" s="202"/>
      <c r="R155" s="193"/>
      <c r="S155" s="193"/>
      <c r="T155" s="193"/>
      <c r="U155" s="193"/>
      <c r="V155" s="193"/>
    </row>
    <row r="156" spans="1:22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4"/>
      <c r="M156" s="71"/>
      <c r="N156" s="71"/>
      <c r="O156" s="71"/>
      <c r="P156" s="211"/>
      <c r="Q156" s="202"/>
      <c r="R156" s="193"/>
      <c r="S156" s="193"/>
      <c r="T156" s="193"/>
      <c r="U156" s="193"/>
      <c r="V156" s="193"/>
    </row>
    <row r="157" spans="1:22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4"/>
      <c r="M157" s="71"/>
      <c r="N157" s="71"/>
      <c r="O157" s="71"/>
      <c r="P157" s="211"/>
      <c r="Q157" s="202"/>
      <c r="R157" s="193"/>
      <c r="S157" s="193"/>
      <c r="T157" s="193"/>
      <c r="U157" s="193"/>
      <c r="V157" s="193"/>
    </row>
    <row r="158" spans="1:22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4"/>
      <c r="M158" s="71"/>
      <c r="N158" s="71"/>
      <c r="O158" s="71"/>
      <c r="P158" s="211"/>
      <c r="Q158" s="202"/>
      <c r="R158" s="193"/>
      <c r="S158" s="193"/>
      <c r="T158" s="193"/>
      <c r="U158" s="193"/>
      <c r="V158" s="193"/>
    </row>
    <row r="159" spans="1:22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4"/>
      <c r="M159" s="71"/>
      <c r="N159" s="71"/>
      <c r="O159" s="71"/>
      <c r="P159" s="211"/>
      <c r="Q159" s="202"/>
      <c r="R159" s="193"/>
      <c r="S159" s="193"/>
      <c r="T159" s="193"/>
      <c r="U159" s="193"/>
      <c r="V159" s="193"/>
    </row>
    <row r="160" spans="1:22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4"/>
      <c r="M160" s="71"/>
      <c r="N160" s="71"/>
      <c r="O160" s="71"/>
      <c r="P160" s="211"/>
      <c r="Q160" s="202"/>
      <c r="R160" s="193"/>
      <c r="S160" s="193"/>
      <c r="T160" s="193"/>
      <c r="U160" s="193"/>
      <c r="V160" s="193"/>
    </row>
    <row r="161" spans="1:22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4"/>
      <c r="M161" s="71"/>
      <c r="N161" s="71"/>
      <c r="O161" s="71"/>
      <c r="P161" s="211"/>
      <c r="Q161" s="202"/>
      <c r="R161" s="193"/>
      <c r="S161" s="193"/>
      <c r="T161" s="193"/>
      <c r="U161" s="193"/>
      <c r="V161" s="193"/>
    </row>
    <row r="162" spans="1:2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4"/>
      <c r="M162" s="71"/>
      <c r="N162" s="71"/>
      <c r="O162" s="71"/>
      <c r="P162" s="211"/>
      <c r="Q162" s="202"/>
      <c r="R162" s="193"/>
      <c r="S162" s="193"/>
      <c r="T162" s="193"/>
      <c r="U162" s="193"/>
      <c r="V162" s="193"/>
    </row>
    <row r="163" spans="1:22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4"/>
      <c r="M163" s="71"/>
      <c r="N163" s="71"/>
      <c r="O163" s="71"/>
      <c r="P163" s="211"/>
      <c r="Q163" s="202"/>
      <c r="R163" s="193"/>
      <c r="S163" s="193"/>
      <c r="T163" s="193"/>
      <c r="U163" s="193"/>
      <c r="V163" s="193"/>
    </row>
    <row r="164" spans="1:22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4"/>
      <c r="M164" s="71"/>
      <c r="N164" s="71"/>
      <c r="O164" s="71"/>
      <c r="P164" s="211"/>
      <c r="Q164" s="202"/>
      <c r="R164" s="193"/>
      <c r="S164" s="193"/>
      <c r="T164" s="193"/>
      <c r="U164" s="193"/>
      <c r="V164" s="193"/>
    </row>
    <row r="165" spans="1:22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4"/>
      <c r="M165" s="71"/>
      <c r="N165" s="71"/>
      <c r="O165" s="71"/>
      <c r="P165" s="211"/>
      <c r="Q165" s="202"/>
      <c r="R165" s="193"/>
      <c r="S165" s="193"/>
      <c r="T165" s="193"/>
      <c r="U165" s="193"/>
      <c r="V165" s="193"/>
    </row>
    <row r="166" spans="1:22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4"/>
      <c r="M166" s="71"/>
      <c r="N166" s="71"/>
      <c r="O166" s="71"/>
      <c r="P166" s="211"/>
      <c r="Q166" s="202"/>
      <c r="R166" s="193"/>
      <c r="S166" s="193"/>
      <c r="T166" s="193"/>
      <c r="U166" s="193"/>
      <c r="V166" s="193"/>
    </row>
    <row r="167" spans="1:22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4"/>
      <c r="M167" s="71"/>
      <c r="N167" s="71"/>
      <c r="O167" s="71"/>
      <c r="P167" s="211"/>
      <c r="Q167" s="202"/>
      <c r="R167" s="193"/>
      <c r="S167" s="193"/>
      <c r="T167" s="193"/>
      <c r="U167" s="193"/>
      <c r="V167" s="193"/>
    </row>
    <row r="168" spans="1:22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4"/>
      <c r="M168" s="71"/>
      <c r="N168" s="71"/>
      <c r="O168" s="71"/>
      <c r="P168" s="211"/>
      <c r="Q168" s="202"/>
      <c r="R168" s="193"/>
      <c r="S168" s="193"/>
      <c r="T168" s="193"/>
      <c r="U168" s="193"/>
      <c r="V168" s="193"/>
    </row>
    <row r="169" spans="1:22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4"/>
      <c r="M169" s="71"/>
      <c r="N169" s="71"/>
      <c r="O169" s="71"/>
      <c r="P169" s="211"/>
      <c r="Q169" s="202"/>
      <c r="R169" s="193"/>
      <c r="S169" s="193"/>
      <c r="T169" s="193"/>
      <c r="U169" s="193"/>
      <c r="V169" s="193"/>
    </row>
    <row r="170" spans="1:22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4"/>
      <c r="M170" s="71"/>
      <c r="N170" s="71"/>
      <c r="O170" s="71"/>
      <c r="P170" s="211"/>
      <c r="Q170" s="202"/>
      <c r="R170" s="193"/>
      <c r="S170" s="193"/>
      <c r="T170" s="193"/>
      <c r="U170" s="193"/>
      <c r="V170" s="193"/>
    </row>
    <row r="171" spans="1:22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4"/>
      <c r="M171" s="71"/>
      <c r="N171" s="71"/>
      <c r="O171" s="71"/>
      <c r="P171" s="211"/>
      <c r="Q171" s="202"/>
      <c r="R171" s="193"/>
      <c r="S171" s="193"/>
      <c r="T171" s="193"/>
      <c r="U171" s="193"/>
      <c r="V171" s="193"/>
    </row>
    <row r="172" spans="1:2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4"/>
      <c r="M172" s="71"/>
      <c r="N172" s="71"/>
      <c r="O172" s="71"/>
      <c r="P172" s="211"/>
      <c r="Q172" s="202"/>
      <c r="R172" s="193"/>
      <c r="S172" s="193"/>
      <c r="T172" s="193"/>
      <c r="U172" s="193"/>
      <c r="V172" s="193"/>
    </row>
    <row r="173" spans="1:22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4"/>
      <c r="M173" s="71"/>
      <c r="N173" s="71"/>
      <c r="O173" s="71"/>
      <c r="P173" s="211"/>
      <c r="Q173" s="202"/>
      <c r="R173" s="193"/>
      <c r="S173" s="193"/>
      <c r="T173" s="193"/>
      <c r="U173" s="193"/>
      <c r="V173" s="193"/>
    </row>
    <row r="174" spans="1:22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4"/>
      <c r="M174" s="71"/>
      <c r="N174" s="71"/>
      <c r="O174" s="71"/>
      <c r="P174" s="211"/>
      <c r="Q174" s="202"/>
      <c r="R174" s="193"/>
      <c r="S174" s="193"/>
      <c r="T174" s="193"/>
      <c r="U174" s="193"/>
      <c r="V174" s="193"/>
    </row>
    <row r="175" spans="1:22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4"/>
      <c r="M175" s="71"/>
      <c r="N175" s="71"/>
      <c r="O175" s="71"/>
      <c r="P175" s="211"/>
      <c r="Q175" s="202"/>
      <c r="R175" s="193"/>
      <c r="S175" s="193"/>
      <c r="T175" s="193"/>
      <c r="U175" s="193"/>
      <c r="V175" s="193"/>
    </row>
    <row r="176" spans="1:22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4"/>
      <c r="M176" s="71"/>
      <c r="N176" s="71"/>
      <c r="O176" s="71"/>
      <c r="P176" s="211"/>
      <c r="Q176" s="202"/>
      <c r="R176" s="193"/>
      <c r="S176" s="193"/>
      <c r="T176" s="193"/>
      <c r="U176" s="193"/>
      <c r="V176" s="193"/>
    </row>
    <row r="177" spans="1:22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4"/>
      <c r="M177" s="71"/>
      <c r="N177" s="71"/>
      <c r="O177" s="71"/>
      <c r="P177" s="211"/>
      <c r="Q177" s="202"/>
      <c r="R177" s="193"/>
      <c r="S177" s="193"/>
      <c r="T177" s="193"/>
      <c r="U177" s="193"/>
      <c r="V177" s="193"/>
    </row>
    <row r="178" spans="1:22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4"/>
      <c r="M178" s="71"/>
      <c r="N178" s="71"/>
      <c r="O178" s="71"/>
      <c r="P178" s="211"/>
      <c r="Q178" s="202"/>
      <c r="R178" s="193"/>
      <c r="S178" s="193"/>
      <c r="T178" s="193"/>
      <c r="U178" s="193"/>
      <c r="V178" s="193"/>
    </row>
    <row r="179" spans="1:22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4"/>
      <c r="M179" s="71"/>
      <c r="N179" s="71"/>
      <c r="O179" s="71"/>
      <c r="P179" s="211"/>
      <c r="Q179" s="202"/>
      <c r="R179" s="193"/>
      <c r="S179" s="193"/>
      <c r="T179" s="193"/>
      <c r="U179" s="193"/>
      <c r="V179" s="193"/>
    </row>
    <row r="180" spans="1:22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4"/>
      <c r="M180" s="71"/>
      <c r="N180" s="71"/>
      <c r="O180" s="71"/>
      <c r="P180" s="211"/>
      <c r="Q180" s="202"/>
      <c r="R180" s="193"/>
      <c r="S180" s="193"/>
      <c r="T180" s="193"/>
      <c r="U180" s="193"/>
      <c r="V180" s="193"/>
    </row>
    <row r="181" spans="1:22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4"/>
      <c r="M181" s="71"/>
      <c r="N181" s="71"/>
      <c r="O181" s="71"/>
      <c r="P181" s="211"/>
      <c r="Q181" s="202"/>
      <c r="R181" s="193"/>
      <c r="S181" s="193"/>
      <c r="T181" s="193"/>
      <c r="U181" s="193"/>
      <c r="V181" s="193"/>
    </row>
    <row r="182" spans="1:2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4"/>
      <c r="M182" s="71"/>
      <c r="N182" s="71"/>
      <c r="O182" s="71"/>
      <c r="P182" s="211"/>
      <c r="Q182" s="202"/>
      <c r="R182" s="193"/>
      <c r="S182" s="193"/>
      <c r="T182" s="193"/>
      <c r="U182" s="193"/>
      <c r="V182" s="193"/>
    </row>
    <row r="183" spans="1:22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4"/>
      <c r="M183" s="71"/>
      <c r="N183" s="71"/>
      <c r="O183" s="71"/>
      <c r="P183" s="211"/>
      <c r="Q183" s="202"/>
      <c r="R183" s="193"/>
      <c r="S183" s="193"/>
      <c r="T183" s="193"/>
      <c r="U183" s="193"/>
      <c r="V183" s="193"/>
    </row>
    <row r="184" spans="1:22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4"/>
      <c r="M184" s="71"/>
      <c r="N184" s="71"/>
      <c r="O184" s="71"/>
      <c r="P184" s="211"/>
      <c r="Q184" s="202"/>
      <c r="R184" s="193"/>
      <c r="S184" s="193"/>
      <c r="T184" s="193"/>
      <c r="U184" s="193"/>
      <c r="V184" s="193"/>
    </row>
    <row r="185" spans="1:22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4"/>
      <c r="M185" s="209"/>
      <c r="N185" s="209"/>
      <c r="O185" s="209"/>
      <c r="P185" s="210"/>
      <c r="Q185" s="209"/>
      <c r="R185" s="193"/>
      <c r="S185" s="193"/>
      <c r="T185" s="193"/>
      <c r="U185" s="193"/>
      <c r="V185" s="193"/>
    </row>
    <row r="186" spans="1:22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</row>
    <row r="187" spans="1:22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</row>
    <row r="188" spans="1:22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</row>
    <row r="189" spans="1:22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</row>
    <row r="190" spans="1:22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</row>
    <row r="191" spans="1:22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</row>
    <row r="192" spans="1:2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</row>
    <row r="193" spans="1:22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</row>
    <row r="194" spans="1:22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</row>
    <row r="195" spans="1:22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</row>
    <row r="196" spans="1:22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</row>
    <row r="197" spans="1:22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</row>
    <row r="198" spans="1:22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</row>
    <row r="199" spans="1:22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</row>
    <row r="200" spans="1:22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</row>
    <row r="201" spans="1:22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</row>
    <row r="202" spans="1:2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</row>
    <row r="203" spans="1:22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</row>
    <row r="204" spans="1:22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</row>
    <row r="205" spans="1:22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</row>
    <row r="206" spans="1:22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</row>
    <row r="207" spans="1:22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</row>
    <row r="208" spans="1:22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</row>
    <row r="209" spans="1:22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</row>
    <row r="210" spans="1:22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</row>
    <row r="211" spans="1:22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</row>
    <row r="212" spans="1:2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</row>
    <row r="213" spans="1:22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</row>
    <row r="214" spans="1:22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</row>
    <row r="215" spans="1:22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</row>
    <row r="216" spans="1:22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</row>
    <row r="217" spans="1:22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</row>
    <row r="218" spans="1:22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</row>
    <row r="219" spans="1:22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</row>
    <row r="220" spans="1:22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</row>
    <row r="221" spans="1:22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</row>
    <row r="222" spans="1: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B4" sqref="B4:B54"/>
    </sheetView>
  </sheetViews>
  <sheetFormatPr baseColWidth="10" defaultRowHeight="12.75"/>
  <cols>
    <col min="1" max="1" width="48.140625" style="67" customWidth="1"/>
    <col min="2" max="2" width="20" style="68" customWidth="1"/>
    <col min="3" max="3" width="15.42578125" style="67" customWidth="1"/>
    <col min="4" max="4" width="29.28515625" style="67" customWidth="1"/>
    <col min="5" max="16384" width="11.42578125" style="67"/>
  </cols>
  <sheetData>
    <row r="1" spans="1:4" ht="15.75">
      <c r="A1" s="435" t="s">
        <v>247</v>
      </c>
      <c r="B1" s="436"/>
      <c r="C1" s="436"/>
      <c r="D1" s="436"/>
    </row>
    <row r="2" spans="1:4" ht="15.75">
      <c r="A2" s="434" t="s">
        <v>354</v>
      </c>
      <c r="B2" s="434"/>
      <c r="C2" s="434"/>
      <c r="D2" s="434"/>
    </row>
    <row r="3" spans="1:4" ht="15.75">
      <c r="A3" s="282" t="s">
        <v>185</v>
      </c>
      <c r="B3" s="283" t="s">
        <v>327</v>
      </c>
      <c r="C3" s="284" t="s">
        <v>186</v>
      </c>
      <c r="D3" s="284" t="s">
        <v>355</v>
      </c>
    </row>
    <row r="4" spans="1:4" ht="15.75">
      <c r="A4" s="285" t="s">
        <v>187</v>
      </c>
      <c r="B4" s="286">
        <v>313860.92</v>
      </c>
      <c r="C4" s="287">
        <f>+B4/$B$55</f>
        <v>1.4049789148285209E-4</v>
      </c>
      <c r="D4" s="288">
        <f t="shared" ref="D4:D54" si="0">+B$58*C4</f>
        <v>1446.2791973159892</v>
      </c>
    </row>
    <row r="5" spans="1:4" ht="15.75">
      <c r="A5" s="289" t="s">
        <v>188</v>
      </c>
      <c r="B5" s="290">
        <v>106688</v>
      </c>
      <c r="C5" s="291">
        <f t="shared" ref="C5:C54" si="1">+B5/$B$55</f>
        <v>4.775822057273816E-5</v>
      </c>
      <c r="D5" s="292">
        <f t="shared" si="0"/>
        <v>491.62104986899385</v>
      </c>
    </row>
    <row r="6" spans="1:4" ht="15.75">
      <c r="A6" s="289" t="s">
        <v>189</v>
      </c>
      <c r="B6" s="290">
        <v>41150.239999999998</v>
      </c>
      <c r="C6" s="291">
        <f t="shared" si="1"/>
        <v>1.8420649356451642E-5</v>
      </c>
      <c r="D6" s="292">
        <f t="shared" si="0"/>
        <v>189.62136501913116</v>
      </c>
    </row>
    <row r="7" spans="1:4" ht="15.75">
      <c r="A7" s="289" t="s">
        <v>190</v>
      </c>
      <c r="B7" s="290">
        <v>29551356.170000002</v>
      </c>
      <c r="C7" s="291">
        <f t="shared" si="1"/>
        <v>1.3228481049325199E-2</v>
      </c>
      <c r="D7" s="292">
        <f t="shared" si="0"/>
        <v>136173.40980567608</v>
      </c>
    </row>
    <row r="8" spans="1:4" ht="15.75">
      <c r="A8" s="289" t="s">
        <v>191</v>
      </c>
      <c r="B8" s="290">
        <v>1061010.42</v>
      </c>
      <c r="C8" s="291">
        <f t="shared" si="1"/>
        <v>4.7495472469568793E-4</v>
      </c>
      <c r="D8" s="292">
        <f t="shared" si="0"/>
        <v>4889.1633229823601</v>
      </c>
    </row>
    <row r="9" spans="1:4" ht="15.75">
      <c r="A9" s="293" t="s">
        <v>192</v>
      </c>
      <c r="B9" s="290">
        <v>246663047.44</v>
      </c>
      <c r="C9" s="291">
        <f t="shared" si="1"/>
        <v>0.11041718118985544</v>
      </c>
      <c r="D9" s="292">
        <f t="shared" si="0"/>
        <v>1136629.6710627084</v>
      </c>
    </row>
    <row r="10" spans="1:4" ht="15.75">
      <c r="A10" s="289" t="s">
        <v>193</v>
      </c>
      <c r="B10" s="290">
        <v>47519.5</v>
      </c>
      <c r="C10" s="291">
        <f t="shared" si="1"/>
        <v>2.1271809036688578E-5</v>
      </c>
      <c r="D10" s="292">
        <f t="shared" si="0"/>
        <v>218.97107902716007</v>
      </c>
    </row>
    <row r="11" spans="1:4" ht="15.75">
      <c r="A11" s="289" t="s">
        <v>194</v>
      </c>
      <c r="B11" s="290">
        <v>954046.18</v>
      </c>
      <c r="C11" s="291">
        <f t="shared" si="1"/>
        <v>4.2707284700264561E-4</v>
      </c>
      <c r="D11" s="292">
        <f t="shared" si="0"/>
        <v>4396.2693520836747</v>
      </c>
    </row>
    <row r="12" spans="1:4" ht="15.75">
      <c r="A12" s="289" t="s">
        <v>195</v>
      </c>
      <c r="B12" s="290">
        <v>21931008.399999999</v>
      </c>
      <c r="C12" s="291">
        <f t="shared" si="1"/>
        <v>9.8172796992142819E-3</v>
      </c>
      <c r="D12" s="292">
        <f t="shared" si="0"/>
        <v>101058.65115377288</v>
      </c>
    </row>
    <row r="13" spans="1:4" ht="15.75">
      <c r="A13" s="289" t="s">
        <v>196</v>
      </c>
      <c r="B13" s="290">
        <v>12384776.130000001</v>
      </c>
      <c r="C13" s="291">
        <f t="shared" si="1"/>
        <v>5.5439681141320725E-3</v>
      </c>
      <c r="D13" s="292">
        <f t="shared" si="0"/>
        <v>57069.367158659406</v>
      </c>
    </row>
    <row r="14" spans="1:4" ht="15.75">
      <c r="A14" s="289" t="s">
        <v>197</v>
      </c>
      <c r="B14" s="290">
        <v>752387.65</v>
      </c>
      <c r="C14" s="291">
        <f t="shared" si="1"/>
        <v>3.3680165852677078E-4</v>
      </c>
      <c r="D14" s="292">
        <f t="shared" si="0"/>
        <v>3467.021655682599</v>
      </c>
    </row>
    <row r="15" spans="1:4" ht="15.75">
      <c r="A15" s="289" t="s">
        <v>198</v>
      </c>
      <c r="B15" s="294">
        <v>997925.55</v>
      </c>
      <c r="C15" s="291">
        <f t="shared" si="1"/>
        <v>4.4671517445327537E-4</v>
      </c>
      <c r="D15" s="292">
        <f t="shared" si="0"/>
        <v>4598.4666183834461</v>
      </c>
    </row>
    <row r="16" spans="1:4" ht="15.75">
      <c r="A16" s="289" t="s">
        <v>199</v>
      </c>
      <c r="B16" s="290">
        <v>29760786.390000001</v>
      </c>
      <c r="C16" s="291">
        <f t="shared" si="1"/>
        <v>1.3322231186560474E-2</v>
      </c>
      <c r="D16" s="292">
        <f t="shared" si="0"/>
        <v>137138.46964962003</v>
      </c>
    </row>
    <row r="17" spans="1:7" ht="15.75">
      <c r="A17" s="289" t="s">
        <v>200</v>
      </c>
      <c r="B17" s="290">
        <v>175577.60000000001</v>
      </c>
      <c r="C17" s="291">
        <f t="shared" si="1"/>
        <v>7.85962221471205E-5</v>
      </c>
      <c r="D17" s="292">
        <f t="shared" si="0"/>
        <v>809.06609970641739</v>
      </c>
    </row>
    <row r="18" spans="1:7" ht="15.75">
      <c r="A18" s="289" t="s">
        <v>201</v>
      </c>
      <c r="B18" s="290">
        <v>81812.600000000006</v>
      </c>
      <c r="C18" s="291">
        <f t="shared" si="1"/>
        <v>3.6622902261071523E-5</v>
      </c>
      <c r="D18" s="292">
        <f t="shared" si="0"/>
        <v>376.99456644151218</v>
      </c>
    </row>
    <row r="19" spans="1:7" ht="15.75">
      <c r="A19" s="289" t="s">
        <v>202</v>
      </c>
      <c r="B19" s="295">
        <v>2487457.71</v>
      </c>
      <c r="C19" s="291">
        <f t="shared" si="1"/>
        <v>1.1134949945592583E-3</v>
      </c>
      <c r="D19" s="292">
        <f t="shared" si="0"/>
        <v>11462.269148310243</v>
      </c>
    </row>
    <row r="20" spans="1:7" ht="15.75">
      <c r="A20" s="289" t="s">
        <v>203</v>
      </c>
      <c r="B20" s="290">
        <v>919750.84</v>
      </c>
      <c r="C20" s="291">
        <f t="shared" si="1"/>
        <v>4.1172075105617507E-4</v>
      </c>
      <c r="D20" s="292">
        <f t="shared" si="0"/>
        <v>4238.2355426916711</v>
      </c>
      <c r="G20" s="67" t="s">
        <v>184</v>
      </c>
    </row>
    <row r="21" spans="1:7" ht="15.75">
      <c r="A21" s="289" t="s">
        <v>204</v>
      </c>
      <c r="B21" s="290">
        <v>203099368.24000001</v>
      </c>
      <c r="C21" s="291">
        <f t="shared" si="1"/>
        <v>9.0916170765125329E-2</v>
      </c>
      <c r="D21" s="292">
        <f t="shared" si="0"/>
        <v>935887.11609438912</v>
      </c>
    </row>
    <row r="22" spans="1:7" ht="15.75">
      <c r="A22" s="289" t="s">
        <v>205</v>
      </c>
      <c r="B22" s="290">
        <v>1004219.28</v>
      </c>
      <c r="C22" s="291">
        <f t="shared" si="1"/>
        <v>4.4953252359812074E-4</v>
      </c>
      <c r="D22" s="292">
        <f t="shared" si="0"/>
        <v>4627.4682882075313</v>
      </c>
    </row>
    <row r="23" spans="1:7" ht="15.75">
      <c r="A23" s="289" t="s">
        <v>206</v>
      </c>
      <c r="B23" s="290">
        <v>76035351.519999996</v>
      </c>
      <c r="C23" s="291">
        <f t="shared" si="1"/>
        <v>3.4036752860845093E-2</v>
      </c>
      <c r="D23" s="292">
        <f t="shared" si="0"/>
        <v>350372.85675446526</v>
      </c>
    </row>
    <row r="24" spans="1:7" ht="15.75">
      <c r="A24" s="289" t="s">
        <v>207</v>
      </c>
      <c r="B24" s="290">
        <v>1863889.19</v>
      </c>
      <c r="C24" s="291">
        <f t="shared" si="1"/>
        <v>8.3435841949574705E-4</v>
      </c>
      <c r="D24" s="292">
        <f t="shared" si="0"/>
        <v>8588.8493591338156</v>
      </c>
    </row>
    <row r="25" spans="1:7" ht="15.75">
      <c r="A25" s="289" t="s">
        <v>208</v>
      </c>
      <c r="B25" s="290">
        <v>93733</v>
      </c>
      <c r="C25" s="291">
        <f t="shared" si="1"/>
        <v>4.1958995284797409E-5</v>
      </c>
      <c r="D25" s="292">
        <f t="shared" si="0"/>
        <v>431.92407644130924</v>
      </c>
    </row>
    <row r="26" spans="1:7" ht="15.75">
      <c r="A26" s="289" t="s">
        <v>209</v>
      </c>
      <c r="B26" s="290">
        <v>16195</v>
      </c>
      <c r="C26" s="291">
        <f t="shared" si="1"/>
        <v>7.2495911646623287E-6</v>
      </c>
      <c r="D26" s="292">
        <f t="shared" si="0"/>
        <v>74.626976816777471</v>
      </c>
    </row>
    <row r="27" spans="1:7" ht="15.75">
      <c r="A27" s="289" t="s">
        <v>210</v>
      </c>
      <c r="B27" s="290">
        <v>4870035</v>
      </c>
      <c r="C27" s="291">
        <f t="shared" si="1"/>
        <v>2.1800409205061009E-3</v>
      </c>
      <c r="D27" s="292">
        <f t="shared" si="0"/>
        <v>22441.246621913855</v>
      </c>
    </row>
    <row r="28" spans="1:7" ht="15.75">
      <c r="A28" s="289" t="s">
        <v>211</v>
      </c>
      <c r="B28" s="290">
        <v>151141873</v>
      </c>
      <c r="C28" s="291">
        <f t="shared" si="1"/>
        <v>6.7657720723143924E-2</v>
      </c>
      <c r="D28" s="292">
        <f t="shared" si="0"/>
        <v>696465.64077896427</v>
      </c>
    </row>
    <row r="29" spans="1:7" ht="15.75">
      <c r="A29" s="289" t="s">
        <v>212</v>
      </c>
      <c r="B29" s="290">
        <v>6640.64</v>
      </c>
      <c r="C29" s="291">
        <f t="shared" si="1"/>
        <v>2.9726412517260419E-6</v>
      </c>
      <c r="D29" s="292">
        <f t="shared" si="0"/>
        <v>30.600240032637554</v>
      </c>
    </row>
    <row r="30" spans="1:7" ht="15.75">
      <c r="A30" s="289" t="s">
        <v>213</v>
      </c>
      <c r="B30" s="290">
        <v>2000</v>
      </c>
      <c r="C30" s="291">
        <f t="shared" si="1"/>
        <v>8.952875782231959E-7</v>
      </c>
      <c r="D30" s="292">
        <f t="shared" si="0"/>
        <v>9.216051474748685</v>
      </c>
    </row>
    <row r="31" spans="1:7" ht="15.75">
      <c r="A31" s="289" t="s">
        <v>214</v>
      </c>
      <c r="B31" s="290">
        <v>298239.14</v>
      </c>
      <c r="C31" s="291">
        <f t="shared" si="1"/>
        <v>1.3350489869098434E-4</v>
      </c>
      <c r="D31" s="292">
        <f t="shared" si="0"/>
        <v>1374.2936330123898</v>
      </c>
    </row>
    <row r="32" spans="1:7" ht="15.75">
      <c r="A32" s="296" t="s">
        <v>215</v>
      </c>
      <c r="B32" s="290">
        <v>564018.93000000005</v>
      </c>
      <c r="C32" s="291">
        <f t="shared" si="1"/>
        <v>2.5247957095586912E-4</v>
      </c>
      <c r="D32" s="292">
        <f t="shared" si="0"/>
        <v>2599.0137458063377</v>
      </c>
    </row>
    <row r="33" spans="1:4" ht="15.75">
      <c r="A33" s="289" t="s">
        <v>216</v>
      </c>
      <c r="B33" s="290">
        <v>42540.160000000003</v>
      </c>
      <c r="C33" s="291">
        <f t="shared" si="1"/>
        <v>1.9042838411813637E-5</v>
      </c>
      <c r="D33" s="292">
        <f t="shared" si="0"/>
        <v>196.02615215202252</v>
      </c>
    </row>
    <row r="34" spans="1:4" ht="15.75">
      <c r="A34" s="289" t="s">
        <v>217</v>
      </c>
      <c r="B34" s="297">
        <v>60505115.740000002</v>
      </c>
      <c r="C34" s="291">
        <f t="shared" si="1"/>
        <v>2.7084739270489384E-2</v>
      </c>
      <c r="D34" s="292">
        <f t="shared" si="0"/>
        <v>278809.13057273341</v>
      </c>
    </row>
    <row r="35" spans="1:4" ht="15.75">
      <c r="A35" s="289" t="s">
        <v>218</v>
      </c>
      <c r="B35" s="295">
        <v>223324.41</v>
      </c>
      <c r="C35" s="291">
        <f t="shared" si="1"/>
        <v>9.9969785093512029E-5</v>
      </c>
      <c r="D35" s="292">
        <f t="shared" si="0"/>
        <v>1029.0846290639399</v>
      </c>
    </row>
    <row r="36" spans="1:4" ht="15.75">
      <c r="A36" s="296" t="s">
        <v>219</v>
      </c>
      <c r="B36" s="290">
        <v>7151515.1500000004</v>
      </c>
      <c r="C36" s="291">
        <f t="shared" si="1"/>
        <v>3.201331339634998E-3</v>
      </c>
      <c r="D36" s="292">
        <f t="shared" si="0"/>
        <v>32954.365872422532</v>
      </c>
    </row>
    <row r="37" spans="1:4" ht="15.75">
      <c r="A37" s="289" t="s">
        <v>220</v>
      </c>
      <c r="B37" s="290">
        <v>444314.67</v>
      </c>
      <c r="C37" s="291">
        <f t="shared" si="1"/>
        <v>1.9889470243666921E-4</v>
      </c>
      <c r="D37" s="292">
        <f t="shared" si="0"/>
        <v>2047.4134348529874</v>
      </c>
    </row>
    <row r="38" spans="1:4" ht="15.75">
      <c r="A38" s="289" t="s">
        <v>221</v>
      </c>
      <c r="B38" s="290">
        <v>56630.22</v>
      </c>
      <c r="C38" s="291">
        <f t="shared" si="1"/>
        <v>2.5350166259023397E-5</v>
      </c>
      <c r="D38" s="292">
        <f t="shared" si="0"/>
        <v>260.95351127317127</v>
      </c>
    </row>
    <row r="39" spans="1:4" ht="15.75">
      <c r="A39" s="289" t="s">
        <v>222</v>
      </c>
      <c r="B39" s="290">
        <v>5104.24</v>
      </c>
      <c r="C39" s="291">
        <f t="shared" si="1"/>
        <v>2.2848813341349825E-6</v>
      </c>
      <c r="D39" s="292">
        <f t="shared" si="0"/>
        <v>23.520469289735612</v>
      </c>
    </row>
    <row r="40" spans="1:4" ht="15.75">
      <c r="A40" s="289" t="s">
        <v>223</v>
      </c>
      <c r="B40" s="290">
        <v>2761345.65</v>
      </c>
      <c r="C40" s="291">
        <f t="shared" si="1"/>
        <v>1.2360992298128283E-3</v>
      </c>
      <c r="D40" s="292">
        <f t="shared" si="0"/>
        <v>12724.351824986683</v>
      </c>
    </row>
    <row r="41" spans="1:4" ht="15.75">
      <c r="A41" s="289" t="s">
        <v>224</v>
      </c>
      <c r="B41" s="290">
        <v>27477571</v>
      </c>
      <c r="C41" s="291">
        <f t="shared" si="1"/>
        <v>1.2300163998022959E-2</v>
      </c>
      <c r="D41" s="292">
        <f t="shared" si="0"/>
        <v>126617.35436853084</v>
      </c>
    </row>
    <row r="42" spans="1:4" ht="15.75">
      <c r="A42" s="296" t="s">
        <v>225</v>
      </c>
      <c r="B42" s="290">
        <v>605068977</v>
      </c>
      <c r="C42" s="291">
        <f t="shared" si="1"/>
        <v>0.27085536953815831</v>
      </c>
      <c r="D42" s="292">
        <f t="shared" si="0"/>
        <v>2788173.4189027641</v>
      </c>
    </row>
    <row r="43" spans="1:4" ht="15.75">
      <c r="A43" s="289" t="s">
        <v>226</v>
      </c>
      <c r="B43" s="290">
        <v>185136.1</v>
      </c>
      <c r="C43" s="291">
        <f t="shared" si="1"/>
        <v>8.2875025305343712E-5</v>
      </c>
      <c r="D43" s="292">
        <f t="shared" si="0"/>
        <v>853.11191371711004</v>
      </c>
    </row>
    <row r="44" spans="1:4" ht="15.75">
      <c r="A44" s="289" t="s">
        <v>227</v>
      </c>
      <c r="B44" s="290">
        <v>17582234.02</v>
      </c>
      <c r="C44" s="291">
        <f t="shared" si="1"/>
        <v>7.870577857759643E-3</v>
      </c>
      <c r="D44" s="292">
        <f t="shared" si="0"/>
        <v>81019.386884698746</v>
      </c>
    </row>
    <row r="45" spans="1:4" ht="15.75">
      <c r="A45" s="289" t="s">
        <v>228</v>
      </c>
      <c r="B45" s="290">
        <v>1588024.75</v>
      </c>
      <c r="C45" s="291">
        <f t="shared" si="1"/>
        <v>7.1086941629299805E-4</v>
      </c>
      <c r="D45" s="292">
        <f t="shared" si="0"/>
        <v>7317.6589195874558</v>
      </c>
    </row>
    <row r="46" spans="1:4" ht="15.75">
      <c r="A46" s="289" t="s">
        <v>229</v>
      </c>
      <c r="B46" s="290">
        <v>18494.64</v>
      </c>
      <c r="C46" s="291">
        <f t="shared" si="1"/>
        <v>8.2790107278549225E-6</v>
      </c>
      <c r="D46" s="292">
        <f t="shared" si="0"/>
        <v>85.223777123472999</v>
      </c>
    </row>
    <row r="47" spans="1:4" ht="15.75">
      <c r="A47" s="289" t="s">
        <v>230</v>
      </c>
      <c r="B47" s="290">
        <v>3660506.57</v>
      </c>
      <c r="C47" s="291">
        <f t="shared" si="1"/>
        <v>1.6386030310626986E-3</v>
      </c>
      <c r="D47" s="292">
        <f t="shared" si="0"/>
        <v>16867.708486387874</v>
      </c>
    </row>
    <row r="48" spans="1:4" ht="15.75">
      <c r="A48" s="289" t="s">
        <v>231</v>
      </c>
      <c r="B48" s="290">
        <v>13420467.189999999</v>
      </c>
      <c r="C48" s="291">
        <f t="shared" si="1"/>
        <v>6.007588784579479E-3</v>
      </c>
      <c r="D48" s="292">
        <f t="shared" si="0"/>
        <v>61841.858219107911</v>
      </c>
    </row>
    <row r="49" spans="1:4" ht="15.75">
      <c r="A49" s="289" t="s">
        <v>232</v>
      </c>
      <c r="B49" s="298">
        <v>104566741.54000001</v>
      </c>
      <c r="C49" s="291">
        <f t="shared" si="1"/>
        <v>4.6808652398018728E-2</v>
      </c>
      <c r="D49" s="292">
        <f t="shared" si="0"/>
        <v>481846.23628969077</v>
      </c>
    </row>
    <row r="50" spans="1:4" ht="15.75">
      <c r="A50" s="299" t="s">
        <v>233</v>
      </c>
      <c r="B50" s="290">
        <v>363933004.24000001</v>
      </c>
      <c r="C50" s="291">
        <f t="shared" si="1"/>
        <v>0.16291234900076085</v>
      </c>
      <c r="D50" s="292">
        <f t="shared" si="0"/>
        <v>1677012.6502178858</v>
      </c>
    </row>
    <row r="51" spans="1:4" ht="15.75">
      <c r="A51" s="289" t="s">
        <v>234</v>
      </c>
      <c r="B51" s="290">
        <v>128143824.97</v>
      </c>
      <c r="C51" s="291">
        <f t="shared" si="1"/>
        <v>5.7362787360824195E-2</v>
      </c>
      <c r="D51" s="292">
        <f t="shared" si="0"/>
        <v>590490.04354735289</v>
      </c>
    </row>
    <row r="52" spans="1:4" ht="15.75">
      <c r="A52" s="289" t="s">
        <v>235</v>
      </c>
      <c r="B52" s="290">
        <v>108719184.31999999</v>
      </c>
      <c r="C52" s="291">
        <f t="shared" si="1"/>
        <v>4.8667467618127021E-2</v>
      </c>
      <c r="D52" s="292">
        <f t="shared" si="0"/>
        <v>500980.79949290497</v>
      </c>
    </row>
    <row r="53" spans="1:4" ht="15.75">
      <c r="A53" s="289" t="s">
        <v>236</v>
      </c>
      <c r="B53" s="290">
        <v>648469.44999999995</v>
      </c>
      <c r="C53" s="291">
        <f t="shared" si="1"/>
        <v>2.902833217211139E-4</v>
      </c>
      <c r="D53" s="292">
        <f t="shared" si="0"/>
        <v>2988.1639155009843</v>
      </c>
    </row>
    <row r="54" spans="1:4" ht="15.75">
      <c r="A54" s="300" t="s">
        <v>237</v>
      </c>
      <c r="B54" s="301">
        <v>490825.85</v>
      </c>
      <c r="C54" s="291">
        <f t="shared" si="1"/>
        <v>2.197151432879208E-4</v>
      </c>
      <c r="D54" s="302">
        <f t="shared" si="0"/>
        <v>2261.7381493686385</v>
      </c>
    </row>
    <row r="55" spans="1:4" ht="16.5" thickBot="1">
      <c r="A55" s="303" t="s">
        <v>238</v>
      </c>
      <c r="B55" s="304">
        <f>+SUM(B4:B54)</f>
        <v>2233919076.5599995</v>
      </c>
      <c r="C55" s="305">
        <f>SUM(C4:C54)</f>
        <v>1.0000000000000004</v>
      </c>
      <c r="D55" s="306">
        <f>SUM(D4:D54)</f>
        <v>10293956.600000005</v>
      </c>
    </row>
    <row r="56" spans="1:4" ht="16.5" thickBot="1">
      <c r="A56" s="307"/>
      <c r="B56" s="308"/>
      <c r="C56" s="307"/>
      <c r="D56" s="307"/>
    </row>
    <row r="57" spans="1:4" ht="15.75">
      <c r="A57" s="309" t="s">
        <v>239</v>
      </c>
      <c r="B57" s="310">
        <f>+'PART MES'!B12</f>
        <v>51469783</v>
      </c>
      <c r="C57" s="307"/>
      <c r="D57" s="307"/>
    </row>
    <row r="58" spans="1:4" ht="16.5" thickBot="1">
      <c r="A58" s="311" t="s">
        <v>240</v>
      </c>
      <c r="B58" s="312">
        <f>+B57*0.2</f>
        <v>10293956.600000001</v>
      </c>
      <c r="C58" s="307"/>
      <c r="D58" s="30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13</vt:i4>
      </vt:variant>
    </vt:vector>
  </HeadingPairs>
  <TitlesOfParts>
    <vt:vector size="25" baseType="lpstr">
      <vt:lpstr>PART MES</vt:lpstr>
      <vt:lpstr>DIST MES SEPTIEMBRE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SEPTIEMBRE </vt:lpstr>
      <vt:lpstr>Ajuste 1er Sem</vt:lpstr>
      <vt:lpstr>Ajuste Semestral </vt:lpstr>
      <vt:lpstr>'Ajuste 1er Sem'!Área_de_impresión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SEPTIEMBRE'!Área_de_impresión</vt:lpstr>
      <vt:lpstr>ISAI!Área_de_impresión</vt:lpstr>
      <vt:lpstr>'PART MES'!Área_de_impresión</vt:lpstr>
      <vt:lpstr>'PART PEF2021'!Área_de_impresión</vt:lpstr>
      <vt:lpstr>'Ajuste 1er Sem'!Títulos_a_imprimir</vt:lpstr>
      <vt:lpstr>'COEF Art 14 F I'!Títulos_a_imprimir</vt:lpstr>
      <vt:lpstr>'DIST MES SEPTIEMBRE'!Títulos_a_imprimir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2021-07-07T18:40:58Z</cp:lastPrinted>
  <dcterms:created xsi:type="dcterms:W3CDTF">2009-12-17T23:31:03Z</dcterms:created>
  <dcterms:modified xsi:type="dcterms:W3CDTF">2021-10-01T13:46:59Z</dcterms:modified>
</cp:coreProperties>
</file>