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2 PLANEACION HACENDARIA\PARTICIPACIONES FEDERALES\JUNIO\"/>
    </mc:Choice>
  </mc:AlternateContent>
  <bookViews>
    <workbookView xWindow="0" yWindow="0" windowWidth="28770" windowHeight="12360" activeTab="1"/>
  </bookViews>
  <sheets>
    <sheet name="PART MES" sheetId="41" r:id="rId1"/>
    <sheet name="DIST JUNIO" sheetId="46" r:id="rId2"/>
    <sheet name="COEF Art 14 F I " sheetId="63" r:id="rId3"/>
    <sheet name="CALCULO GARANTIA" sheetId="61" r:id="rId4"/>
    <sheet name="PART PEF2022 " sheetId="62" r:id="rId5"/>
    <sheet name="COEF Art 14 F II ieps" sheetId="65" r:id="rId6"/>
    <sheet name="Art.14 Frac.III " sheetId="55" r:id="rId7"/>
    <sheet name="ISAI" sheetId="47" r:id="rId8"/>
    <sheet name="ISR JUNIO " sheetId="54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1" hidden="1">'DIST JUNIO'!#REF!</definedName>
    <definedName name="A_impresión_IM" localSheetId="6">#REF!</definedName>
    <definedName name="A_impresión_IM" localSheetId="3">#REF!</definedName>
    <definedName name="A_impresión_IM" localSheetId="2">#REF!</definedName>
    <definedName name="A_impresión_IM" localSheetId="5">#REF!</definedName>
    <definedName name="A_impresión_IM" localSheetId="1">#REF!</definedName>
    <definedName name="A_impresión_IM" localSheetId="0">#REF!</definedName>
    <definedName name="A_impresión_IM" localSheetId="4">#REF!</definedName>
    <definedName name="A_impresión_IM">#REF!</definedName>
    <definedName name="abril" localSheetId="6">#REF!</definedName>
    <definedName name="abril" localSheetId="5">#REF!</definedName>
    <definedName name="abril">#REF!</definedName>
    <definedName name="AJUSTES" localSheetId="6" hidden="1">{"'beneficiarios'!$A$1:$C$7"}</definedName>
    <definedName name="AJUSTES" localSheetId="3" hidden="1">{"'beneficiarios'!$A$1:$C$7"}</definedName>
    <definedName name="AJUSTES" localSheetId="2" hidden="1">{"'beneficiarios'!$A$1:$C$7"}</definedName>
    <definedName name="AJUSTES" localSheetId="5" hidden="1">{"'beneficiarios'!$A$1:$C$7"}</definedName>
    <definedName name="AJUSTES" localSheetId="1" hidden="1">{"'beneficiarios'!$A$1:$C$7"}</definedName>
    <definedName name="AJUSTES" localSheetId="0" hidden="1">{"'beneficiarios'!$A$1:$C$7"}</definedName>
    <definedName name="AJUSTES" localSheetId="4" hidden="1">{"'beneficiarios'!$A$1:$C$7"}</definedName>
    <definedName name="AJUSTES" hidden="1">{"'beneficiarios'!$A$1:$C$7"}</definedName>
    <definedName name="_xlnm.Print_Area" localSheetId="6">'Art.14 Frac.III '!$L$1:$Q$56</definedName>
    <definedName name="_xlnm.Print_Area" localSheetId="3">'CALCULO GARANTIA'!$A$1:$T$60</definedName>
    <definedName name="_xlnm.Print_Area" localSheetId="2">'COEF Art 14 F I '!$B$3:$AF$60</definedName>
    <definedName name="_xlnm.Print_Area" localSheetId="5">'COEF Art 14 F II ieps'!$A$3:$L$63</definedName>
    <definedName name="_xlnm.Print_Area" localSheetId="1">'DIST JUNIO'!$A$1:$Q$60</definedName>
    <definedName name="_xlnm.Print_Area" localSheetId="7">ISAI!$A$1:$D$55</definedName>
    <definedName name="_xlnm.Print_Area" localSheetId="0">'PART MES'!$A$1:$E$17</definedName>
    <definedName name="_xlnm.Print_Area" localSheetId="4">'PART PEF2022 '!$A$1:$F$15</definedName>
    <definedName name="_xlnm.Database" localSheetId="6">#REF!</definedName>
    <definedName name="_xlnm.Database" localSheetId="3">#REF!</definedName>
    <definedName name="_xlnm.Database" localSheetId="2">#REF!</definedName>
    <definedName name="_xlnm.Database" localSheetId="5">#REF!</definedName>
    <definedName name="_xlnm.Database" localSheetId="1">#REF!</definedName>
    <definedName name="_xlnm.Database" localSheetId="0">#REF!</definedName>
    <definedName name="_xlnm.Database" localSheetId="4">#REF!</definedName>
    <definedName name="_xlnm.Database">#REF!</definedName>
    <definedName name="cierre_2001" localSheetId="6">'[1]deuda c sadm'!#REF!</definedName>
    <definedName name="cierre_2001" localSheetId="3">'[1]deuda c sadm'!#REF!</definedName>
    <definedName name="cierre_2001" localSheetId="2">'[1]deuda c sadm'!#REF!</definedName>
    <definedName name="cierre_2001" localSheetId="5">'[1]deuda c sadm'!#REF!</definedName>
    <definedName name="cierre_2001" localSheetId="1">'[1]deuda c sadm'!#REF!</definedName>
    <definedName name="cierre_2001" localSheetId="0">'[1]deuda c sadm'!#REF!</definedName>
    <definedName name="cierre_2001" localSheetId="4">'[1]deuda c sadm'!#REF!</definedName>
    <definedName name="cierre_2001">'[1]deuda c sadm'!#REF!</definedName>
    <definedName name="deuda" localSheetId="6">'[1]deuda c sadm'!#REF!</definedName>
    <definedName name="deuda" localSheetId="3">'[1]deuda c sadm'!#REF!</definedName>
    <definedName name="deuda" localSheetId="2">'[1]deuda c sadm'!#REF!</definedName>
    <definedName name="deuda" localSheetId="5">'[1]deuda c sadm'!#REF!</definedName>
    <definedName name="deuda" localSheetId="1">'[1]deuda c sadm'!#REF!</definedName>
    <definedName name="deuda" localSheetId="0">'[1]deuda c sadm'!#REF!</definedName>
    <definedName name="deuda" localSheetId="4">'[1]deuda c sadm'!#REF!</definedName>
    <definedName name="deuda">'[1]deuda c sadm'!#REF!</definedName>
    <definedName name="Deuda_ingTot" localSheetId="6">'[1]deuda c sadm'!#REF!</definedName>
    <definedName name="Deuda_ingTot" localSheetId="3">'[1]deuda c sadm'!#REF!</definedName>
    <definedName name="Deuda_ingTot" localSheetId="2">'[1]deuda c sadm'!#REF!</definedName>
    <definedName name="Deuda_ingTot" localSheetId="5">'[1]deuda c sadm'!#REF!</definedName>
    <definedName name="Deuda_ingTot" localSheetId="1">'[1]deuda c sadm'!#REF!</definedName>
    <definedName name="Deuda_ingTot" localSheetId="0">'[1]deuda c sadm'!#REF!</definedName>
    <definedName name="Deuda_ingTot" localSheetId="4">'[1]deuda c sadm'!#REF!</definedName>
    <definedName name="Deuda_ingTot">'[1]deuda c sadm'!#REF!</definedName>
    <definedName name="ENERO" localSheetId="6">#REF!</definedName>
    <definedName name="ENERO" localSheetId="3">#REF!</definedName>
    <definedName name="ENERO" localSheetId="2">#REF!</definedName>
    <definedName name="ENERO" localSheetId="5">#REF!</definedName>
    <definedName name="ENERO" localSheetId="1">#REF!</definedName>
    <definedName name="ENERO" localSheetId="0">#REF!</definedName>
    <definedName name="ENERO" localSheetId="4">#REF!</definedName>
    <definedName name="ENERO">#REF!</definedName>
    <definedName name="ENEROAJUSTE" localSheetId="6">#REF!</definedName>
    <definedName name="ENEROAJUSTE" localSheetId="3">#REF!</definedName>
    <definedName name="ENEROAJUSTE" localSheetId="2">#REF!</definedName>
    <definedName name="ENEROAJUSTE" localSheetId="5">#REF!</definedName>
    <definedName name="ENEROAJUSTE" localSheetId="1">#REF!</definedName>
    <definedName name="ENEROAJUSTE" localSheetId="4">#REF!</definedName>
    <definedName name="ENEROAJUSTE">#REF!</definedName>
    <definedName name="Estado">'[2]Compendio de nombres'!$C$2:$C$33</definedName>
    <definedName name="Estado1" localSheetId="6">#REF!</definedName>
    <definedName name="Estado1" localSheetId="3">#REF!</definedName>
    <definedName name="Estado1" localSheetId="2">#REF!</definedName>
    <definedName name="Estado1" localSheetId="5">#REF!</definedName>
    <definedName name="Estado1" localSheetId="1">#REF!</definedName>
    <definedName name="Estado1" localSheetId="4">#REF!</definedName>
    <definedName name="Estado1">#REF!</definedName>
    <definedName name="Fto_1" localSheetId="6">#REF!</definedName>
    <definedName name="Fto_1" localSheetId="3">#REF!</definedName>
    <definedName name="Fto_1" localSheetId="2">#REF!</definedName>
    <definedName name="Fto_1" localSheetId="5">#REF!</definedName>
    <definedName name="Fto_1" localSheetId="1">#REF!</definedName>
    <definedName name="Fto_1" localSheetId="0">#REF!</definedName>
    <definedName name="Fto_1" localSheetId="4">#REF!</definedName>
    <definedName name="Fto_1">#REF!</definedName>
    <definedName name="HTML_CodePage" hidden="1">1252</definedName>
    <definedName name="HTML_Control" localSheetId="6" hidden="1">{"'beneficiarios'!$A$1:$C$7"}</definedName>
    <definedName name="HTML_Control" localSheetId="3" hidden="1">{"'beneficiarios'!$A$1:$C$7"}</definedName>
    <definedName name="HTML_Control" localSheetId="2" hidden="1">{"'beneficiarios'!$A$1:$C$7"}</definedName>
    <definedName name="HTML_Control" localSheetId="5" hidden="1">{"'beneficiarios'!$A$1:$C$7"}</definedName>
    <definedName name="HTML_Control" localSheetId="1" hidden="1">{"'beneficiarios'!$A$1:$C$7"}</definedName>
    <definedName name="HTML_Control" localSheetId="0" hidden="1">{"'beneficiarios'!$A$1:$C$7"}</definedName>
    <definedName name="HTML_Control" localSheetId="4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6" hidden="1">{"'beneficiarios'!$A$1:$C$7"}</definedName>
    <definedName name="INDICADORES" localSheetId="3" hidden="1">{"'beneficiarios'!$A$1:$C$7"}</definedName>
    <definedName name="INDICADORES" localSheetId="2" hidden="1">{"'beneficiarios'!$A$1:$C$7"}</definedName>
    <definedName name="INDICADORES" localSheetId="5" hidden="1">{"'beneficiarios'!$A$1:$C$7"}</definedName>
    <definedName name="INDICADORES" localSheetId="1" hidden="1">{"'beneficiarios'!$A$1:$C$7"}</definedName>
    <definedName name="INDICADORES" localSheetId="0" hidden="1">{"'beneficiarios'!$A$1:$C$7"}</definedName>
    <definedName name="INDICADORES" localSheetId="4" hidden="1">{"'beneficiarios'!$A$1:$C$7"}</definedName>
    <definedName name="INDICADORES" hidden="1">{"'beneficiarios'!$A$1:$C$7"}</definedName>
    <definedName name="ingresofederales" localSheetId="6" hidden="1">{"'beneficiarios'!$A$1:$C$7"}</definedName>
    <definedName name="ingresofederales" localSheetId="3" hidden="1">{"'beneficiarios'!$A$1:$C$7"}</definedName>
    <definedName name="ingresofederales" localSheetId="2" hidden="1">{"'beneficiarios'!$A$1:$C$7"}</definedName>
    <definedName name="ingresofederales" localSheetId="5" hidden="1">{"'beneficiarios'!$A$1:$C$7"}</definedName>
    <definedName name="ingresofederales" localSheetId="1" hidden="1">{"'beneficiarios'!$A$1:$C$7"}</definedName>
    <definedName name="ingresofederales" localSheetId="0" hidden="1">{"'beneficiarios'!$A$1:$C$7"}</definedName>
    <definedName name="ingresofederales" localSheetId="4" hidden="1">{"'beneficiarios'!$A$1:$C$7"}</definedName>
    <definedName name="ingresofederales" hidden="1">{"'beneficiarios'!$A$1:$C$7"}</definedName>
    <definedName name="MUNICIPIOS" localSheetId="6">[3]IMPORTE!$A$3:$A$53</definedName>
    <definedName name="MUNICIPIOS" localSheetId="3" hidden="1">{"'beneficiarios'!$A$1:$C$7"}</definedName>
    <definedName name="MUNICIPIOS" localSheetId="2" hidden="1">{"'beneficiarios'!$A$1:$C$7"}</definedName>
    <definedName name="MUNICIPIOS" localSheetId="5" hidden="1">{"'beneficiarios'!$A$1:$C$7"}</definedName>
    <definedName name="MUNICIPIOS" localSheetId="4" hidden="1">{"'beneficiarios'!$A$1:$C$7"}</definedName>
    <definedName name="MUNICIPIOS" hidden="1">{"'beneficiarios'!$A$1:$C$7"}</definedName>
    <definedName name="Notas_Fto_1" localSheetId="6">#REF!</definedName>
    <definedName name="Notas_Fto_1" localSheetId="3">#REF!</definedName>
    <definedName name="Notas_Fto_1" localSheetId="2">#REF!</definedName>
    <definedName name="Notas_Fto_1" localSheetId="5">#REF!</definedName>
    <definedName name="Notas_Fto_1" localSheetId="1">#REF!</definedName>
    <definedName name="Notas_Fto_1" localSheetId="0">#REF!</definedName>
    <definedName name="Notas_Fto_1" localSheetId="4">#REF!</definedName>
    <definedName name="Notas_Fto_1">#REF!</definedName>
    <definedName name="Partidas">[4]TECHO!$B$1:$Q$2798</definedName>
    <definedName name="SINAJUSTE" localSheetId="6" hidden="1">{"'beneficiarios'!$A$1:$C$7"}</definedName>
    <definedName name="SINAJUSTE" localSheetId="3" hidden="1">{"'beneficiarios'!$A$1:$C$7"}</definedName>
    <definedName name="SINAJUSTE" localSheetId="2" hidden="1">{"'beneficiarios'!$A$1:$C$7"}</definedName>
    <definedName name="SINAJUSTE" localSheetId="5" hidden="1">{"'beneficiarios'!$A$1:$C$7"}</definedName>
    <definedName name="SINAJUSTE" localSheetId="1" hidden="1">{"'beneficiarios'!$A$1:$C$7"}</definedName>
    <definedName name="SINAJUSTE" localSheetId="0" hidden="1">{"'beneficiarios'!$A$1:$C$7"}</definedName>
    <definedName name="SINAJUSTE" localSheetId="4" hidden="1">{"'beneficiarios'!$A$1:$C$7"}</definedName>
    <definedName name="SINAJUSTE" hidden="1">{"'beneficiarios'!$A$1:$C$7"}</definedName>
    <definedName name="t" localSheetId="6">#REF!</definedName>
    <definedName name="t" localSheetId="3">#REF!</definedName>
    <definedName name="t" localSheetId="2">#REF!</definedName>
    <definedName name="t" localSheetId="5">#REF!</definedName>
    <definedName name="t" localSheetId="1">#REF!</definedName>
    <definedName name="t" localSheetId="0">#REF!</definedName>
    <definedName name="t" localSheetId="4">#REF!</definedName>
    <definedName name="t">#REF!</definedName>
    <definedName name="_xlnm.Print_Titles" localSheetId="2">'COEF Art 14 F I '!$B:$B,'COEF Art 14 F I '!$3:$3</definedName>
    <definedName name="_xlnm.Print_Titles" localSheetId="1">'DIST JUNIO'!$1:$2</definedName>
    <definedName name="TOT" localSheetId="6">#REF!</definedName>
    <definedName name="TOT" localSheetId="3">#REF!</definedName>
    <definedName name="TOT" localSheetId="2">#REF!</definedName>
    <definedName name="TOT" localSheetId="5">#REF!</definedName>
    <definedName name="TOT" localSheetId="1">#REF!</definedName>
    <definedName name="TOT" localSheetId="0">#REF!</definedName>
    <definedName name="TOT" localSheetId="4">#REF!</definedName>
    <definedName name="TOT">#REF!</definedName>
    <definedName name="TOTAL" localSheetId="6">#REF!</definedName>
    <definedName name="TOTAL" localSheetId="3">#REF!</definedName>
    <definedName name="TOTAL" localSheetId="2">#REF!</definedName>
    <definedName name="TOTAL" localSheetId="5">#REF!</definedName>
    <definedName name="TOTAL" localSheetId="1">#REF!</definedName>
    <definedName name="TOTAL" localSheetId="0">#REF!</definedName>
    <definedName name="TOTAL" localSheetId="4">#REF!</definedName>
    <definedName name="TOTAL">#REF!</definedName>
    <definedName name="UNO" localSheetId="5">#REF!</definedName>
    <definedName name="UNO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7" i="46" l="1"/>
  <c r="N56" i="46"/>
  <c r="N55" i="46"/>
  <c r="N54" i="46"/>
  <c r="N53" i="46"/>
  <c r="N52" i="46"/>
  <c r="N51" i="46"/>
  <c r="N50" i="46"/>
  <c r="N49" i="46"/>
  <c r="N48" i="46"/>
  <c r="N47" i="46"/>
  <c r="N46" i="46"/>
  <c r="N45" i="46"/>
  <c r="N44" i="46"/>
  <c r="N43" i="46"/>
  <c r="N42" i="46"/>
  <c r="N41" i="46"/>
  <c r="N40" i="46"/>
  <c r="N39" i="46"/>
  <c r="N38" i="46"/>
  <c r="N37" i="46"/>
  <c r="N36" i="46"/>
  <c r="N35" i="46"/>
  <c r="N34" i="46"/>
  <c r="N33" i="46"/>
  <c r="N32" i="46"/>
  <c r="N31" i="46"/>
  <c r="N30" i="46"/>
  <c r="N29" i="46"/>
  <c r="N28" i="46"/>
  <c r="N27" i="46"/>
  <c r="N26" i="46"/>
  <c r="N25" i="46"/>
  <c r="N24" i="46"/>
  <c r="N23" i="46"/>
  <c r="N22" i="46"/>
  <c r="N21" i="46"/>
  <c r="N20" i="46"/>
  <c r="N19" i="46"/>
  <c r="N18" i="46"/>
  <c r="N17" i="46"/>
  <c r="N16" i="46"/>
  <c r="N15" i="46"/>
  <c r="N14" i="46"/>
  <c r="N13" i="46"/>
  <c r="N12" i="46"/>
  <c r="N11" i="46"/>
  <c r="N10" i="46"/>
  <c r="N9" i="46"/>
  <c r="N8" i="46"/>
  <c r="N7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Q125" i="55"/>
  <c r="Q124" i="55"/>
  <c r="Q123" i="55"/>
  <c r="Q122" i="55"/>
  <c r="Q121" i="55"/>
  <c r="Q120" i="55"/>
  <c r="Q119" i="55"/>
  <c r="Q118" i="55"/>
  <c r="Q117" i="55"/>
  <c r="Q116" i="55"/>
  <c r="Q115" i="55"/>
  <c r="Q114" i="55"/>
  <c r="Q113" i="55"/>
  <c r="Q112" i="55"/>
  <c r="Q111" i="55"/>
  <c r="Q110" i="55"/>
  <c r="Q109" i="55"/>
  <c r="Q108" i="55"/>
  <c r="Q107" i="55"/>
  <c r="Q106" i="55"/>
  <c r="Q105" i="55"/>
  <c r="Q104" i="55"/>
  <c r="Q103" i="55"/>
  <c r="Q102" i="55"/>
  <c r="Q101" i="55"/>
  <c r="Q100" i="55"/>
  <c r="Q99" i="55"/>
  <c r="Q98" i="55"/>
  <c r="Q97" i="55"/>
  <c r="Q96" i="55"/>
  <c r="Q95" i="55"/>
  <c r="Q94" i="55"/>
  <c r="Q93" i="55"/>
  <c r="Q92" i="55"/>
  <c r="Q91" i="55"/>
  <c r="Q90" i="55"/>
  <c r="Q89" i="55"/>
  <c r="Q88" i="55"/>
  <c r="Q87" i="55"/>
  <c r="Q86" i="55"/>
  <c r="Q85" i="55"/>
  <c r="Q84" i="55"/>
  <c r="Q83" i="55"/>
  <c r="Q82" i="55"/>
  <c r="Q81" i="55"/>
  <c r="Q80" i="55"/>
  <c r="Q79" i="55"/>
  <c r="Q78" i="55"/>
  <c r="Q77" i="55"/>
  <c r="Q76" i="55"/>
  <c r="Q75" i="55"/>
  <c r="M125" i="55"/>
  <c r="M124" i="55"/>
  <c r="M123" i="55"/>
  <c r="M122" i="55"/>
  <c r="M121" i="55"/>
  <c r="M120" i="55"/>
  <c r="M119" i="55"/>
  <c r="M118" i="55"/>
  <c r="M117" i="55"/>
  <c r="M116" i="55"/>
  <c r="M115" i="55"/>
  <c r="M114" i="55"/>
  <c r="M113" i="55"/>
  <c r="M112" i="55"/>
  <c r="M111" i="55"/>
  <c r="M110" i="55"/>
  <c r="M109" i="55"/>
  <c r="M108" i="55"/>
  <c r="M107" i="55"/>
  <c r="M106" i="55"/>
  <c r="M105" i="55"/>
  <c r="M104" i="55"/>
  <c r="M103" i="55"/>
  <c r="M102" i="55"/>
  <c r="M101" i="55"/>
  <c r="M100" i="55"/>
  <c r="M99" i="55"/>
  <c r="M98" i="55"/>
  <c r="M97" i="55"/>
  <c r="M96" i="55"/>
  <c r="M95" i="55"/>
  <c r="M94" i="55"/>
  <c r="M93" i="55"/>
  <c r="M92" i="55"/>
  <c r="M91" i="55"/>
  <c r="M90" i="55"/>
  <c r="M89" i="55"/>
  <c r="M88" i="55"/>
  <c r="M87" i="55"/>
  <c r="M86" i="55"/>
  <c r="M85" i="55"/>
  <c r="M84" i="55"/>
  <c r="M83" i="55"/>
  <c r="M82" i="55"/>
  <c r="M81" i="55"/>
  <c r="M80" i="55"/>
  <c r="M79" i="55"/>
  <c r="M78" i="55"/>
  <c r="M77" i="55"/>
  <c r="M76" i="55"/>
  <c r="M75" i="55"/>
  <c r="N125" i="55"/>
  <c r="N124" i="55"/>
  <c r="N123" i="55"/>
  <c r="N122" i="55"/>
  <c r="N121" i="55"/>
  <c r="N120" i="55"/>
  <c r="N119" i="55"/>
  <c r="N118" i="55"/>
  <c r="N117" i="55"/>
  <c r="N116" i="55"/>
  <c r="N115" i="55"/>
  <c r="N114" i="55"/>
  <c r="N113" i="55"/>
  <c r="N112" i="55"/>
  <c r="N111" i="55"/>
  <c r="N110" i="55"/>
  <c r="N109" i="55"/>
  <c r="N108" i="55"/>
  <c r="N107" i="55"/>
  <c r="N106" i="55"/>
  <c r="N105" i="55"/>
  <c r="N104" i="55"/>
  <c r="N103" i="55"/>
  <c r="N102" i="55"/>
  <c r="N101" i="55"/>
  <c r="N100" i="55"/>
  <c r="N99" i="55"/>
  <c r="N98" i="55"/>
  <c r="N97" i="55"/>
  <c r="N96" i="55"/>
  <c r="N95" i="55"/>
  <c r="N94" i="55"/>
  <c r="N93" i="55"/>
  <c r="N92" i="55"/>
  <c r="N91" i="55"/>
  <c r="N90" i="55"/>
  <c r="N89" i="55"/>
  <c r="N88" i="55"/>
  <c r="N87" i="55"/>
  <c r="N86" i="55"/>
  <c r="N85" i="55"/>
  <c r="N84" i="55"/>
  <c r="N83" i="55"/>
  <c r="N82" i="55"/>
  <c r="N81" i="55"/>
  <c r="N80" i="55"/>
  <c r="N79" i="55"/>
  <c r="N78" i="55"/>
  <c r="N77" i="55"/>
  <c r="N76" i="55"/>
  <c r="N75" i="55"/>
  <c r="O125" i="55"/>
  <c r="O124" i="55"/>
  <c r="O123" i="55"/>
  <c r="O122" i="55"/>
  <c r="O121" i="55"/>
  <c r="O120" i="55"/>
  <c r="O119" i="55"/>
  <c r="O118" i="55"/>
  <c r="O117" i="55"/>
  <c r="O116" i="55"/>
  <c r="O115" i="55"/>
  <c r="O114" i="55"/>
  <c r="O113" i="55"/>
  <c r="O112" i="55"/>
  <c r="O111" i="55"/>
  <c r="O110" i="55"/>
  <c r="O109" i="55"/>
  <c r="O108" i="55"/>
  <c r="O107" i="55"/>
  <c r="O106" i="55"/>
  <c r="O105" i="55"/>
  <c r="O104" i="55"/>
  <c r="O103" i="55"/>
  <c r="O102" i="55"/>
  <c r="O101" i="55"/>
  <c r="O100" i="55"/>
  <c r="O99" i="55"/>
  <c r="O98" i="55"/>
  <c r="O97" i="55"/>
  <c r="O96" i="55"/>
  <c r="O95" i="55"/>
  <c r="O94" i="55"/>
  <c r="O93" i="55"/>
  <c r="O92" i="55"/>
  <c r="O91" i="55"/>
  <c r="O90" i="55"/>
  <c r="O89" i="55"/>
  <c r="O88" i="55"/>
  <c r="O87" i="55"/>
  <c r="O86" i="55"/>
  <c r="O85" i="55"/>
  <c r="O84" i="55"/>
  <c r="O83" i="55"/>
  <c r="O82" i="55"/>
  <c r="O81" i="55"/>
  <c r="O80" i="55"/>
  <c r="O79" i="55"/>
  <c r="O78" i="55"/>
  <c r="O77" i="55"/>
  <c r="O76" i="55"/>
  <c r="O75" i="55"/>
  <c r="J125" i="55"/>
  <c r="J124" i="55"/>
  <c r="J123" i="55"/>
  <c r="J122" i="55"/>
  <c r="J121" i="55"/>
  <c r="J120" i="55"/>
  <c r="J119" i="55"/>
  <c r="J118" i="55"/>
  <c r="J117" i="55"/>
  <c r="J116" i="55"/>
  <c r="J115" i="55"/>
  <c r="J114" i="55"/>
  <c r="J113" i="55"/>
  <c r="J112" i="55"/>
  <c r="J111" i="55"/>
  <c r="J110" i="55"/>
  <c r="J109" i="55"/>
  <c r="J108" i="55"/>
  <c r="J107" i="55"/>
  <c r="J106" i="55"/>
  <c r="J105" i="55"/>
  <c r="J104" i="55"/>
  <c r="J103" i="55"/>
  <c r="J102" i="55"/>
  <c r="J101" i="55"/>
  <c r="J100" i="55"/>
  <c r="J99" i="55"/>
  <c r="J98" i="55"/>
  <c r="J97" i="55"/>
  <c r="J96" i="55"/>
  <c r="J95" i="55"/>
  <c r="J94" i="55"/>
  <c r="J93" i="55"/>
  <c r="J92" i="55"/>
  <c r="J91" i="55"/>
  <c r="J90" i="55"/>
  <c r="J89" i="55"/>
  <c r="J88" i="55"/>
  <c r="J87" i="55"/>
  <c r="J86" i="55"/>
  <c r="J85" i="55"/>
  <c r="J84" i="55"/>
  <c r="J83" i="55"/>
  <c r="J82" i="55"/>
  <c r="J81" i="55"/>
  <c r="J80" i="55"/>
  <c r="J79" i="55"/>
  <c r="J78" i="55"/>
  <c r="J77" i="55"/>
  <c r="J76" i="55"/>
  <c r="J75" i="55"/>
  <c r="I125" i="55"/>
  <c r="I124" i="55"/>
  <c r="I123" i="55"/>
  <c r="I122" i="55"/>
  <c r="I121" i="55"/>
  <c r="I120" i="55"/>
  <c r="I119" i="55"/>
  <c r="I118" i="55"/>
  <c r="I117" i="55"/>
  <c r="I116" i="55"/>
  <c r="I115" i="55"/>
  <c r="I114" i="55"/>
  <c r="I113" i="55"/>
  <c r="I112" i="55"/>
  <c r="I111" i="55"/>
  <c r="I110" i="55"/>
  <c r="I109" i="55"/>
  <c r="I108" i="55"/>
  <c r="I107" i="55"/>
  <c r="I106" i="55"/>
  <c r="I105" i="55"/>
  <c r="I104" i="55"/>
  <c r="I103" i="55"/>
  <c r="I102" i="55"/>
  <c r="I101" i="55"/>
  <c r="I100" i="55"/>
  <c r="I99" i="55"/>
  <c r="I98" i="55"/>
  <c r="I97" i="55"/>
  <c r="I96" i="55"/>
  <c r="I95" i="55"/>
  <c r="I94" i="55"/>
  <c r="I93" i="55"/>
  <c r="I92" i="55"/>
  <c r="I91" i="55"/>
  <c r="I90" i="55"/>
  <c r="I89" i="55"/>
  <c r="I88" i="55"/>
  <c r="I87" i="55"/>
  <c r="I86" i="55"/>
  <c r="I85" i="55"/>
  <c r="I84" i="55"/>
  <c r="I83" i="55"/>
  <c r="I82" i="55"/>
  <c r="I81" i="55"/>
  <c r="I80" i="55"/>
  <c r="I79" i="55"/>
  <c r="I78" i="55"/>
  <c r="I77" i="55"/>
  <c r="I76" i="55"/>
  <c r="I75" i="55"/>
  <c r="E125" i="55"/>
  <c r="E124" i="55"/>
  <c r="E123" i="55"/>
  <c r="E122" i="55"/>
  <c r="E121" i="55"/>
  <c r="E120" i="55"/>
  <c r="E119" i="55"/>
  <c r="E118" i="55"/>
  <c r="E117" i="55"/>
  <c r="E116" i="55"/>
  <c r="E115" i="55"/>
  <c r="E114" i="55"/>
  <c r="E113" i="55"/>
  <c r="E112" i="55"/>
  <c r="E111" i="55"/>
  <c r="E110" i="55"/>
  <c r="E109" i="55"/>
  <c r="E108" i="55"/>
  <c r="E107" i="55"/>
  <c r="E106" i="55"/>
  <c r="E105" i="55"/>
  <c r="E104" i="55"/>
  <c r="E103" i="55"/>
  <c r="E102" i="55"/>
  <c r="E101" i="55"/>
  <c r="E100" i="55"/>
  <c r="E99" i="55"/>
  <c r="E98" i="55"/>
  <c r="E97" i="55"/>
  <c r="E96" i="55"/>
  <c r="E95" i="55"/>
  <c r="E94" i="55"/>
  <c r="E93" i="55"/>
  <c r="E92" i="55"/>
  <c r="E91" i="55"/>
  <c r="E90" i="55"/>
  <c r="E89" i="55"/>
  <c r="E88" i="55"/>
  <c r="E87" i="55"/>
  <c r="E86" i="55"/>
  <c r="E85" i="55"/>
  <c r="E84" i="55"/>
  <c r="E83" i="55"/>
  <c r="E82" i="55"/>
  <c r="E81" i="55"/>
  <c r="E80" i="55"/>
  <c r="E79" i="55"/>
  <c r="E78" i="55"/>
  <c r="E77" i="55"/>
  <c r="E76" i="55"/>
  <c r="E75" i="55"/>
  <c r="F126" i="55"/>
  <c r="C126" i="55"/>
  <c r="B126" i="55"/>
  <c r="G125" i="55"/>
  <c r="H125" i="55" s="1"/>
  <c r="D125" i="55"/>
  <c r="H124" i="55"/>
  <c r="G124" i="55"/>
  <c r="D124" i="55"/>
  <c r="G123" i="55"/>
  <c r="H123" i="55" s="1"/>
  <c r="D123" i="55"/>
  <c r="G122" i="55"/>
  <c r="H122" i="55" s="1"/>
  <c r="D122" i="55"/>
  <c r="H121" i="55"/>
  <c r="G121" i="55"/>
  <c r="D121" i="55"/>
  <c r="H120" i="55"/>
  <c r="G120" i="55"/>
  <c r="D120" i="55"/>
  <c r="G119" i="55"/>
  <c r="H119" i="55" s="1"/>
  <c r="D119" i="55"/>
  <c r="G118" i="55"/>
  <c r="H118" i="55" s="1"/>
  <c r="D118" i="55"/>
  <c r="H117" i="55"/>
  <c r="G117" i="55"/>
  <c r="D117" i="55"/>
  <c r="G116" i="55"/>
  <c r="H116" i="55" s="1"/>
  <c r="D116" i="55"/>
  <c r="G115" i="55"/>
  <c r="H115" i="55" s="1"/>
  <c r="D115" i="55"/>
  <c r="H114" i="55"/>
  <c r="G114" i="55"/>
  <c r="D114" i="55"/>
  <c r="G113" i="55"/>
  <c r="H113" i="55" s="1"/>
  <c r="D113" i="55"/>
  <c r="H112" i="55"/>
  <c r="G112" i="55"/>
  <c r="D112" i="55"/>
  <c r="G111" i="55"/>
  <c r="H111" i="55" s="1"/>
  <c r="D111" i="55"/>
  <c r="G110" i="55"/>
  <c r="H110" i="55" s="1"/>
  <c r="D110" i="55"/>
  <c r="H109" i="55"/>
  <c r="G109" i="55"/>
  <c r="D109" i="55"/>
  <c r="H108" i="55"/>
  <c r="G108" i="55"/>
  <c r="D108" i="55"/>
  <c r="G107" i="55"/>
  <c r="H107" i="55" s="1"/>
  <c r="D107" i="55"/>
  <c r="G106" i="55"/>
  <c r="H106" i="55" s="1"/>
  <c r="D106" i="55"/>
  <c r="G105" i="55"/>
  <c r="H105" i="55" s="1"/>
  <c r="D105" i="55"/>
  <c r="G104" i="55"/>
  <c r="H104" i="55" s="1"/>
  <c r="D104" i="55"/>
  <c r="G103" i="55"/>
  <c r="H103" i="55" s="1"/>
  <c r="D103" i="55"/>
  <c r="H102" i="55"/>
  <c r="G102" i="55"/>
  <c r="D102" i="55"/>
  <c r="G101" i="55"/>
  <c r="H101" i="55" s="1"/>
  <c r="D101" i="55"/>
  <c r="H100" i="55"/>
  <c r="G100" i="55"/>
  <c r="D100" i="55"/>
  <c r="G99" i="55"/>
  <c r="H99" i="55" s="1"/>
  <c r="D99" i="55"/>
  <c r="G98" i="55"/>
  <c r="H98" i="55" s="1"/>
  <c r="D98" i="55"/>
  <c r="H97" i="55"/>
  <c r="G97" i="55"/>
  <c r="D97" i="55"/>
  <c r="H96" i="55"/>
  <c r="G96" i="55"/>
  <c r="D96" i="55"/>
  <c r="G95" i="55"/>
  <c r="H95" i="55" s="1"/>
  <c r="D95" i="55"/>
  <c r="H94" i="55"/>
  <c r="G94" i="55"/>
  <c r="D94" i="55"/>
  <c r="G93" i="55"/>
  <c r="H93" i="55" s="1"/>
  <c r="D93" i="55"/>
  <c r="G92" i="55"/>
  <c r="H92" i="55" s="1"/>
  <c r="D92" i="55"/>
  <c r="G91" i="55"/>
  <c r="H91" i="55" s="1"/>
  <c r="D91" i="55"/>
  <c r="H90" i="55"/>
  <c r="G90" i="55"/>
  <c r="D90" i="55"/>
  <c r="G89" i="55"/>
  <c r="H89" i="55" s="1"/>
  <c r="D89" i="55"/>
  <c r="H88" i="55"/>
  <c r="G88" i="55"/>
  <c r="D88" i="55"/>
  <c r="G87" i="55"/>
  <c r="H87" i="55" s="1"/>
  <c r="D87" i="55"/>
  <c r="G86" i="55"/>
  <c r="H86" i="55" s="1"/>
  <c r="D86" i="55"/>
  <c r="H85" i="55"/>
  <c r="G85" i="55"/>
  <c r="D85" i="55"/>
  <c r="H84" i="55"/>
  <c r="G84" i="55"/>
  <c r="D84" i="55"/>
  <c r="G83" i="55"/>
  <c r="H83" i="55" s="1"/>
  <c r="D83" i="55"/>
  <c r="H82" i="55"/>
  <c r="G82" i="55"/>
  <c r="D82" i="55"/>
  <c r="G81" i="55"/>
  <c r="H81" i="55" s="1"/>
  <c r="D81" i="55"/>
  <c r="G80" i="55"/>
  <c r="H80" i="55" s="1"/>
  <c r="D80" i="55"/>
  <c r="G79" i="55"/>
  <c r="H79" i="55" s="1"/>
  <c r="D79" i="55"/>
  <c r="H78" i="55"/>
  <c r="G78" i="55"/>
  <c r="D78" i="55"/>
  <c r="G77" i="55"/>
  <c r="H77" i="55" s="1"/>
  <c r="D77" i="55"/>
  <c r="H76" i="55"/>
  <c r="G76" i="55"/>
  <c r="D76" i="55"/>
  <c r="G75" i="55"/>
  <c r="H75" i="55" s="1"/>
  <c r="D75" i="55"/>
  <c r="O73" i="55"/>
  <c r="N73" i="55"/>
  <c r="M73" i="55"/>
  <c r="J126" i="55" l="1"/>
  <c r="P93" i="55"/>
  <c r="P96" i="55"/>
  <c r="P117" i="55"/>
  <c r="P85" i="55"/>
  <c r="P115" i="55"/>
  <c r="P76" i="55"/>
  <c r="P82" i="55"/>
  <c r="P94" i="55"/>
  <c r="P118" i="55"/>
  <c r="P124" i="55"/>
  <c r="P106" i="55"/>
  <c r="P100" i="55"/>
  <c r="P112" i="55"/>
  <c r="P77" i="55"/>
  <c r="P83" i="55"/>
  <c r="P86" i="55"/>
  <c r="P95" i="55"/>
  <c r="P119" i="55"/>
  <c r="P122" i="55"/>
  <c r="P125" i="55"/>
  <c r="P120" i="55"/>
  <c r="P80" i="55"/>
  <c r="P90" i="55"/>
  <c r="P91" i="55"/>
  <c r="P81" i="55"/>
  <c r="P89" i="55"/>
  <c r="P99" i="55"/>
  <c r="P123" i="55"/>
  <c r="P109" i="55"/>
  <c r="P121" i="55"/>
  <c r="P97" i="55"/>
  <c r="P84" i="55"/>
  <c r="P103" i="55"/>
  <c r="O126" i="55"/>
  <c r="P107" i="55"/>
  <c r="P102" i="55"/>
  <c r="P108" i="55"/>
  <c r="P92" i="55"/>
  <c r="P116" i="55"/>
  <c r="P79" i="55"/>
  <c r="P110" i="55"/>
  <c r="P113" i="55"/>
  <c r="P114" i="55"/>
  <c r="H126" i="55"/>
  <c r="E126" i="55"/>
  <c r="P88" i="55"/>
  <c r="P98" i="55"/>
  <c r="P101" i="55"/>
  <c r="P104" i="55"/>
  <c r="D126" i="55"/>
  <c r="N58" i="46"/>
  <c r="P105" i="55" l="1"/>
  <c r="P78" i="55"/>
  <c r="P111" i="55"/>
  <c r="P87" i="55"/>
  <c r="M126" i="55"/>
  <c r="N126" i="55"/>
  <c r="I126" i="55"/>
  <c r="C13" i="41"/>
  <c r="C12" i="41"/>
  <c r="C11" i="41"/>
  <c r="C9" i="41"/>
  <c r="C8" i="41"/>
  <c r="C7" i="41"/>
  <c r="C6" i="41"/>
  <c r="C5" i="41"/>
  <c r="C4" i="41"/>
  <c r="P75" i="55" l="1"/>
  <c r="P126" i="55" l="1"/>
  <c r="Q126" i="55"/>
  <c r="G58" i="65" l="1"/>
  <c r="G57" i="65"/>
  <c r="G56" i="65"/>
  <c r="G55" i="65"/>
  <c r="G54" i="65"/>
  <c r="G53" i="65"/>
  <c r="G52" i="65"/>
  <c r="G51" i="65"/>
  <c r="G50" i="65"/>
  <c r="G49" i="65"/>
  <c r="G48" i="65"/>
  <c r="G47" i="65"/>
  <c r="G46" i="65"/>
  <c r="G45" i="65"/>
  <c r="G44" i="65"/>
  <c r="G43" i="65"/>
  <c r="G42" i="65"/>
  <c r="G41" i="65"/>
  <c r="G40" i="65"/>
  <c r="G39" i="65"/>
  <c r="G38" i="65"/>
  <c r="G37" i="65"/>
  <c r="G36" i="65"/>
  <c r="G35" i="65"/>
  <c r="G34" i="65"/>
  <c r="G33" i="65"/>
  <c r="G32" i="65"/>
  <c r="G31" i="65"/>
  <c r="G30" i="65"/>
  <c r="G29" i="65"/>
  <c r="G28" i="65"/>
  <c r="G27" i="65"/>
  <c r="G26" i="65"/>
  <c r="G25" i="65"/>
  <c r="G24" i="65"/>
  <c r="G23" i="65"/>
  <c r="G22" i="65"/>
  <c r="G21" i="65"/>
  <c r="G20" i="65"/>
  <c r="G19" i="65"/>
  <c r="G18" i="65"/>
  <c r="G17" i="65"/>
  <c r="G16" i="65"/>
  <c r="G15" i="65"/>
  <c r="G14" i="65"/>
  <c r="G13" i="65"/>
  <c r="G12" i="65"/>
  <c r="G11" i="65"/>
  <c r="G10" i="65"/>
  <c r="G9" i="65"/>
  <c r="G8" i="65"/>
  <c r="P49" i="46" l="1"/>
  <c r="P47" i="46"/>
  <c r="P45" i="46"/>
  <c r="P44" i="46"/>
  <c r="P43" i="46"/>
  <c r="P42" i="46"/>
  <c r="P40" i="46"/>
  <c r="P32" i="46"/>
  <c r="P31" i="46"/>
  <c r="P30" i="46"/>
  <c r="P27" i="46"/>
  <c r="P26" i="46"/>
  <c r="P25" i="46"/>
  <c r="P16" i="46"/>
  <c r="P15" i="46"/>
  <c r="P14" i="46"/>
  <c r="P13" i="46"/>
  <c r="P11" i="46"/>
  <c r="P9" i="46"/>
  <c r="P8" i="46"/>
  <c r="P5" i="41"/>
  <c r="R4" i="41"/>
  <c r="R5" i="41" s="1"/>
  <c r="D56" i="54"/>
  <c r="D55" i="54"/>
  <c r="D54" i="54"/>
  <c r="D53" i="54"/>
  <c r="D52" i="54"/>
  <c r="D51" i="54"/>
  <c r="D50" i="54"/>
  <c r="D49" i="54"/>
  <c r="D48" i="54"/>
  <c r="D47" i="54"/>
  <c r="D46" i="54"/>
  <c r="D45" i="54"/>
  <c r="D44" i="54"/>
  <c r="D43" i="54"/>
  <c r="D42" i="54"/>
  <c r="D41" i="54"/>
  <c r="D40" i="54"/>
  <c r="D39" i="54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P56" i="46" l="1"/>
  <c r="P28" i="46"/>
  <c r="P57" i="46"/>
  <c r="P18" i="46"/>
  <c r="P50" i="46"/>
  <c r="P19" i="46"/>
  <c r="P35" i="46"/>
  <c r="P51" i="46"/>
  <c r="P33" i="46"/>
  <c r="P20" i="46"/>
  <c r="P52" i="46"/>
  <c r="P21" i="46"/>
  <c r="P38" i="46"/>
  <c r="P54" i="46"/>
  <c r="P37" i="46"/>
  <c r="P7" i="46"/>
  <c r="P23" i="46"/>
  <c r="P39" i="46"/>
  <c r="P55" i="46"/>
  <c r="P17" i="46"/>
  <c r="P29" i="46"/>
  <c r="P41" i="46"/>
  <c r="P53" i="46"/>
  <c r="P10" i="46"/>
  <c r="P22" i="46"/>
  <c r="P34" i="46"/>
  <c r="P46" i="46"/>
  <c r="P12" i="46"/>
  <c r="P24" i="46"/>
  <c r="P36" i="46"/>
  <c r="P48" i="46"/>
  <c r="P58" i="46" l="1"/>
  <c r="L13" i="41"/>
  <c r="N13" i="41" s="1"/>
  <c r="L12" i="41"/>
  <c r="N12" i="41" s="1"/>
  <c r="N11" i="41"/>
  <c r="L9" i="41"/>
  <c r="N9" i="41" s="1"/>
  <c r="L8" i="41"/>
  <c r="N8" i="41" s="1"/>
  <c r="N7" i="41"/>
  <c r="N6" i="41"/>
  <c r="N5" i="41"/>
  <c r="N4" i="41"/>
  <c r="L10" i="41" l="1"/>
  <c r="L14" i="41"/>
  <c r="N14" i="41"/>
  <c r="L15" i="41"/>
  <c r="O40" i="46"/>
  <c r="O27" i="46"/>
  <c r="O28" i="46"/>
  <c r="O50" i="46"/>
  <c r="O38" i="46"/>
  <c r="O26" i="46"/>
  <c r="O14" i="46"/>
  <c r="O49" i="46"/>
  <c r="O37" i="46"/>
  <c r="O25" i="46"/>
  <c r="O13" i="46"/>
  <c r="O48" i="46"/>
  <c r="O36" i="46"/>
  <c r="O24" i="46"/>
  <c r="O12" i="46"/>
  <c r="O47" i="46"/>
  <c r="O35" i="46"/>
  <c r="O11" i="46"/>
  <c r="O31" i="46"/>
  <c r="O51" i="46"/>
  <c r="O23" i="46"/>
  <c r="O19" i="46"/>
  <c r="O15" i="46"/>
  <c r="O46" i="46"/>
  <c r="O34" i="46"/>
  <c r="O22" i="46"/>
  <c r="O10" i="46"/>
  <c r="O44" i="46"/>
  <c r="O43" i="46"/>
  <c r="O7" i="46"/>
  <c r="O39" i="46"/>
  <c r="O57" i="46"/>
  <c r="O45" i="46"/>
  <c r="O33" i="46"/>
  <c r="O21" i="46"/>
  <c r="O9" i="46"/>
  <c r="O56" i="46"/>
  <c r="O20" i="46"/>
  <c r="O8" i="46"/>
  <c r="O55" i="46"/>
  <c r="O32" i="46"/>
  <c r="O54" i="46"/>
  <c r="O42" i="46"/>
  <c r="O30" i="46"/>
  <c r="O18" i="46"/>
  <c r="O53" i="46"/>
  <c r="O41" i="46"/>
  <c r="O29" i="46"/>
  <c r="O17" i="46"/>
  <c r="O52" i="46"/>
  <c r="O16" i="46"/>
  <c r="M44" i="46"/>
  <c r="M43" i="46"/>
  <c r="M19" i="46"/>
  <c r="M42" i="46"/>
  <c r="M17" i="46"/>
  <c r="M52" i="46"/>
  <c r="M40" i="46"/>
  <c r="M28" i="46"/>
  <c r="M16" i="46"/>
  <c r="M51" i="46"/>
  <c r="M39" i="46"/>
  <c r="M27" i="46"/>
  <c r="M15" i="46"/>
  <c r="M22" i="46"/>
  <c r="M30" i="46"/>
  <c r="M50" i="46"/>
  <c r="M38" i="46"/>
  <c r="M26" i="46"/>
  <c r="M14" i="46"/>
  <c r="M49" i="46"/>
  <c r="M25" i="46"/>
  <c r="M13" i="46"/>
  <c r="M35" i="46"/>
  <c r="M11" i="46"/>
  <c r="M10" i="46"/>
  <c r="M29" i="46"/>
  <c r="M37" i="46"/>
  <c r="M34" i="46"/>
  <c r="M53" i="46"/>
  <c r="M48" i="46"/>
  <c r="M36" i="46"/>
  <c r="M24" i="46"/>
  <c r="M12" i="46"/>
  <c r="M47" i="46"/>
  <c r="M23" i="46"/>
  <c r="M46" i="46"/>
  <c r="M54" i="46"/>
  <c r="M41" i="46"/>
  <c r="M57" i="46"/>
  <c r="M45" i="46"/>
  <c r="M33" i="46"/>
  <c r="M21" i="46"/>
  <c r="M9" i="46"/>
  <c r="M56" i="46"/>
  <c r="M32" i="46"/>
  <c r="M20" i="46"/>
  <c r="M8" i="46"/>
  <c r="M55" i="46"/>
  <c r="M31" i="46"/>
  <c r="M7" i="46"/>
  <c r="M18" i="46"/>
  <c r="L48" i="46"/>
  <c r="L36" i="46"/>
  <c r="L24" i="46"/>
  <c r="L12" i="46"/>
  <c r="L47" i="46"/>
  <c r="L44" i="46"/>
  <c r="L33" i="46"/>
  <c r="L56" i="46"/>
  <c r="L55" i="46"/>
  <c r="L43" i="46"/>
  <c r="L31" i="46"/>
  <c r="L19" i="46"/>
  <c r="L7" i="46"/>
  <c r="L41" i="46"/>
  <c r="L13" i="46"/>
  <c r="L34" i="46"/>
  <c r="L57" i="46"/>
  <c r="L54" i="46"/>
  <c r="L42" i="46"/>
  <c r="L30" i="46"/>
  <c r="L18" i="46"/>
  <c r="L53" i="46"/>
  <c r="L17" i="46"/>
  <c r="L49" i="46"/>
  <c r="L35" i="46"/>
  <c r="L21" i="46"/>
  <c r="L29" i="46"/>
  <c r="L11" i="46"/>
  <c r="L22" i="46"/>
  <c r="L9" i="46"/>
  <c r="L8" i="46"/>
  <c r="L52" i="46"/>
  <c r="L40" i="46"/>
  <c r="L28" i="46"/>
  <c r="L16" i="46"/>
  <c r="L38" i="46"/>
  <c r="L14" i="46"/>
  <c r="L37" i="46"/>
  <c r="L23" i="46"/>
  <c r="L46" i="46"/>
  <c r="L32" i="46"/>
  <c r="L51" i="46"/>
  <c r="L39" i="46"/>
  <c r="L27" i="46"/>
  <c r="L15" i="46"/>
  <c r="L50" i="46"/>
  <c r="L26" i="46"/>
  <c r="L25" i="46"/>
  <c r="L10" i="46"/>
  <c r="L45" i="46"/>
  <c r="L20" i="46"/>
  <c r="N10" i="41"/>
  <c r="N15" i="41" s="1"/>
  <c r="O58" i="46" l="1"/>
  <c r="M58" i="46"/>
  <c r="L58" i="46"/>
  <c r="D59" i="65" l="1"/>
  <c r="E58" i="65" s="1"/>
  <c r="B59" i="65"/>
  <c r="C58" i="65"/>
  <c r="E57" i="65"/>
  <c r="C57" i="65"/>
  <c r="C56" i="65"/>
  <c r="C55" i="65"/>
  <c r="E54" i="65"/>
  <c r="C54" i="65"/>
  <c r="C53" i="65"/>
  <c r="C52" i="65"/>
  <c r="E51" i="65"/>
  <c r="C51" i="65"/>
  <c r="C50" i="65"/>
  <c r="C49" i="65"/>
  <c r="E48" i="65"/>
  <c r="C48" i="65"/>
  <c r="C47" i="65"/>
  <c r="C46" i="65"/>
  <c r="E45" i="65"/>
  <c r="C45" i="65"/>
  <c r="C44" i="65"/>
  <c r="C43" i="65"/>
  <c r="E42" i="65"/>
  <c r="C42" i="65"/>
  <c r="C41" i="65"/>
  <c r="C40" i="65"/>
  <c r="E39" i="65"/>
  <c r="C39" i="65"/>
  <c r="C38" i="65"/>
  <c r="C37" i="65"/>
  <c r="E36" i="65"/>
  <c r="C36" i="65"/>
  <c r="E35" i="65"/>
  <c r="C35" i="65"/>
  <c r="C34" i="65"/>
  <c r="E33" i="65"/>
  <c r="C33" i="65"/>
  <c r="E32" i="65"/>
  <c r="C32" i="65"/>
  <c r="E31" i="65"/>
  <c r="C31" i="65"/>
  <c r="E30" i="65"/>
  <c r="C30" i="65"/>
  <c r="E29" i="65"/>
  <c r="C29" i="65"/>
  <c r="E28" i="65"/>
  <c r="C28" i="65"/>
  <c r="E27" i="65"/>
  <c r="C27" i="65"/>
  <c r="E26" i="65"/>
  <c r="C26" i="65"/>
  <c r="E25" i="65"/>
  <c r="C25" i="65"/>
  <c r="E24" i="65"/>
  <c r="C24" i="65"/>
  <c r="E23" i="65"/>
  <c r="C23" i="65"/>
  <c r="E22" i="65"/>
  <c r="C22" i="65"/>
  <c r="E21" i="65"/>
  <c r="C21" i="65"/>
  <c r="E20" i="65"/>
  <c r="C20" i="65"/>
  <c r="E19" i="65"/>
  <c r="C19" i="65"/>
  <c r="E18" i="65"/>
  <c r="C18" i="65"/>
  <c r="E17" i="65"/>
  <c r="C17" i="65"/>
  <c r="E16" i="65"/>
  <c r="C16" i="65"/>
  <c r="E15" i="65"/>
  <c r="C15" i="65"/>
  <c r="E14" i="65"/>
  <c r="C14" i="65"/>
  <c r="E13" i="65"/>
  <c r="C13" i="65"/>
  <c r="E12" i="65"/>
  <c r="C12" i="65"/>
  <c r="E11" i="65"/>
  <c r="C11" i="65"/>
  <c r="E10" i="65"/>
  <c r="C10" i="65"/>
  <c r="E9" i="65"/>
  <c r="C9" i="65"/>
  <c r="E8" i="65"/>
  <c r="C8" i="65"/>
  <c r="K6" i="65"/>
  <c r="J6" i="65" s="1"/>
  <c r="J11" i="65" l="1"/>
  <c r="J44" i="65"/>
  <c r="J31" i="65"/>
  <c r="J15" i="65"/>
  <c r="J25" i="65"/>
  <c r="J40" i="65"/>
  <c r="J45" i="65"/>
  <c r="J51" i="65"/>
  <c r="J56" i="65"/>
  <c r="J32" i="65"/>
  <c r="J29" i="65"/>
  <c r="J46" i="65"/>
  <c r="H6" i="65"/>
  <c r="H11" i="65" s="1"/>
  <c r="J36" i="65"/>
  <c r="I6" i="65"/>
  <c r="I9" i="65" s="1"/>
  <c r="J10" i="65"/>
  <c r="J13" i="65"/>
  <c r="J26" i="65"/>
  <c r="J47" i="65"/>
  <c r="J52" i="65"/>
  <c r="J57" i="65"/>
  <c r="J19" i="65"/>
  <c r="J41" i="65"/>
  <c r="J16" i="65"/>
  <c r="J23" i="65"/>
  <c r="J37" i="65"/>
  <c r="J42" i="65"/>
  <c r="J58" i="65"/>
  <c r="J20" i="65"/>
  <c r="J33" i="65"/>
  <c r="J53" i="65"/>
  <c r="J17" i="65"/>
  <c r="J30" i="65"/>
  <c r="J38" i="65"/>
  <c r="J43" i="65"/>
  <c r="J48" i="65"/>
  <c r="J14" i="65"/>
  <c r="J27" i="65"/>
  <c r="J34" i="65"/>
  <c r="J12" i="65"/>
  <c r="J54" i="65"/>
  <c r="J9" i="65"/>
  <c r="J8" i="65"/>
  <c r="J24" i="65"/>
  <c r="J22" i="65"/>
  <c r="J49" i="65"/>
  <c r="J21" i="65"/>
  <c r="J39" i="65"/>
  <c r="J18" i="65"/>
  <c r="J28" i="65"/>
  <c r="J35" i="65"/>
  <c r="J50" i="65"/>
  <c r="J55" i="65"/>
  <c r="E38" i="65"/>
  <c r="E41" i="65"/>
  <c r="E44" i="65"/>
  <c r="E47" i="65"/>
  <c r="E50" i="65"/>
  <c r="E53" i="65"/>
  <c r="E56" i="65"/>
  <c r="C59" i="65"/>
  <c r="E59" i="65"/>
  <c r="G59" i="65"/>
  <c r="E34" i="65"/>
  <c r="E37" i="65"/>
  <c r="E40" i="65"/>
  <c r="E43" i="65"/>
  <c r="E46" i="65"/>
  <c r="E49" i="65"/>
  <c r="E52" i="65"/>
  <c r="E55" i="65"/>
  <c r="I51" i="65" l="1"/>
  <c r="I33" i="65"/>
  <c r="H8" i="65"/>
  <c r="H27" i="65"/>
  <c r="I39" i="65"/>
  <c r="H52" i="65"/>
  <c r="H22" i="65"/>
  <c r="H16" i="65"/>
  <c r="I56" i="65"/>
  <c r="H21" i="65"/>
  <c r="I55" i="65"/>
  <c r="I53" i="65"/>
  <c r="H36" i="65"/>
  <c r="H54" i="65"/>
  <c r="H30" i="65"/>
  <c r="J59" i="65"/>
  <c r="I21" i="65"/>
  <c r="I50" i="65"/>
  <c r="I15" i="65"/>
  <c r="I57" i="65"/>
  <c r="H56" i="65"/>
  <c r="I49" i="65"/>
  <c r="I47" i="65"/>
  <c r="H12" i="65"/>
  <c r="H42" i="65"/>
  <c r="H51" i="65"/>
  <c r="I46" i="65"/>
  <c r="I44" i="65"/>
  <c r="H9" i="65"/>
  <c r="K9" i="65" s="1"/>
  <c r="H29" i="65"/>
  <c r="I52" i="65"/>
  <c r="I43" i="65"/>
  <c r="I48" i="65"/>
  <c r="H40" i="65"/>
  <c r="I38" i="65"/>
  <c r="I58" i="65"/>
  <c r="I30" i="65"/>
  <c r="H32" i="65"/>
  <c r="H37" i="65"/>
  <c r="I37" i="65"/>
  <c r="H15" i="65"/>
  <c r="I54" i="65"/>
  <c r="I27" i="65"/>
  <c r="H53" i="65"/>
  <c r="I36" i="65"/>
  <c r="K52" i="65"/>
  <c r="I41" i="65"/>
  <c r="I40" i="65"/>
  <c r="H34" i="65"/>
  <c r="I34" i="65"/>
  <c r="H24" i="65"/>
  <c r="H48" i="65"/>
  <c r="I42" i="65"/>
  <c r="H26" i="65"/>
  <c r="H31" i="65"/>
  <c r="H33" i="65"/>
  <c r="I12" i="65"/>
  <c r="H25" i="65"/>
  <c r="I45" i="65"/>
  <c r="I18" i="65"/>
  <c r="I24" i="65"/>
  <c r="H58" i="65"/>
  <c r="H10" i="65"/>
  <c r="H41" i="65"/>
  <c r="H28" i="65"/>
  <c r="H55" i="65"/>
  <c r="H19" i="65"/>
  <c r="H14" i="65"/>
  <c r="H20" i="65"/>
  <c r="H49" i="65"/>
  <c r="H13" i="65"/>
  <c r="H18" i="65"/>
  <c r="H47" i="65"/>
  <c r="H35" i="65"/>
  <c r="H17" i="65"/>
  <c r="H46" i="65"/>
  <c r="H44" i="65"/>
  <c r="H23" i="65"/>
  <c r="H57" i="65"/>
  <c r="H45" i="65"/>
  <c r="H43" i="65"/>
  <c r="H50" i="65"/>
  <c r="H39" i="65"/>
  <c r="H38" i="65"/>
  <c r="I31" i="65"/>
  <c r="I8" i="65"/>
  <c r="I14" i="65"/>
  <c r="I17" i="65"/>
  <c r="I25" i="65"/>
  <c r="I20" i="65"/>
  <c r="I23" i="65"/>
  <c r="I10" i="65"/>
  <c r="I26" i="65"/>
  <c r="I13" i="65"/>
  <c r="I32" i="65"/>
  <c r="I29" i="65"/>
  <c r="I16" i="65"/>
  <c r="I19" i="65"/>
  <c r="I22" i="65"/>
  <c r="I35" i="65"/>
  <c r="I28" i="65"/>
  <c r="I11" i="65"/>
  <c r="K51" i="65" l="1"/>
  <c r="K22" i="65"/>
  <c r="K46" i="65"/>
  <c r="K56" i="65"/>
  <c r="K16" i="65"/>
  <c r="K31" i="65"/>
  <c r="K57" i="65"/>
  <c r="K15" i="65"/>
  <c r="K21" i="65"/>
  <c r="K8" i="65"/>
  <c r="K58" i="65"/>
  <c r="K25" i="65"/>
  <c r="K33" i="65"/>
  <c r="K53" i="65"/>
  <c r="K39" i="65"/>
  <c r="K27" i="65"/>
  <c r="K55" i="65"/>
  <c r="K32" i="65"/>
  <c r="K40" i="65"/>
  <c r="K36" i="65"/>
  <c r="K34" i="65"/>
  <c r="K30" i="65"/>
  <c r="K14" i="65"/>
  <c r="K44" i="65"/>
  <c r="K12" i="65"/>
  <c r="K54" i="65"/>
  <c r="K47" i="65"/>
  <c r="K41" i="65"/>
  <c r="K48" i="65"/>
  <c r="K38" i="65"/>
  <c r="K49" i="65"/>
  <c r="K43" i="65"/>
  <c r="I59" i="65"/>
  <c r="K24" i="65"/>
  <c r="K37" i="65"/>
  <c r="K42" i="65"/>
  <c r="K18" i="65"/>
  <c r="K50" i="65"/>
  <c r="K19" i="65"/>
  <c r="K29" i="65"/>
  <c r="K26" i="65"/>
  <c r="K45" i="65"/>
  <c r="K11" i="65"/>
  <c r="K13" i="65"/>
  <c r="K23" i="65"/>
  <c r="K17" i="65"/>
  <c r="K35" i="65"/>
  <c r="K10" i="65"/>
  <c r="H59" i="65"/>
  <c r="K20" i="65"/>
  <c r="K28" i="65"/>
  <c r="K59" i="65" l="1"/>
  <c r="L28" i="65" s="1"/>
  <c r="L44" i="65" l="1"/>
  <c r="L40" i="65"/>
  <c r="L43" i="65"/>
  <c r="L15" i="65"/>
  <c r="L48" i="65"/>
  <c r="L52" i="65"/>
  <c r="L53" i="65"/>
  <c r="L45" i="65"/>
  <c r="L9" i="65"/>
  <c r="L42" i="65"/>
  <c r="L58" i="65"/>
  <c r="L32" i="65"/>
  <c r="L51" i="65"/>
  <c r="L22" i="65"/>
  <c r="L46" i="65"/>
  <c r="L36" i="65"/>
  <c r="L50" i="65"/>
  <c r="L31" i="65"/>
  <c r="L49" i="65"/>
  <c r="L26" i="65"/>
  <c r="L33" i="65"/>
  <c r="L10" i="65"/>
  <c r="L39" i="65"/>
  <c r="L35" i="65"/>
  <c r="L19" i="65"/>
  <c r="L56" i="65"/>
  <c r="L37" i="65"/>
  <c r="L30" i="65"/>
  <c r="L13" i="65"/>
  <c r="L8" i="65"/>
  <c r="L17" i="65"/>
  <c r="L25" i="65"/>
  <c r="L21" i="65"/>
  <c r="L55" i="65"/>
  <c r="L14" i="65"/>
  <c r="L12" i="65"/>
  <c r="L27" i="65"/>
  <c r="L57" i="65"/>
  <c r="L11" i="65"/>
  <c r="L54" i="65"/>
  <c r="L47" i="65"/>
  <c r="L16" i="65"/>
  <c r="L23" i="65"/>
  <c r="L20" i="65"/>
  <c r="L18" i="65"/>
  <c r="L38" i="65"/>
  <c r="L24" i="65"/>
  <c r="L34" i="65"/>
  <c r="L29" i="65"/>
  <c r="L41" i="65"/>
  <c r="C10" i="41" l="1"/>
  <c r="L59" i="65"/>
  <c r="V57" i="61"/>
  <c r="G10" i="41" l="1"/>
  <c r="H9" i="41"/>
  <c r="H8" i="41"/>
  <c r="H7" i="41"/>
  <c r="H6" i="41"/>
  <c r="H5" i="41"/>
  <c r="H4" i="41"/>
  <c r="H10" i="41" l="1"/>
  <c r="H15" i="41" s="1"/>
  <c r="Q58" i="63"/>
  <c r="P58" i="63"/>
  <c r="R54" i="63" s="1"/>
  <c r="S54" i="63" s="1"/>
  <c r="O58" i="63"/>
  <c r="K58" i="63"/>
  <c r="L53" i="63" s="1"/>
  <c r="H58" i="63"/>
  <c r="D58" i="63"/>
  <c r="C58" i="63"/>
  <c r="V57" i="63"/>
  <c r="L57" i="63"/>
  <c r="M57" i="63" s="1"/>
  <c r="E57" i="63"/>
  <c r="F57" i="63" s="1"/>
  <c r="V56" i="63"/>
  <c r="R56" i="63"/>
  <c r="S56" i="63" s="1"/>
  <c r="L56" i="63"/>
  <c r="M56" i="63" s="1"/>
  <c r="F56" i="63"/>
  <c r="E56" i="63"/>
  <c r="V55" i="63"/>
  <c r="L55" i="63"/>
  <c r="M55" i="63" s="1"/>
  <c r="E55" i="63"/>
  <c r="F55" i="63" s="1"/>
  <c r="V54" i="63"/>
  <c r="L54" i="63"/>
  <c r="M54" i="63" s="1"/>
  <c r="E54" i="63"/>
  <c r="F54" i="63" s="1"/>
  <c r="V53" i="63"/>
  <c r="M53" i="63"/>
  <c r="I53" i="63"/>
  <c r="J53" i="63" s="1"/>
  <c r="E53" i="63"/>
  <c r="F53" i="63" s="1"/>
  <c r="V52" i="63"/>
  <c r="L52" i="63"/>
  <c r="M52" i="63" s="1"/>
  <c r="E52" i="63"/>
  <c r="F52" i="63" s="1"/>
  <c r="V51" i="63"/>
  <c r="L51" i="63"/>
  <c r="M51" i="63" s="1"/>
  <c r="E51" i="63"/>
  <c r="F51" i="63" s="1"/>
  <c r="V50" i="63"/>
  <c r="R50" i="63"/>
  <c r="S50" i="63" s="1"/>
  <c r="L50" i="63"/>
  <c r="M50" i="63" s="1"/>
  <c r="E50" i="63"/>
  <c r="F50" i="63" s="1"/>
  <c r="V49" i="63"/>
  <c r="L49" i="63"/>
  <c r="M49" i="63" s="1"/>
  <c r="E49" i="63"/>
  <c r="F49" i="63" s="1"/>
  <c r="V48" i="63"/>
  <c r="L48" i="63"/>
  <c r="M48" i="63" s="1"/>
  <c r="E48" i="63"/>
  <c r="F48" i="63" s="1"/>
  <c r="V47" i="63"/>
  <c r="E47" i="63"/>
  <c r="F47" i="63" s="1"/>
  <c r="V46" i="63"/>
  <c r="R46" i="63"/>
  <c r="S46" i="63" s="1"/>
  <c r="L46" i="63"/>
  <c r="M46" i="63" s="1"/>
  <c r="E46" i="63"/>
  <c r="F46" i="63" s="1"/>
  <c r="V45" i="63"/>
  <c r="R45" i="63"/>
  <c r="S45" i="63" s="1"/>
  <c r="L45" i="63"/>
  <c r="M45" i="63" s="1"/>
  <c r="E45" i="63"/>
  <c r="F45" i="63" s="1"/>
  <c r="V44" i="63"/>
  <c r="R44" i="63"/>
  <c r="S44" i="63" s="1"/>
  <c r="L44" i="63"/>
  <c r="M44" i="63" s="1"/>
  <c r="I44" i="63"/>
  <c r="J44" i="63" s="1"/>
  <c r="E44" i="63"/>
  <c r="F44" i="63" s="1"/>
  <c r="V43" i="63"/>
  <c r="L43" i="63"/>
  <c r="M43" i="63" s="1"/>
  <c r="I43" i="63"/>
  <c r="J43" i="63" s="1"/>
  <c r="E43" i="63"/>
  <c r="F43" i="63" s="1"/>
  <c r="V42" i="63"/>
  <c r="R42" i="63"/>
  <c r="S42" i="63" s="1"/>
  <c r="L42" i="63"/>
  <c r="M42" i="63" s="1"/>
  <c r="E42" i="63"/>
  <c r="F42" i="63" s="1"/>
  <c r="V41" i="63"/>
  <c r="E41" i="63"/>
  <c r="F41" i="63" s="1"/>
  <c r="V40" i="63"/>
  <c r="L40" i="63"/>
  <c r="M40" i="63" s="1"/>
  <c r="E40" i="63"/>
  <c r="F40" i="63" s="1"/>
  <c r="V39" i="63"/>
  <c r="R39" i="63"/>
  <c r="S39" i="63" s="1"/>
  <c r="M39" i="63"/>
  <c r="L39" i="63"/>
  <c r="E39" i="63"/>
  <c r="F39" i="63" s="1"/>
  <c r="V38" i="63"/>
  <c r="M38" i="63"/>
  <c r="L38" i="63"/>
  <c r="I38" i="63"/>
  <c r="J38" i="63" s="1"/>
  <c r="E38" i="63"/>
  <c r="F38" i="63" s="1"/>
  <c r="V37" i="63"/>
  <c r="L37" i="63"/>
  <c r="M37" i="63" s="1"/>
  <c r="E37" i="63"/>
  <c r="F37" i="63" s="1"/>
  <c r="V36" i="63"/>
  <c r="L36" i="63"/>
  <c r="M36" i="63" s="1"/>
  <c r="E36" i="63"/>
  <c r="F36" i="63" s="1"/>
  <c r="V35" i="63"/>
  <c r="I35" i="63"/>
  <c r="J35" i="63" s="1"/>
  <c r="E35" i="63"/>
  <c r="F35" i="63" s="1"/>
  <c r="V34" i="63"/>
  <c r="R34" i="63"/>
  <c r="S34" i="63" s="1"/>
  <c r="L34" i="63"/>
  <c r="M34" i="63" s="1"/>
  <c r="E34" i="63"/>
  <c r="F34" i="63" s="1"/>
  <c r="V33" i="63"/>
  <c r="R33" i="63"/>
  <c r="S33" i="63" s="1"/>
  <c r="L33" i="63"/>
  <c r="M33" i="63" s="1"/>
  <c r="E33" i="63"/>
  <c r="F33" i="63" s="1"/>
  <c r="V32" i="63"/>
  <c r="R32" i="63"/>
  <c r="S32" i="63" s="1"/>
  <c r="L32" i="63"/>
  <c r="M32" i="63" s="1"/>
  <c r="E32" i="63"/>
  <c r="F32" i="63" s="1"/>
  <c r="V31" i="63"/>
  <c r="R31" i="63"/>
  <c r="S31" i="63" s="1"/>
  <c r="M31" i="63"/>
  <c r="L31" i="63"/>
  <c r="I31" i="63"/>
  <c r="J31" i="63" s="1"/>
  <c r="E31" i="63"/>
  <c r="F31" i="63" s="1"/>
  <c r="V30" i="63"/>
  <c r="L30" i="63"/>
  <c r="M30" i="63" s="1"/>
  <c r="N30" i="63" s="1"/>
  <c r="I30" i="63"/>
  <c r="J30" i="63" s="1"/>
  <c r="E30" i="63"/>
  <c r="F30" i="63" s="1"/>
  <c r="V29" i="63"/>
  <c r="J29" i="63"/>
  <c r="I29" i="63"/>
  <c r="E29" i="63"/>
  <c r="F29" i="63" s="1"/>
  <c r="V28" i="63"/>
  <c r="R28" i="63"/>
  <c r="S28" i="63" s="1"/>
  <c r="L28" i="63"/>
  <c r="M28" i="63" s="1"/>
  <c r="E28" i="63"/>
  <c r="F28" i="63" s="1"/>
  <c r="V27" i="63"/>
  <c r="L27" i="63"/>
  <c r="M27" i="63" s="1"/>
  <c r="N27" i="63" s="1"/>
  <c r="I27" i="63"/>
  <c r="J27" i="63" s="1"/>
  <c r="E27" i="63"/>
  <c r="F27" i="63" s="1"/>
  <c r="V26" i="63"/>
  <c r="R26" i="63"/>
  <c r="S26" i="63" s="1"/>
  <c r="L26" i="63"/>
  <c r="M26" i="63" s="1"/>
  <c r="N26" i="63" s="1"/>
  <c r="I26" i="63"/>
  <c r="J26" i="63" s="1"/>
  <c r="F26" i="63"/>
  <c r="E26" i="63"/>
  <c r="V25" i="63"/>
  <c r="L25" i="63"/>
  <c r="M25" i="63" s="1"/>
  <c r="I25" i="63"/>
  <c r="J25" i="63" s="1"/>
  <c r="E25" i="63"/>
  <c r="F25" i="63" s="1"/>
  <c r="V24" i="63"/>
  <c r="S24" i="63"/>
  <c r="R24" i="63"/>
  <c r="L24" i="63"/>
  <c r="M24" i="63" s="1"/>
  <c r="E24" i="63"/>
  <c r="F24" i="63" s="1"/>
  <c r="V23" i="63"/>
  <c r="E23" i="63"/>
  <c r="F23" i="63" s="1"/>
  <c r="V22" i="63"/>
  <c r="L22" i="63"/>
  <c r="M22" i="63" s="1"/>
  <c r="E22" i="63"/>
  <c r="F22" i="63" s="1"/>
  <c r="V21" i="63"/>
  <c r="S21" i="63"/>
  <c r="R21" i="63"/>
  <c r="M21" i="63"/>
  <c r="N21" i="63" s="1"/>
  <c r="L21" i="63"/>
  <c r="I21" i="63"/>
  <c r="J21" i="63" s="1"/>
  <c r="E21" i="63"/>
  <c r="F21" i="63" s="1"/>
  <c r="V20" i="63"/>
  <c r="L20" i="63"/>
  <c r="M20" i="63" s="1"/>
  <c r="I20" i="63"/>
  <c r="J20" i="63" s="1"/>
  <c r="E20" i="63"/>
  <c r="F20" i="63" s="1"/>
  <c r="V19" i="63"/>
  <c r="L19" i="63"/>
  <c r="M19" i="63" s="1"/>
  <c r="E19" i="63"/>
  <c r="F19" i="63" s="1"/>
  <c r="V18" i="63"/>
  <c r="R18" i="63"/>
  <c r="S18" i="63" s="1"/>
  <c r="L18" i="63"/>
  <c r="M18" i="63" s="1"/>
  <c r="I18" i="63"/>
  <c r="J18" i="63" s="1"/>
  <c r="E18" i="63"/>
  <c r="F18" i="63" s="1"/>
  <c r="V17" i="63"/>
  <c r="L17" i="63"/>
  <c r="M17" i="63" s="1"/>
  <c r="I17" i="63"/>
  <c r="J17" i="63" s="1"/>
  <c r="E17" i="63"/>
  <c r="F17" i="63" s="1"/>
  <c r="V16" i="63"/>
  <c r="M16" i="63"/>
  <c r="L16" i="63"/>
  <c r="E16" i="63"/>
  <c r="F16" i="63" s="1"/>
  <c r="V15" i="63"/>
  <c r="R15" i="63"/>
  <c r="S15" i="63" s="1"/>
  <c r="L15" i="63"/>
  <c r="M15" i="63" s="1"/>
  <c r="N15" i="63" s="1"/>
  <c r="I15" i="63"/>
  <c r="J15" i="63" s="1"/>
  <c r="E15" i="63"/>
  <c r="F15" i="63" s="1"/>
  <c r="V14" i="63"/>
  <c r="R14" i="63"/>
  <c r="S14" i="63" s="1"/>
  <c r="L14" i="63"/>
  <c r="M14" i="63" s="1"/>
  <c r="I14" i="63"/>
  <c r="J14" i="63" s="1"/>
  <c r="E14" i="63"/>
  <c r="F14" i="63" s="1"/>
  <c r="V13" i="63"/>
  <c r="M13" i="63"/>
  <c r="L13" i="63"/>
  <c r="E13" i="63"/>
  <c r="F13" i="63" s="1"/>
  <c r="V12" i="63"/>
  <c r="R12" i="63"/>
  <c r="S12" i="63" s="1"/>
  <c r="L12" i="63"/>
  <c r="M12" i="63" s="1"/>
  <c r="N12" i="63" s="1"/>
  <c r="I12" i="63"/>
  <c r="J12" i="63" s="1"/>
  <c r="E12" i="63"/>
  <c r="F12" i="63" s="1"/>
  <c r="V11" i="63"/>
  <c r="R11" i="63"/>
  <c r="S11" i="63" s="1"/>
  <c r="M11" i="63"/>
  <c r="L11" i="63"/>
  <c r="E11" i="63"/>
  <c r="F11" i="63" s="1"/>
  <c r="V10" i="63"/>
  <c r="L10" i="63"/>
  <c r="M10" i="63" s="1"/>
  <c r="E10" i="63"/>
  <c r="F10" i="63" s="1"/>
  <c r="V9" i="63"/>
  <c r="R9" i="63"/>
  <c r="S9" i="63" s="1"/>
  <c r="L9" i="63"/>
  <c r="M9" i="63" s="1"/>
  <c r="I9" i="63"/>
  <c r="J9" i="63" s="1"/>
  <c r="E9" i="63"/>
  <c r="F9" i="63" s="1"/>
  <c r="V8" i="63"/>
  <c r="R8" i="63"/>
  <c r="S8" i="63" s="1"/>
  <c r="L8" i="63"/>
  <c r="M8" i="63" s="1"/>
  <c r="F8" i="63"/>
  <c r="E8" i="63"/>
  <c r="V7" i="63"/>
  <c r="R7" i="63"/>
  <c r="M7" i="63"/>
  <c r="L7" i="63"/>
  <c r="I7" i="63"/>
  <c r="E7" i="63"/>
  <c r="F7" i="63" s="1"/>
  <c r="N18" i="63" l="1"/>
  <c r="N20" i="63"/>
  <c r="N25" i="63"/>
  <c r="E58" i="63"/>
  <c r="N31" i="63"/>
  <c r="N38" i="63"/>
  <c r="N9" i="63"/>
  <c r="N17" i="63"/>
  <c r="N10" i="63"/>
  <c r="W16" i="63"/>
  <c r="N14" i="63"/>
  <c r="N49" i="63"/>
  <c r="N44" i="63"/>
  <c r="W28" i="63"/>
  <c r="N52" i="63"/>
  <c r="W14" i="63"/>
  <c r="N43" i="63"/>
  <c r="F58" i="63"/>
  <c r="G36" i="63" s="1"/>
  <c r="W10" i="63"/>
  <c r="I52" i="63"/>
  <c r="J52" i="63" s="1"/>
  <c r="I46" i="63"/>
  <c r="J46" i="63" s="1"/>
  <c r="N46" i="63" s="1"/>
  <c r="I40" i="63"/>
  <c r="J40" i="63" s="1"/>
  <c r="N40" i="63" s="1"/>
  <c r="I34" i="63"/>
  <c r="J34" i="63" s="1"/>
  <c r="N34" i="63" s="1"/>
  <c r="I28" i="63"/>
  <c r="J28" i="63" s="1"/>
  <c r="N28" i="63" s="1"/>
  <c r="I22" i="63"/>
  <c r="J22" i="63" s="1"/>
  <c r="N22" i="63" s="1"/>
  <c r="I16" i="63"/>
  <c r="J16" i="63" s="1"/>
  <c r="N16" i="63" s="1"/>
  <c r="I55" i="63"/>
  <c r="J55" i="63" s="1"/>
  <c r="N55" i="63" s="1"/>
  <c r="I49" i="63"/>
  <c r="J49" i="63" s="1"/>
  <c r="I41" i="63"/>
  <c r="J41" i="63" s="1"/>
  <c r="I32" i="63"/>
  <c r="J32" i="63" s="1"/>
  <c r="N32" i="63" s="1"/>
  <c r="I23" i="63"/>
  <c r="J23" i="63" s="1"/>
  <c r="I11" i="63"/>
  <c r="J11" i="63" s="1"/>
  <c r="N11" i="63" s="1"/>
  <c r="I54" i="63"/>
  <c r="J54" i="63" s="1"/>
  <c r="I48" i="63"/>
  <c r="J48" i="63" s="1"/>
  <c r="I39" i="63"/>
  <c r="J39" i="63" s="1"/>
  <c r="N39" i="63" s="1"/>
  <c r="I37" i="63"/>
  <c r="J37" i="63" s="1"/>
  <c r="N37" i="63" s="1"/>
  <c r="I19" i="63"/>
  <c r="J19" i="63" s="1"/>
  <c r="N19" i="63" s="1"/>
  <c r="I57" i="63"/>
  <c r="J57" i="63" s="1"/>
  <c r="N57" i="63" s="1"/>
  <c r="I51" i="63"/>
  <c r="J51" i="63" s="1"/>
  <c r="N51" i="63" s="1"/>
  <c r="I33" i="63"/>
  <c r="J33" i="63" s="1"/>
  <c r="N33" i="63" s="1"/>
  <c r="I13" i="63"/>
  <c r="J13" i="63" s="1"/>
  <c r="N13" i="63" s="1"/>
  <c r="I42" i="63"/>
  <c r="J42" i="63" s="1"/>
  <c r="N42" i="63" s="1"/>
  <c r="I24" i="63"/>
  <c r="J24" i="63" s="1"/>
  <c r="N24" i="63" s="1"/>
  <c r="I8" i="63"/>
  <c r="J8" i="63" s="1"/>
  <c r="N8" i="63" s="1"/>
  <c r="I56" i="63"/>
  <c r="J56" i="63" s="1"/>
  <c r="N56" i="63" s="1"/>
  <c r="I50" i="63"/>
  <c r="J50" i="63" s="1"/>
  <c r="N50" i="63" s="1"/>
  <c r="I45" i="63"/>
  <c r="J45" i="63" s="1"/>
  <c r="N45" i="63" s="1"/>
  <c r="I36" i="63"/>
  <c r="J36" i="63" s="1"/>
  <c r="N36" i="63" s="1"/>
  <c r="I10" i="63"/>
  <c r="J10" i="63" s="1"/>
  <c r="J7" i="63"/>
  <c r="N7" i="63" s="1"/>
  <c r="W17" i="63"/>
  <c r="W42" i="63"/>
  <c r="S7" i="63"/>
  <c r="I47" i="63"/>
  <c r="J47" i="63" s="1"/>
  <c r="N53" i="63"/>
  <c r="V58" i="63"/>
  <c r="W29" i="63" s="1"/>
  <c r="R19" i="63"/>
  <c r="S19" i="63" s="1"/>
  <c r="R30" i="63"/>
  <c r="S30" i="63" s="1"/>
  <c r="R37" i="63"/>
  <c r="S37" i="63" s="1"/>
  <c r="R48" i="63"/>
  <c r="S48" i="63" s="1"/>
  <c r="R55" i="63"/>
  <c r="S55" i="63" s="1"/>
  <c r="R49" i="63"/>
  <c r="S49" i="63" s="1"/>
  <c r="R52" i="63"/>
  <c r="S52" i="63" s="1"/>
  <c r="R53" i="63"/>
  <c r="S53" i="63" s="1"/>
  <c r="R47" i="63"/>
  <c r="S47" i="63" s="1"/>
  <c r="R41" i="63"/>
  <c r="S41" i="63" s="1"/>
  <c r="R35" i="63"/>
  <c r="S35" i="63" s="1"/>
  <c r="R29" i="63"/>
  <c r="S29" i="63" s="1"/>
  <c r="R23" i="63"/>
  <c r="S23" i="63" s="1"/>
  <c r="W54" i="63"/>
  <c r="R25" i="63"/>
  <c r="S25" i="63" s="1"/>
  <c r="R36" i="63"/>
  <c r="S36" i="63" s="1"/>
  <c r="R43" i="63"/>
  <c r="S43" i="63" s="1"/>
  <c r="R10" i="63"/>
  <c r="S10" i="63" s="1"/>
  <c r="W21" i="63"/>
  <c r="R27" i="63"/>
  <c r="S27" i="63" s="1"/>
  <c r="R17" i="63"/>
  <c r="S17" i="63" s="1"/>
  <c r="R20" i="63"/>
  <c r="S20" i="63" s="1"/>
  <c r="R22" i="63"/>
  <c r="S22" i="63" s="1"/>
  <c r="R38" i="63"/>
  <c r="S38" i="63" s="1"/>
  <c r="R40" i="63"/>
  <c r="S40" i="63" s="1"/>
  <c r="W45" i="63"/>
  <c r="R51" i="63"/>
  <c r="S51" i="63" s="1"/>
  <c r="R57" i="63"/>
  <c r="S57" i="63" s="1"/>
  <c r="R13" i="63"/>
  <c r="S13" i="63" s="1"/>
  <c r="R16" i="63"/>
  <c r="S16" i="63" s="1"/>
  <c r="N48" i="63"/>
  <c r="W51" i="63"/>
  <c r="N54" i="63"/>
  <c r="L58" i="63"/>
  <c r="L23" i="63"/>
  <c r="M23" i="63" s="1"/>
  <c r="N23" i="63" s="1"/>
  <c r="L29" i="63"/>
  <c r="M29" i="63" s="1"/>
  <c r="N29" i="63" s="1"/>
  <c r="L35" i="63"/>
  <c r="M35" i="63" s="1"/>
  <c r="N35" i="63" s="1"/>
  <c r="L41" i="63"/>
  <c r="M41" i="63" s="1"/>
  <c r="N41" i="63" s="1"/>
  <c r="L47" i="63"/>
  <c r="M47" i="63" s="1"/>
  <c r="W32" i="63" l="1"/>
  <c r="W50" i="63"/>
  <c r="W44" i="63"/>
  <c r="W22" i="63"/>
  <c r="W7" i="63"/>
  <c r="W13" i="63"/>
  <c r="W39" i="63"/>
  <c r="W48" i="63"/>
  <c r="W46" i="63"/>
  <c r="W40" i="63"/>
  <c r="W56" i="63"/>
  <c r="G28" i="63"/>
  <c r="G57" i="63"/>
  <c r="G43" i="63"/>
  <c r="G26" i="63"/>
  <c r="G47" i="63"/>
  <c r="G16" i="63"/>
  <c r="G55" i="63"/>
  <c r="I58" i="63"/>
  <c r="G50" i="63"/>
  <c r="G35" i="63"/>
  <c r="G22" i="63"/>
  <c r="T17" i="63"/>
  <c r="T23" i="63"/>
  <c r="T19" i="63"/>
  <c r="S58" i="63"/>
  <c r="T37" i="63" s="1"/>
  <c r="T7" i="63"/>
  <c r="G27" i="63"/>
  <c r="G7" i="63"/>
  <c r="G32" i="63"/>
  <c r="G24" i="63"/>
  <c r="G44" i="63"/>
  <c r="G41" i="63"/>
  <c r="R58" i="63"/>
  <c r="T20" i="63"/>
  <c r="G15" i="63"/>
  <c r="G11" i="63"/>
  <c r="G45" i="63"/>
  <c r="G31" i="63"/>
  <c r="G29" i="63"/>
  <c r="G21" i="63"/>
  <c r="G54" i="63"/>
  <c r="G48" i="63"/>
  <c r="G19" i="63"/>
  <c r="G39" i="63"/>
  <c r="G37" i="63"/>
  <c r="G10" i="63"/>
  <c r="G23" i="63"/>
  <c r="T35" i="63"/>
  <c r="G14" i="63"/>
  <c r="G53" i="63"/>
  <c r="G12" i="63"/>
  <c r="G20" i="63"/>
  <c r="T30" i="63"/>
  <c r="G49" i="63"/>
  <c r="N47" i="63"/>
  <c r="T16" i="63"/>
  <c r="T27" i="63"/>
  <c r="T41" i="63"/>
  <c r="W55" i="63"/>
  <c r="W49" i="63"/>
  <c r="W37" i="63"/>
  <c r="W19" i="63"/>
  <c r="W31" i="63"/>
  <c r="W11" i="63"/>
  <c r="W34" i="63"/>
  <c r="W8" i="63"/>
  <c r="W25" i="63"/>
  <c r="W18" i="63"/>
  <c r="W52" i="63"/>
  <c r="W43" i="63"/>
  <c r="W38" i="63"/>
  <c r="W12" i="63"/>
  <c r="W41" i="63"/>
  <c r="W36" i="63"/>
  <c r="W23" i="63"/>
  <c r="W53" i="63"/>
  <c r="W47" i="63"/>
  <c r="W20" i="63"/>
  <c r="G51" i="63"/>
  <c r="W9" i="63"/>
  <c r="W15" i="63"/>
  <c r="G46" i="63"/>
  <c r="W24" i="63"/>
  <c r="W35" i="63"/>
  <c r="T13" i="63"/>
  <c r="T47" i="63"/>
  <c r="M58" i="63"/>
  <c r="G34" i="63"/>
  <c r="G33" i="63"/>
  <c r="T57" i="63"/>
  <c r="T53" i="63"/>
  <c r="W33" i="63"/>
  <c r="W27" i="63"/>
  <c r="W26" i="63"/>
  <c r="T51" i="63"/>
  <c r="T10" i="63"/>
  <c r="T52" i="63"/>
  <c r="G25" i="63"/>
  <c r="G18" i="63"/>
  <c r="T43" i="63"/>
  <c r="T49" i="63"/>
  <c r="G56" i="63"/>
  <c r="G13" i="63"/>
  <c r="T40" i="63"/>
  <c r="T36" i="63"/>
  <c r="T55" i="63"/>
  <c r="G30" i="63"/>
  <c r="G40" i="63"/>
  <c r="G9" i="63"/>
  <c r="G8" i="63"/>
  <c r="W57" i="63"/>
  <c r="T38" i="63"/>
  <c r="T25" i="63"/>
  <c r="T48" i="63"/>
  <c r="G38" i="63"/>
  <c r="J58" i="63"/>
  <c r="G52" i="63"/>
  <c r="W30" i="63"/>
  <c r="G42" i="63"/>
  <c r="G17" i="63"/>
  <c r="N58" i="63" l="1"/>
  <c r="G58" i="63"/>
  <c r="T26" i="63"/>
  <c r="T14" i="63"/>
  <c r="T28" i="63"/>
  <c r="T8" i="63"/>
  <c r="T42" i="63"/>
  <c r="T34" i="63"/>
  <c r="T54" i="63"/>
  <c r="T11" i="63"/>
  <c r="T32" i="63"/>
  <c r="T21" i="63"/>
  <c r="T33" i="63"/>
  <c r="T46" i="63"/>
  <c r="T56" i="63"/>
  <c r="T44" i="63"/>
  <c r="T45" i="63"/>
  <c r="T15" i="63"/>
  <c r="T39" i="63"/>
  <c r="T50" i="63"/>
  <c r="T31" i="63"/>
  <c r="T18" i="63"/>
  <c r="T24" i="63"/>
  <c r="T12" i="63"/>
  <c r="T9" i="63"/>
  <c r="T22" i="63"/>
  <c r="T29" i="63"/>
  <c r="W58" i="63"/>
  <c r="T58" i="63" l="1"/>
  <c r="W47" i="61" l="1"/>
  <c r="B14" i="41"/>
  <c r="B10" i="41"/>
  <c r="E11" i="41"/>
  <c r="P3" i="55" s="1"/>
  <c r="E12" i="41"/>
  <c r="I27" i="46" l="1"/>
  <c r="I50" i="46"/>
  <c r="I51" i="46"/>
  <c r="I15" i="46"/>
  <c r="I32" i="46"/>
  <c r="I25" i="46"/>
  <c r="I28" i="46"/>
  <c r="I22" i="46"/>
  <c r="I29" i="46"/>
  <c r="I31" i="46"/>
  <c r="I12" i="46"/>
  <c r="I56" i="46"/>
  <c r="I24" i="46"/>
  <c r="I37" i="46"/>
  <c r="I54" i="46"/>
  <c r="I17" i="46"/>
  <c r="I33" i="46"/>
  <c r="I40" i="46"/>
  <c r="I46" i="46"/>
  <c r="I7" i="46"/>
  <c r="I43" i="46"/>
  <c r="I48" i="46"/>
  <c r="I35" i="46"/>
  <c r="I57" i="46"/>
  <c r="I14" i="46"/>
  <c r="I20" i="46"/>
  <c r="I8" i="46"/>
  <c r="I47" i="46"/>
  <c r="I18" i="46"/>
  <c r="I34" i="46"/>
  <c r="I41" i="46"/>
  <c r="I45" i="46"/>
  <c r="I19" i="46"/>
  <c r="I23" i="46"/>
  <c r="I53" i="46"/>
  <c r="I13" i="46"/>
  <c r="I38" i="46"/>
  <c r="I30" i="46"/>
  <c r="I9" i="46"/>
  <c r="I55" i="46"/>
  <c r="I49" i="46"/>
  <c r="I21" i="46"/>
  <c r="I11" i="46"/>
  <c r="I10" i="46"/>
  <c r="I44" i="46"/>
  <c r="I36" i="46"/>
  <c r="I39" i="46"/>
  <c r="I52" i="46"/>
  <c r="I26" i="46"/>
  <c r="I16" i="46"/>
  <c r="I42" i="46"/>
  <c r="W51" i="61"/>
  <c r="W16" i="61"/>
  <c r="W12" i="61"/>
  <c r="W24" i="61"/>
  <c r="W36" i="61"/>
  <c r="W48" i="61"/>
  <c r="W13" i="61"/>
  <c r="W25" i="61"/>
  <c r="W37" i="61"/>
  <c r="W49" i="61"/>
  <c r="W14" i="61"/>
  <c r="W26" i="61"/>
  <c r="W38" i="61"/>
  <c r="W50" i="61"/>
  <c r="W39" i="61"/>
  <c r="W40" i="61"/>
  <c r="W17" i="61"/>
  <c r="W41" i="61"/>
  <c r="W53" i="61"/>
  <c r="W6" i="61"/>
  <c r="W18" i="61"/>
  <c r="W30" i="61"/>
  <c r="W42" i="61"/>
  <c r="W54" i="61"/>
  <c r="W15" i="61"/>
  <c r="W52" i="61"/>
  <c r="W31" i="61"/>
  <c r="W55" i="61"/>
  <c r="W8" i="61"/>
  <c r="W20" i="61"/>
  <c r="W32" i="61"/>
  <c r="W44" i="61"/>
  <c r="W56" i="61"/>
  <c r="W27" i="61"/>
  <c r="W28" i="61"/>
  <c r="W19" i="61"/>
  <c r="W43" i="61"/>
  <c r="W9" i="61"/>
  <c r="W21" i="61"/>
  <c r="W33" i="61"/>
  <c r="W45" i="61"/>
  <c r="W29" i="61"/>
  <c r="W7" i="61"/>
  <c r="W10" i="61"/>
  <c r="W22" i="61"/>
  <c r="W34" i="61"/>
  <c r="W46" i="61"/>
  <c r="W11" i="61"/>
  <c r="W23" i="61"/>
  <c r="W35" i="61"/>
  <c r="B15" i="41"/>
  <c r="W57" i="61" l="1"/>
  <c r="C22" i="62"/>
  <c r="B22" i="62"/>
  <c r="B23" i="62" s="1"/>
  <c r="B14" i="62"/>
  <c r="D13" i="62"/>
  <c r="D12" i="62"/>
  <c r="D11" i="62"/>
  <c r="E10" i="62"/>
  <c r="B10" i="62"/>
  <c r="D9" i="62"/>
  <c r="F9" i="62" s="1"/>
  <c r="D8" i="62"/>
  <c r="F8" i="62" s="1"/>
  <c r="D7" i="62"/>
  <c r="F7" i="62" s="1"/>
  <c r="D6" i="62"/>
  <c r="F6" i="62" s="1"/>
  <c r="D5" i="62"/>
  <c r="F5" i="62" s="1"/>
  <c r="D4" i="62"/>
  <c r="F4" i="62" s="1"/>
  <c r="K57" i="61"/>
  <c r="J57" i="61"/>
  <c r="I57" i="61"/>
  <c r="G57" i="61"/>
  <c r="E57" i="61"/>
  <c r="C57" i="61"/>
  <c r="D45" i="61" l="1"/>
  <c r="D17" i="61"/>
  <c r="D48" i="61"/>
  <c r="D32" i="61"/>
  <c r="D16" i="61"/>
  <c r="D55" i="61"/>
  <c r="D51" i="61"/>
  <c r="D47" i="61"/>
  <c r="L47" i="61" s="1"/>
  <c r="D43" i="61"/>
  <c r="D39" i="61"/>
  <c r="D35" i="61"/>
  <c r="D31" i="61"/>
  <c r="L31" i="61" s="1"/>
  <c r="D27" i="61"/>
  <c r="D23" i="61"/>
  <c r="D19" i="61"/>
  <c r="D15" i="61"/>
  <c r="L15" i="61" s="1"/>
  <c r="D11" i="61"/>
  <c r="D7" i="61"/>
  <c r="D49" i="61"/>
  <c r="D37" i="61"/>
  <c r="D29" i="61"/>
  <c r="D21" i="61"/>
  <c r="D9" i="61"/>
  <c r="D56" i="61"/>
  <c r="D44" i="61"/>
  <c r="D36" i="61"/>
  <c r="D24" i="61"/>
  <c r="D12" i="61"/>
  <c r="D54" i="61"/>
  <c r="D50" i="61"/>
  <c r="D46" i="61"/>
  <c r="D42" i="61"/>
  <c r="D38" i="61"/>
  <c r="D34" i="61"/>
  <c r="D30" i="61"/>
  <c r="D26" i="61"/>
  <c r="D22" i="61"/>
  <c r="D18" i="61"/>
  <c r="D14" i="61"/>
  <c r="D10" i="61"/>
  <c r="D6" i="61"/>
  <c r="D53" i="61"/>
  <c r="D41" i="61"/>
  <c r="D33" i="61"/>
  <c r="L33" i="61" s="1"/>
  <c r="D25" i="61"/>
  <c r="D13" i="61"/>
  <c r="D52" i="61"/>
  <c r="D40" i="61"/>
  <c r="D28" i="61"/>
  <c r="D20" i="61"/>
  <c r="D8" i="61"/>
  <c r="F53" i="61"/>
  <c r="F49" i="61"/>
  <c r="F45" i="61"/>
  <c r="F41" i="61"/>
  <c r="F37" i="61"/>
  <c r="F33" i="61"/>
  <c r="F29" i="61"/>
  <c r="F25" i="61"/>
  <c r="F21" i="61"/>
  <c r="F17" i="61"/>
  <c r="F13" i="61"/>
  <c r="F9" i="61"/>
  <c r="F56" i="61"/>
  <c r="F48" i="61"/>
  <c r="F36" i="61"/>
  <c r="F28" i="61"/>
  <c r="F12" i="61"/>
  <c r="F55" i="61"/>
  <c r="F51" i="61"/>
  <c r="F47" i="61"/>
  <c r="F43" i="61"/>
  <c r="F39" i="61"/>
  <c r="F35" i="61"/>
  <c r="F31" i="61"/>
  <c r="F27" i="61"/>
  <c r="F23" i="61"/>
  <c r="F19" i="61"/>
  <c r="F15" i="61"/>
  <c r="F11" i="61"/>
  <c r="F7" i="61"/>
  <c r="F52" i="61"/>
  <c r="F44" i="61"/>
  <c r="F32" i="61"/>
  <c r="F20" i="61"/>
  <c r="F16" i="61"/>
  <c r="F54" i="61"/>
  <c r="F50" i="61"/>
  <c r="F46" i="61"/>
  <c r="F42" i="61"/>
  <c r="F38" i="61"/>
  <c r="F34" i="61"/>
  <c r="F30" i="61"/>
  <c r="F26" i="61"/>
  <c r="F22" i="61"/>
  <c r="F18" i="61"/>
  <c r="F14" i="61"/>
  <c r="F10" i="61"/>
  <c r="F6" i="61"/>
  <c r="F40" i="61"/>
  <c r="F24" i="61"/>
  <c r="F8" i="61"/>
  <c r="F10" i="62"/>
  <c r="D14" i="62"/>
  <c r="B45" i="61"/>
  <c r="B29" i="61"/>
  <c r="B48" i="61"/>
  <c r="B28" i="61"/>
  <c r="B55" i="61"/>
  <c r="B51" i="61"/>
  <c r="B47" i="61"/>
  <c r="B43" i="61"/>
  <c r="B39" i="61"/>
  <c r="B35" i="61"/>
  <c r="B31" i="61"/>
  <c r="B27" i="61"/>
  <c r="B23" i="61"/>
  <c r="B19" i="61"/>
  <c r="B15" i="61"/>
  <c r="B11" i="61"/>
  <c r="B7" i="61"/>
  <c r="B53" i="61"/>
  <c r="B49" i="61"/>
  <c r="B41" i="61"/>
  <c r="B37" i="61"/>
  <c r="B33" i="61"/>
  <c r="B25" i="61"/>
  <c r="B17" i="61"/>
  <c r="B9" i="61"/>
  <c r="B56" i="61"/>
  <c r="B44" i="61"/>
  <c r="B36" i="61"/>
  <c r="B54" i="61"/>
  <c r="B50" i="61"/>
  <c r="B46" i="61"/>
  <c r="B42" i="61"/>
  <c r="B38" i="61"/>
  <c r="B34" i="61"/>
  <c r="B30" i="61"/>
  <c r="B26" i="61"/>
  <c r="B22" i="61"/>
  <c r="B18" i="61"/>
  <c r="B14" i="61"/>
  <c r="B10" i="61"/>
  <c r="B6" i="61"/>
  <c r="B21" i="61"/>
  <c r="B13" i="61"/>
  <c r="B52" i="61"/>
  <c r="B40" i="61"/>
  <c r="B32" i="61"/>
  <c r="B24" i="61"/>
  <c r="B8" i="61"/>
  <c r="B20" i="61"/>
  <c r="B12" i="61"/>
  <c r="B16" i="61"/>
  <c r="H53" i="61"/>
  <c r="H49" i="61"/>
  <c r="H45" i="61"/>
  <c r="H41" i="61"/>
  <c r="H37" i="61"/>
  <c r="H33" i="61"/>
  <c r="H29" i="61"/>
  <c r="H25" i="61"/>
  <c r="H21" i="61"/>
  <c r="H17" i="61"/>
  <c r="H13" i="61"/>
  <c r="H9" i="61"/>
  <c r="H48" i="61"/>
  <c r="H36" i="61"/>
  <c r="H28" i="61"/>
  <c r="H16" i="61"/>
  <c r="H56" i="61"/>
  <c r="H55" i="61"/>
  <c r="H51" i="61"/>
  <c r="H47" i="61"/>
  <c r="H43" i="61"/>
  <c r="H39" i="61"/>
  <c r="H35" i="61"/>
  <c r="H31" i="61"/>
  <c r="H27" i="61"/>
  <c r="H23" i="61"/>
  <c r="H19" i="61"/>
  <c r="H15" i="61"/>
  <c r="H11" i="61"/>
  <c r="H7" i="61"/>
  <c r="H52" i="61"/>
  <c r="H44" i="61"/>
  <c r="H40" i="61"/>
  <c r="H32" i="61"/>
  <c r="H24" i="61"/>
  <c r="H20" i="61"/>
  <c r="H12" i="61"/>
  <c r="H54" i="61"/>
  <c r="H50" i="61"/>
  <c r="H46" i="61"/>
  <c r="H42" i="61"/>
  <c r="H38" i="61"/>
  <c r="H34" i="61"/>
  <c r="H30" i="61"/>
  <c r="H26" i="61"/>
  <c r="H22" i="61"/>
  <c r="H18" i="61"/>
  <c r="H14" i="61"/>
  <c r="H10" i="61"/>
  <c r="H6" i="61"/>
  <c r="H8" i="61"/>
  <c r="B15" i="62"/>
  <c r="D10" i="62"/>
  <c r="L42" i="61" l="1"/>
  <c r="L37" i="61"/>
  <c r="F15" i="62"/>
  <c r="AE5" i="63"/>
  <c r="F57" i="61"/>
  <c r="L8" i="61"/>
  <c r="L52" i="61"/>
  <c r="L41" i="61"/>
  <c r="L14" i="61"/>
  <c r="L30" i="61"/>
  <c r="L46" i="61"/>
  <c r="L24" i="61"/>
  <c r="L9" i="61"/>
  <c r="L49" i="61"/>
  <c r="L19" i="61"/>
  <c r="L35" i="61"/>
  <c r="L51" i="61"/>
  <c r="L48" i="61"/>
  <c r="L40" i="61"/>
  <c r="L26" i="61"/>
  <c r="L12" i="61"/>
  <c r="L56" i="61"/>
  <c r="L32" i="61"/>
  <c r="L20" i="61"/>
  <c r="L13" i="61"/>
  <c r="L53" i="61"/>
  <c r="L18" i="61"/>
  <c r="L34" i="61"/>
  <c r="L50" i="61"/>
  <c r="L36" i="61"/>
  <c r="L21" i="61"/>
  <c r="L7" i="61"/>
  <c r="L23" i="61"/>
  <c r="L39" i="61"/>
  <c r="L55" i="61"/>
  <c r="L17" i="61"/>
  <c r="L10" i="61"/>
  <c r="D15" i="62"/>
  <c r="H57" i="61"/>
  <c r="B57" i="61"/>
  <c r="L28" i="61"/>
  <c r="L25" i="61"/>
  <c r="D57" i="61"/>
  <c r="L6" i="61"/>
  <c r="L22" i="61"/>
  <c r="L38" i="61"/>
  <c r="L54" i="61"/>
  <c r="L44" i="61"/>
  <c r="L29" i="61"/>
  <c r="L11" i="61"/>
  <c r="L27" i="61"/>
  <c r="L43" i="61"/>
  <c r="L16" i="61"/>
  <c r="L45" i="61"/>
  <c r="C14" i="41"/>
  <c r="L57" i="61" l="1"/>
  <c r="AD5" i="63"/>
  <c r="AC5" i="63"/>
  <c r="AB5" i="63"/>
  <c r="C15" i="41"/>
  <c r="AC15" i="63" l="1"/>
  <c r="AC12" i="63"/>
  <c r="AC31" i="63"/>
  <c r="AC30" i="63"/>
  <c r="AC25" i="63"/>
  <c r="AC38" i="63"/>
  <c r="AC20" i="63"/>
  <c r="AC18" i="63"/>
  <c r="AC21" i="63"/>
  <c r="AC27" i="63"/>
  <c r="AC26" i="63"/>
  <c r="AC33" i="63"/>
  <c r="AC39" i="63"/>
  <c r="AC41" i="63"/>
  <c r="AC57" i="63"/>
  <c r="AC45" i="63"/>
  <c r="AC13" i="63"/>
  <c r="AC43" i="63"/>
  <c r="AC29" i="63"/>
  <c r="AC28" i="63"/>
  <c r="AC48" i="63"/>
  <c r="AC17" i="63"/>
  <c r="AC8" i="63"/>
  <c r="AC34" i="63"/>
  <c r="AC32" i="63"/>
  <c r="AC49" i="63"/>
  <c r="AC19" i="63"/>
  <c r="AC52" i="63"/>
  <c r="AC23" i="63"/>
  <c r="AC35" i="63"/>
  <c r="AC36" i="63"/>
  <c r="AC9" i="63"/>
  <c r="AC42" i="63"/>
  <c r="AC44" i="63"/>
  <c r="AC46" i="63"/>
  <c r="AC55" i="63"/>
  <c r="AC51" i="63"/>
  <c r="AC50" i="63"/>
  <c r="AC16" i="63"/>
  <c r="AC54" i="63"/>
  <c r="AC22" i="63"/>
  <c r="AC24" i="63"/>
  <c r="AC37" i="63"/>
  <c r="AC7" i="63"/>
  <c r="AC10" i="63"/>
  <c r="AC40" i="63"/>
  <c r="AC56" i="63"/>
  <c r="AC14" i="63"/>
  <c r="AC53" i="63"/>
  <c r="AC11" i="63"/>
  <c r="AC47" i="63"/>
  <c r="AB36" i="63"/>
  <c r="AB55" i="63"/>
  <c r="AB19" i="63"/>
  <c r="AB27" i="63"/>
  <c r="AB20" i="63"/>
  <c r="AB47" i="63"/>
  <c r="AB8" i="63"/>
  <c r="AB10" i="63"/>
  <c r="AB24" i="63"/>
  <c r="AB21" i="63"/>
  <c r="AB9" i="63"/>
  <c r="AB37" i="63"/>
  <c r="AB22" i="63"/>
  <c r="AB38" i="63"/>
  <c r="AB28" i="63"/>
  <c r="AB30" i="63"/>
  <c r="AB29" i="63"/>
  <c r="AB34" i="63"/>
  <c r="AB39" i="63"/>
  <c r="AB48" i="63"/>
  <c r="AB33" i="63"/>
  <c r="AB54" i="63"/>
  <c r="AB16" i="63"/>
  <c r="AB7" i="63"/>
  <c r="AB11" i="63"/>
  <c r="AB18" i="63"/>
  <c r="AB44" i="63"/>
  <c r="AB35" i="63"/>
  <c r="AB25" i="63"/>
  <c r="AB40" i="63"/>
  <c r="AB32" i="63"/>
  <c r="AB42" i="63"/>
  <c r="AB13" i="63"/>
  <c r="AB12" i="63"/>
  <c r="AB15" i="63"/>
  <c r="AB50" i="63"/>
  <c r="AB41" i="63"/>
  <c r="AB56" i="63"/>
  <c r="AB49" i="63"/>
  <c r="AB31" i="63"/>
  <c r="AB17" i="63"/>
  <c r="AB52" i="63"/>
  <c r="AB45" i="63"/>
  <c r="AB57" i="63"/>
  <c r="AB51" i="63"/>
  <c r="AB23" i="63"/>
  <c r="AB26" i="63"/>
  <c r="AB46" i="63"/>
  <c r="AB53" i="63"/>
  <c r="AB43" i="63"/>
  <c r="AB14" i="63"/>
  <c r="X50" i="63"/>
  <c r="X17" i="63"/>
  <c r="X28" i="63"/>
  <c r="X56" i="63"/>
  <c r="X42" i="63"/>
  <c r="X16" i="63"/>
  <c r="X45" i="63"/>
  <c r="X51" i="63"/>
  <c r="X10" i="63"/>
  <c r="X14" i="63"/>
  <c r="X21" i="63"/>
  <c r="X54" i="63"/>
  <c r="X29" i="63"/>
  <c r="U37" i="63"/>
  <c r="X12" i="63"/>
  <c r="X57" i="63"/>
  <c r="U51" i="63"/>
  <c r="Y51" i="63" s="1"/>
  <c r="X23" i="63"/>
  <c r="Y23" i="63" s="1"/>
  <c r="X55" i="63"/>
  <c r="X39" i="63"/>
  <c r="U43" i="63"/>
  <c r="X26" i="63"/>
  <c r="Y26" i="63" s="1"/>
  <c r="X20" i="63"/>
  <c r="X19" i="63"/>
  <c r="X40" i="63"/>
  <c r="U10" i="63"/>
  <c r="Y10" i="63" s="1"/>
  <c r="X27" i="63"/>
  <c r="X47" i="63"/>
  <c r="X37" i="63"/>
  <c r="X13" i="63"/>
  <c r="X15" i="63"/>
  <c r="U40" i="63"/>
  <c r="Y40" i="63" s="1"/>
  <c r="X49" i="63"/>
  <c r="U53" i="63"/>
  <c r="X38" i="63"/>
  <c r="U23" i="63"/>
  <c r="X7" i="63"/>
  <c r="X48" i="63"/>
  <c r="U55" i="63"/>
  <c r="U57" i="63"/>
  <c r="X36" i="63"/>
  <c r="Y36" i="63" s="1"/>
  <c r="U41" i="63"/>
  <c r="U17" i="63"/>
  <c r="X44" i="63"/>
  <c r="X9" i="63"/>
  <c r="U19" i="63"/>
  <c r="U36" i="63"/>
  <c r="X41" i="63"/>
  <c r="U27" i="63"/>
  <c r="X32" i="63"/>
  <c r="X31" i="63"/>
  <c r="U38" i="63"/>
  <c r="X8" i="63"/>
  <c r="U20" i="63"/>
  <c r="U25" i="63"/>
  <c r="X34" i="63"/>
  <c r="U7" i="63"/>
  <c r="X33" i="63"/>
  <c r="U35" i="63"/>
  <c r="X24" i="63"/>
  <c r="X25" i="63"/>
  <c r="Y25" i="63" s="1"/>
  <c r="X22" i="63"/>
  <c r="X53" i="63"/>
  <c r="X30" i="63"/>
  <c r="Y30" i="63" s="1"/>
  <c r="U47" i="63"/>
  <c r="X43" i="63"/>
  <c r="Y43" i="63" s="1"/>
  <c r="X18" i="63"/>
  <c r="U49" i="63"/>
  <c r="U13" i="63"/>
  <c r="X52" i="63"/>
  <c r="Y52" i="63" s="1"/>
  <c r="U30" i="63"/>
  <c r="X35" i="63"/>
  <c r="Y35" i="63" s="1"/>
  <c r="X11" i="63"/>
  <c r="U48" i="63"/>
  <c r="Y48" i="63" s="1"/>
  <c r="U16" i="63"/>
  <c r="U52" i="63"/>
  <c r="X46" i="63"/>
  <c r="U29" i="63"/>
  <c r="Y29" i="63" s="1"/>
  <c r="U11" i="63"/>
  <c r="U18" i="63"/>
  <c r="Y18" i="63" s="1"/>
  <c r="U54" i="63"/>
  <c r="Y54" i="63" s="1"/>
  <c r="U31" i="63"/>
  <c r="Y31" i="63" s="1"/>
  <c r="U50" i="63"/>
  <c r="Y50" i="63" s="1"/>
  <c r="U14" i="63"/>
  <c r="U24" i="63"/>
  <c r="Y24" i="63" s="1"/>
  <c r="U44" i="63"/>
  <c r="Y44" i="63" s="1"/>
  <c r="U56" i="63"/>
  <c r="Y56" i="63" s="1"/>
  <c r="U8" i="63"/>
  <c r="Y8" i="63" s="1"/>
  <c r="U46" i="63"/>
  <c r="Y46" i="63" s="1"/>
  <c r="U33" i="63"/>
  <c r="Y33" i="63" s="1"/>
  <c r="U26" i="63"/>
  <c r="U39" i="63"/>
  <c r="Y39" i="63" s="1"/>
  <c r="U9" i="63"/>
  <c r="Y9" i="63" s="1"/>
  <c r="U42" i="63"/>
  <c r="Y42" i="63" s="1"/>
  <c r="U28" i="63"/>
  <c r="Y28" i="63" s="1"/>
  <c r="U21" i="63"/>
  <c r="Y21" i="63" s="1"/>
  <c r="U15" i="63"/>
  <c r="Y15" i="63" s="1"/>
  <c r="U32" i="63"/>
  <c r="Y32" i="63" s="1"/>
  <c r="U45" i="63"/>
  <c r="Y45" i="63" s="1"/>
  <c r="U22" i="63"/>
  <c r="U12" i="63"/>
  <c r="Y12" i="63" s="1"/>
  <c r="U34" i="63"/>
  <c r="Y34" i="63" s="1"/>
  <c r="AC58" i="63" l="1"/>
  <c r="Y13" i="63"/>
  <c r="U58" i="63"/>
  <c r="X58" i="63"/>
  <c r="Y7" i="63"/>
  <c r="Y49" i="63"/>
  <c r="Y37" i="63"/>
  <c r="AB58" i="63"/>
  <c r="Y22" i="63"/>
  <c r="Y14" i="63"/>
  <c r="Y41" i="63"/>
  <c r="Y47" i="63"/>
  <c r="Y19" i="63"/>
  <c r="Y57" i="63"/>
  <c r="Y11" i="63"/>
  <c r="Y16" i="63"/>
  <c r="Y53" i="63"/>
  <c r="Y17" i="63"/>
  <c r="Y38" i="63"/>
  <c r="Y27" i="63"/>
  <c r="Y20" i="63"/>
  <c r="Y55" i="63"/>
  <c r="Z20" i="63" l="1"/>
  <c r="AD20" i="63" s="1"/>
  <c r="AE20" i="63" s="1"/>
  <c r="Z17" i="63"/>
  <c r="AD17" i="63" s="1"/>
  <c r="AE17" i="63" s="1"/>
  <c r="Z16" i="63"/>
  <c r="AD16" i="63" s="1"/>
  <c r="AE16" i="63" s="1"/>
  <c r="Z22" i="63"/>
  <c r="AD22" i="63" s="1"/>
  <c r="AE22" i="63" s="1"/>
  <c r="Z38" i="63"/>
  <c r="AD38" i="63" s="1"/>
  <c r="AE38" i="63" s="1"/>
  <c r="Y58" i="63"/>
  <c r="Z41" i="63" s="1"/>
  <c r="AD41" i="63" s="1"/>
  <c r="AE41" i="63" s="1"/>
  <c r="Z7" i="63"/>
  <c r="AD7" i="63" l="1"/>
  <c r="Z27" i="63"/>
  <c r="AD27" i="63" s="1"/>
  <c r="AE27" i="63" s="1"/>
  <c r="Z37" i="63"/>
  <c r="AD37" i="63" s="1"/>
  <c r="AE37" i="63" s="1"/>
  <c r="Z42" i="63"/>
  <c r="AD42" i="63" s="1"/>
  <c r="AE42" i="63" s="1"/>
  <c r="Z46" i="63"/>
  <c r="AD46" i="63" s="1"/>
  <c r="AE46" i="63" s="1"/>
  <c r="Z25" i="63"/>
  <c r="AD25" i="63" s="1"/>
  <c r="AE25" i="63" s="1"/>
  <c r="Z29" i="63"/>
  <c r="AD29" i="63" s="1"/>
  <c r="AE29" i="63" s="1"/>
  <c r="Z21" i="63"/>
  <c r="AD21" i="63" s="1"/>
  <c r="AE21" i="63" s="1"/>
  <c r="Z18" i="63"/>
  <c r="AD18" i="63" s="1"/>
  <c r="AE18" i="63" s="1"/>
  <c r="Z40" i="63"/>
  <c r="AD40" i="63" s="1"/>
  <c r="AE40" i="63" s="1"/>
  <c r="Z32" i="63"/>
  <c r="AD32" i="63" s="1"/>
  <c r="AE32" i="63" s="1"/>
  <c r="Z45" i="63"/>
  <c r="AD45" i="63" s="1"/>
  <c r="AE45" i="63" s="1"/>
  <c r="Z50" i="63"/>
  <c r="AD50" i="63" s="1"/>
  <c r="AE50" i="63" s="1"/>
  <c r="Z31" i="63"/>
  <c r="AD31" i="63" s="1"/>
  <c r="AE31" i="63" s="1"/>
  <c r="Z12" i="63"/>
  <c r="AD12" i="63" s="1"/>
  <c r="AE12" i="63" s="1"/>
  <c r="Z24" i="63"/>
  <c r="AD24" i="63" s="1"/>
  <c r="AE24" i="63" s="1"/>
  <c r="Z43" i="63"/>
  <c r="AD43" i="63" s="1"/>
  <c r="AE43" i="63" s="1"/>
  <c r="Z39" i="63"/>
  <c r="AD39" i="63" s="1"/>
  <c r="AE39" i="63" s="1"/>
  <c r="Z35" i="63"/>
  <c r="AD35" i="63" s="1"/>
  <c r="AE35" i="63" s="1"/>
  <c r="Z44" i="63"/>
  <c r="AD44" i="63" s="1"/>
  <c r="AE44" i="63" s="1"/>
  <c r="Z28" i="63"/>
  <c r="AD28" i="63" s="1"/>
  <c r="AE28" i="63" s="1"/>
  <c r="Z51" i="63"/>
  <c r="AD51" i="63" s="1"/>
  <c r="AE51" i="63" s="1"/>
  <c r="Z33" i="63"/>
  <c r="AD33" i="63" s="1"/>
  <c r="AE33" i="63" s="1"/>
  <c r="Z10" i="63"/>
  <c r="AD10" i="63" s="1"/>
  <c r="AE10" i="63" s="1"/>
  <c r="Z52" i="63"/>
  <c r="AD52" i="63" s="1"/>
  <c r="AE52" i="63" s="1"/>
  <c r="Z15" i="63"/>
  <c r="AD15" i="63" s="1"/>
  <c r="AE15" i="63" s="1"/>
  <c r="Z54" i="63"/>
  <c r="AD54" i="63" s="1"/>
  <c r="AE54" i="63" s="1"/>
  <c r="Z36" i="63"/>
  <c r="AD36" i="63" s="1"/>
  <c r="AE36" i="63" s="1"/>
  <c r="Z34" i="63"/>
  <c r="AD34" i="63" s="1"/>
  <c r="AE34" i="63" s="1"/>
  <c r="Z26" i="63"/>
  <c r="AD26" i="63" s="1"/>
  <c r="AE26" i="63" s="1"/>
  <c r="Z8" i="63"/>
  <c r="AD8" i="63" s="1"/>
  <c r="AE8" i="63" s="1"/>
  <c r="Z30" i="63"/>
  <c r="AD30" i="63" s="1"/>
  <c r="AE30" i="63" s="1"/>
  <c r="Z48" i="63"/>
  <c r="AD48" i="63" s="1"/>
  <c r="AE48" i="63" s="1"/>
  <c r="Z56" i="63"/>
  <c r="AD56" i="63" s="1"/>
  <c r="AE56" i="63" s="1"/>
  <c r="Z23" i="63"/>
  <c r="AD23" i="63" s="1"/>
  <c r="AE23" i="63" s="1"/>
  <c r="Z9" i="63"/>
  <c r="AD9" i="63" s="1"/>
  <c r="AE9" i="63" s="1"/>
  <c r="Z49" i="63"/>
  <c r="AD49" i="63" s="1"/>
  <c r="AE49" i="63" s="1"/>
  <c r="Z13" i="63"/>
  <c r="AD13" i="63" s="1"/>
  <c r="AE13" i="63" s="1"/>
  <c r="Z19" i="63"/>
  <c r="AD19" i="63" s="1"/>
  <c r="AE19" i="63" s="1"/>
  <c r="Z57" i="63"/>
  <c r="AD57" i="63" s="1"/>
  <c r="AE57" i="63" s="1"/>
  <c r="Z11" i="63"/>
  <c r="AD11" i="63" s="1"/>
  <c r="AE11" i="63" s="1"/>
  <c r="Z47" i="63"/>
  <c r="AD47" i="63" s="1"/>
  <c r="AE47" i="63" s="1"/>
  <c r="Z14" i="63"/>
  <c r="AD14" i="63" s="1"/>
  <c r="AE14" i="63" s="1"/>
  <c r="Z53" i="63"/>
  <c r="AD53" i="63" s="1"/>
  <c r="AE53" i="63" s="1"/>
  <c r="Z55" i="63"/>
  <c r="AD55" i="63" s="1"/>
  <c r="AE55" i="63" s="1"/>
  <c r="J47" i="46"/>
  <c r="J46" i="46"/>
  <c r="J35" i="46"/>
  <c r="J34" i="46"/>
  <c r="J23" i="46"/>
  <c r="J22" i="46"/>
  <c r="J11" i="46"/>
  <c r="J10" i="46"/>
  <c r="J57" i="46"/>
  <c r="J56" i="46"/>
  <c r="J55" i="46"/>
  <c r="J54" i="46"/>
  <c r="J53" i="46"/>
  <c r="J52" i="46"/>
  <c r="J51" i="46"/>
  <c r="J50" i="46"/>
  <c r="J49" i="46"/>
  <c r="J48" i="46"/>
  <c r="J45" i="46"/>
  <c r="J44" i="46"/>
  <c r="J43" i="46"/>
  <c r="J42" i="46"/>
  <c r="J41" i="46"/>
  <c r="J40" i="46"/>
  <c r="J39" i="46"/>
  <c r="J38" i="46"/>
  <c r="J37" i="46"/>
  <c r="J36" i="46"/>
  <c r="J33" i="46"/>
  <c r="J32" i="46"/>
  <c r="J31" i="46"/>
  <c r="J30" i="46"/>
  <c r="J29" i="46"/>
  <c r="J28" i="46"/>
  <c r="J27" i="46"/>
  <c r="J26" i="46"/>
  <c r="J25" i="46"/>
  <c r="J24" i="46"/>
  <c r="J21" i="46"/>
  <c r="J20" i="46"/>
  <c r="J19" i="46"/>
  <c r="J18" i="46"/>
  <c r="J17" i="46"/>
  <c r="J16" i="46"/>
  <c r="J15" i="46"/>
  <c r="J14" i="46"/>
  <c r="J13" i="46"/>
  <c r="J12" i="46"/>
  <c r="J9" i="46"/>
  <c r="J8" i="46"/>
  <c r="J7" i="46"/>
  <c r="AD58" i="63" l="1"/>
  <c r="AE7" i="63"/>
  <c r="AE58" i="63" s="1"/>
  <c r="AF56" i="63" s="1"/>
  <c r="Z58" i="63"/>
  <c r="E5" i="41"/>
  <c r="E4" i="41"/>
  <c r="B48" i="46" l="1"/>
  <c r="B36" i="46"/>
  <c r="B24" i="46"/>
  <c r="B12" i="46"/>
  <c r="B50" i="46"/>
  <c r="B47" i="46"/>
  <c r="B35" i="46"/>
  <c r="B23" i="46"/>
  <c r="B11" i="46"/>
  <c r="B17" i="46"/>
  <c r="B40" i="46"/>
  <c r="B13" i="46"/>
  <c r="B46" i="46"/>
  <c r="B34" i="46"/>
  <c r="B22" i="46"/>
  <c r="B10" i="46"/>
  <c r="B45" i="46"/>
  <c r="B21" i="46"/>
  <c r="B44" i="46"/>
  <c r="B32" i="46"/>
  <c r="B31" i="46"/>
  <c r="B54" i="46"/>
  <c r="B16" i="46"/>
  <c r="B27" i="46"/>
  <c r="B57" i="46"/>
  <c r="B33" i="46"/>
  <c r="B9" i="46"/>
  <c r="B20" i="46"/>
  <c r="B7" i="46"/>
  <c r="B42" i="46"/>
  <c r="B29" i="46"/>
  <c r="B25" i="46"/>
  <c r="B56" i="46"/>
  <c r="B8" i="46"/>
  <c r="B52" i="46"/>
  <c r="B39" i="46"/>
  <c r="B26" i="46"/>
  <c r="B37" i="46"/>
  <c r="B55" i="46"/>
  <c r="B43" i="46"/>
  <c r="B19" i="46"/>
  <c r="B30" i="46"/>
  <c r="B41" i="46"/>
  <c r="B38" i="46"/>
  <c r="B49" i="46"/>
  <c r="B18" i="46"/>
  <c r="B53" i="46"/>
  <c r="B28" i="46"/>
  <c r="B51" i="46"/>
  <c r="B14" i="46"/>
  <c r="B15" i="46"/>
  <c r="C57" i="46"/>
  <c r="C45" i="46"/>
  <c r="C33" i="46"/>
  <c r="C21" i="46"/>
  <c r="C9" i="46"/>
  <c r="C44" i="46"/>
  <c r="C32" i="46"/>
  <c r="C20" i="46"/>
  <c r="C8" i="46"/>
  <c r="C48" i="46"/>
  <c r="C34" i="46"/>
  <c r="C56" i="46"/>
  <c r="C12" i="46"/>
  <c r="C23" i="46"/>
  <c r="C46" i="46"/>
  <c r="C55" i="46"/>
  <c r="C43" i="46"/>
  <c r="C31" i="46"/>
  <c r="C19" i="46"/>
  <c r="C7" i="46"/>
  <c r="C14" i="46"/>
  <c r="C37" i="46"/>
  <c r="C54" i="46"/>
  <c r="C42" i="46"/>
  <c r="C30" i="46"/>
  <c r="C18" i="46"/>
  <c r="C50" i="46"/>
  <c r="C13" i="46"/>
  <c r="C24" i="46"/>
  <c r="C35" i="46"/>
  <c r="C22" i="46"/>
  <c r="C53" i="46"/>
  <c r="C41" i="46"/>
  <c r="C29" i="46"/>
  <c r="C17" i="46"/>
  <c r="C38" i="46"/>
  <c r="C52" i="46"/>
  <c r="C40" i="46"/>
  <c r="C28" i="46"/>
  <c r="C16" i="46"/>
  <c r="C26" i="46"/>
  <c r="C25" i="46"/>
  <c r="C36" i="46"/>
  <c r="C47" i="46"/>
  <c r="C51" i="46"/>
  <c r="C39" i="46"/>
  <c r="C27" i="46"/>
  <c r="C15" i="46"/>
  <c r="C49" i="46"/>
  <c r="C11" i="46"/>
  <c r="C10" i="46"/>
  <c r="AF8" i="63"/>
  <c r="AF45" i="63"/>
  <c r="AF27" i="63"/>
  <c r="AF48" i="63"/>
  <c r="AF30" i="63"/>
  <c r="AF51" i="63"/>
  <c r="AF12" i="63"/>
  <c r="AF26" i="63"/>
  <c r="AF14" i="63"/>
  <c r="AF43" i="63"/>
  <c r="AF35" i="63"/>
  <c r="AF23" i="63"/>
  <c r="AF11" i="63"/>
  <c r="AF24" i="63"/>
  <c r="AF25" i="63"/>
  <c r="AF46" i="63"/>
  <c r="AF28" i="63"/>
  <c r="AF49" i="63"/>
  <c r="AF29" i="63"/>
  <c r="AF33" i="63"/>
  <c r="AF19" i="63"/>
  <c r="AF40" i="63"/>
  <c r="AF42" i="63"/>
  <c r="AF44" i="63"/>
  <c r="AF9" i="63"/>
  <c r="AF15" i="63"/>
  <c r="AF18" i="63"/>
  <c r="AF52" i="63"/>
  <c r="AF53" i="63"/>
  <c r="AF7" i="63"/>
  <c r="N6" i="61" s="1"/>
  <c r="AF41" i="63"/>
  <c r="AF20" i="63"/>
  <c r="AF38" i="63"/>
  <c r="AF22" i="63"/>
  <c r="AF17" i="63"/>
  <c r="AF16" i="63"/>
  <c r="AF36" i="63"/>
  <c r="AF31" i="63"/>
  <c r="AF32" i="63"/>
  <c r="AF54" i="63"/>
  <c r="AF47" i="63"/>
  <c r="AF39" i="63"/>
  <c r="AF21" i="63"/>
  <c r="AF10" i="63"/>
  <c r="AF57" i="63"/>
  <c r="AF13" i="63"/>
  <c r="AF50" i="63"/>
  <c r="AF34" i="63"/>
  <c r="AF37" i="63"/>
  <c r="AF55" i="63"/>
  <c r="I5" i="41"/>
  <c r="I4" i="41"/>
  <c r="F56" i="55"/>
  <c r="C56" i="55"/>
  <c r="J49" i="55" s="1"/>
  <c r="B56" i="55"/>
  <c r="G55" i="55"/>
  <c r="H55" i="55" s="1"/>
  <c r="D55" i="55"/>
  <c r="G54" i="55"/>
  <c r="H54" i="55" s="1"/>
  <c r="D54" i="55"/>
  <c r="G53" i="55"/>
  <c r="H53" i="55" s="1"/>
  <c r="D53" i="55"/>
  <c r="G52" i="55"/>
  <c r="H52" i="55" s="1"/>
  <c r="D52" i="55"/>
  <c r="G51" i="55"/>
  <c r="H51" i="55" s="1"/>
  <c r="D51" i="55"/>
  <c r="G50" i="55"/>
  <c r="H50" i="55" s="1"/>
  <c r="D50" i="55"/>
  <c r="G49" i="55"/>
  <c r="H49" i="55" s="1"/>
  <c r="D49" i="55"/>
  <c r="G48" i="55"/>
  <c r="H48" i="55" s="1"/>
  <c r="D48" i="55"/>
  <c r="G47" i="55"/>
  <c r="H47" i="55" s="1"/>
  <c r="D47" i="55"/>
  <c r="G46" i="55"/>
  <c r="H46" i="55" s="1"/>
  <c r="D46" i="55"/>
  <c r="G45" i="55"/>
  <c r="H45" i="55" s="1"/>
  <c r="D45" i="55"/>
  <c r="G44" i="55"/>
  <c r="H44" i="55" s="1"/>
  <c r="D44" i="55"/>
  <c r="G43" i="55"/>
  <c r="H43" i="55" s="1"/>
  <c r="D43" i="55"/>
  <c r="G42" i="55"/>
  <c r="H42" i="55" s="1"/>
  <c r="D42" i="55"/>
  <c r="G41" i="55"/>
  <c r="H41" i="55" s="1"/>
  <c r="D41" i="55"/>
  <c r="G40" i="55"/>
  <c r="H40" i="55" s="1"/>
  <c r="D40" i="55"/>
  <c r="G39" i="55"/>
  <c r="H39" i="55" s="1"/>
  <c r="D39" i="55"/>
  <c r="G38" i="55"/>
  <c r="H38" i="55" s="1"/>
  <c r="D38" i="55"/>
  <c r="G37" i="55"/>
  <c r="H37" i="55" s="1"/>
  <c r="D37" i="55"/>
  <c r="G36" i="55"/>
  <c r="H36" i="55" s="1"/>
  <c r="D36" i="55"/>
  <c r="G35" i="55"/>
  <c r="H35" i="55" s="1"/>
  <c r="D35" i="55"/>
  <c r="G34" i="55"/>
  <c r="H34" i="55" s="1"/>
  <c r="D34" i="55"/>
  <c r="G33" i="55"/>
  <c r="H33" i="55" s="1"/>
  <c r="D33" i="55"/>
  <c r="G32" i="55"/>
  <c r="H32" i="55" s="1"/>
  <c r="D32" i="55"/>
  <c r="G31" i="55"/>
  <c r="H31" i="55" s="1"/>
  <c r="D31" i="55"/>
  <c r="G30" i="55"/>
  <c r="H30" i="55" s="1"/>
  <c r="D30" i="55"/>
  <c r="G29" i="55"/>
  <c r="H29" i="55" s="1"/>
  <c r="D29" i="55"/>
  <c r="G28" i="55"/>
  <c r="H28" i="55" s="1"/>
  <c r="D28" i="55"/>
  <c r="G27" i="55"/>
  <c r="H27" i="55" s="1"/>
  <c r="D27" i="55"/>
  <c r="G26" i="55"/>
  <c r="H26" i="55" s="1"/>
  <c r="D26" i="55"/>
  <c r="H25" i="55"/>
  <c r="G25" i="55"/>
  <c r="D25" i="55"/>
  <c r="G24" i="55"/>
  <c r="H24" i="55" s="1"/>
  <c r="D24" i="55"/>
  <c r="G23" i="55"/>
  <c r="H23" i="55" s="1"/>
  <c r="D23" i="55"/>
  <c r="G22" i="55"/>
  <c r="H22" i="55" s="1"/>
  <c r="D22" i="55"/>
  <c r="G21" i="55"/>
  <c r="H21" i="55" s="1"/>
  <c r="D21" i="55"/>
  <c r="G20" i="55"/>
  <c r="H20" i="55" s="1"/>
  <c r="D20" i="55"/>
  <c r="G19" i="55"/>
  <c r="H19" i="55" s="1"/>
  <c r="D19" i="55"/>
  <c r="G18" i="55"/>
  <c r="H18" i="55" s="1"/>
  <c r="D18" i="55"/>
  <c r="G17" i="55"/>
  <c r="H17" i="55" s="1"/>
  <c r="D17" i="55"/>
  <c r="G16" i="55"/>
  <c r="H16" i="55" s="1"/>
  <c r="D16" i="55"/>
  <c r="G15" i="55"/>
  <c r="H15" i="55" s="1"/>
  <c r="D15" i="55"/>
  <c r="G14" i="55"/>
  <c r="H14" i="55" s="1"/>
  <c r="D14" i="55"/>
  <c r="G13" i="55"/>
  <c r="H13" i="55" s="1"/>
  <c r="D13" i="55"/>
  <c r="G12" i="55"/>
  <c r="H12" i="55" s="1"/>
  <c r="D12" i="55"/>
  <c r="G11" i="55"/>
  <c r="H11" i="55" s="1"/>
  <c r="D11" i="55"/>
  <c r="G10" i="55"/>
  <c r="H10" i="55" s="1"/>
  <c r="D10" i="55"/>
  <c r="G9" i="55"/>
  <c r="H9" i="55" s="1"/>
  <c r="D9" i="55"/>
  <c r="G8" i="55"/>
  <c r="H8" i="55" s="1"/>
  <c r="D8" i="55"/>
  <c r="G7" i="55"/>
  <c r="H7" i="55" s="1"/>
  <c r="D7" i="55"/>
  <c r="G6" i="55"/>
  <c r="H6" i="55" s="1"/>
  <c r="D6" i="55"/>
  <c r="G5" i="55"/>
  <c r="H5" i="55" s="1"/>
  <c r="D5" i="55"/>
  <c r="N34" i="61" l="1"/>
  <c r="N41" i="61"/>
  <c r="N35" i="61"/>
  <c r="J12" i="55"/>
  <c r="J13" i="55"/>
  <c r="N20" i="61"/>
  <c r="N17" i="61"/>
  <c r="N30" i="61"/>
  <c r="N45" i="61"/>
  <c r="N9" i="61"/>
  <c r="N33" i="61"/>
  <c r="N42" i="61"/>
  <c r="N29" i="61"/>
  <c r="N12" i="61"/>
  <c r="N11" i="61"/>
  <c r="N37" i="61"/>
  <c r="N46" i="61"/>
  <c r="N32" i="61"/>
  <c r="N50" i="61"/>
  <c r="N7" i="61"/>
  <c r="N38" i="61"/>
  <c r="N36" i="61"/>
  <c r="N56" i="61"/>
  <c r="N22" i="61"/>
  <c r="N39" i="61"/>
  <c r="N49" i="61"/>
  <c r="N24" i="61"/>
  <c r="N10" i="61"/>
  <c r="N27" i="61"/>
  <c r="N47" i="61"/>
  <c r="N55" i="61"/>
  <c r="N53" i="61"/>
  <c r="N40" i="61"/>
  <c r="N18" i="61"/>
  <c r="N14" i="61"/>
  <c r="N25" i="61"/>
  <c r="N15" i="61"/>
  <c r="N48" i="61"/>
  <c r="N43" i="61"/>
  <c r="N52" i="61"/>
  <c r="N28" i="61"/>
  <c r="N19" i="61"/>
  <c r="N16" i="61"/>
  <c r="N44" i="61"/>
  <c r="N26" i="61"/>
  <c r="N8" i="61"/>
  <c r="N21" i="61"/>
  <c r="N54" i="61"/>
  <c r="N13" i="61"/>
  <c r="N23" i="61"/>
  <c r="N51" i="61"/>
  <c r="N31" i="61"/>
  <c r="AF58" i="63"/>
  <c r="J24" i="55"/>
  <c r="J48" i="55"/>
  <c r="M6" i="61"/>
  <c r="M51" i="61"/>
  <c r="M30" i="61"/>
  <c r="M32" i="61"/>
  <c r="M23" i="61"/>
  <c r="M55" i="61"/>
  <c r="M37" i="61"/>
  <c r="M38" i="61"/>
  <c r="M22" i="61"/>
  <c r="M18" i="61"/>
  <c r="M11" i="61"/>
  <c r="M12" i="61"/>
  <c r="M49" i="61"/>
  <c r="M50" i="61"/>
  <c r="M40" i="61"/>
  <c r="M42" i="61"/>
  <c r="M24" i="61"/>
  <c r="M13" i="61"/>
  <c r="M46" i="61"/>
  <c r="M56" i="61"/>
  <c r="M16" i="61"/>
  <c r="M36" i="61"/>
  <c r="M9" i="61"/>
  <c r="M26" i="61"/>
  <c r="M35" i="61"/>
  <c r="M33" i="61"/>
  <c r="M52" i="61"/>
  <c r="M17" i="61"/>
  <c r="M20" i="61"/>
  <c r="M15" i="61"/>
  <c r="M54" i="61"/>
  <c r="M8" i="61"/>
  <c r="M48" i="61"/>
  <c r="M7" i="61"/>
  <c r="M19" i="61"/>
  <c r="M21" i="61"/>
  <c r="M47" i="61"/>
  <c r="M41" i="61"/>
  <c r="M25" i="61"/>
  <c r="M14" i="61"/>
  <c r="M44" i="61"/>
  <c r="M28" i="61"/>
  <c r="M34" i="61"/>
  <c r="M45" i="61"/>
  <c r="M31" i="61"/>
  <c r="M53" i="61"/>
  <c r="M10" i="61"/>
  <c r="M39" i="61"/>
  <c r="M43" i="61"/>
  <c r="M27" i="61"/>
  <c r="M29" i="61"/>
  <c r="J36" i="55"/>
  <c r="H56" i="55"/>
  <c r="I5" i="55" s="1"/>
  <c r="J35" i="55"/>
  <c r="J47" i="55"/>
  <c r="D56" i="55"/>
  <c r="E28" i="55" s="1"/>
  <c r="J10" i="55"/>
  <c r="J22" i="55"/>
  <c r="J34" i="55"/>
  <c r="J46" i="55"/>
  <c r="J21" i="55"/>
  <c r="J8" i="55"/>
  <c r="J20" i="55"/>
  <c r="J32" i="55"/>
  <c r="J44" i="55"/>
  <c r="J11" i="55"/>
  <c r="J23" i="55"/>
  <c r="J33" i="55"/>
  <c r="J45" i="55"/>
  <c r="J7" i="55"/>
  <c r="J19" i="55"/>
  <c r="J31" i="55"/>
  <c r="J43" i="55"/>
  <c r="J55" i="55"/>
  <c r="J6" i="55"/>
  <c r="J18" i="55"/>
  <c r="J30" i="55"/>
  <c r="J42" i="55"/>
  <c r="J54" i="55"/>
  <c r="J9" i="55"/>
  <c r="J5" i="55"/>
  <c r="J17" i="55"/>
  <c r="J29" i="55"/>
  <c r="J41" i="55"/>
  <c r="J53" i="55"/>
  <c r="J16" i="55"/>
  <c r="J28" i="55"/>
  <c r="J40" i="55"/>
  <c r="J52" i="55"/>
  <c r="J15" i="55"/>
  <c r="J27" i="55"/>
  <c r="J39" i="55"/>
  <c r="J51" i="55"/>
  <c r="J14" i="55"/>
  <c r="J26" i="55"/>
  <c r="J38" i="55"/>
  <c r="J50" i="55"/>
  <c r="J25" i="55"/>
  <c r="J37" i="55"/>
  <c r="I18" i="55" l="1"/>
  <c r="I9" i="55"/>
  <c r="I49" i="55"/>
  <c r="E54" i="55"/>
  <c r="I46" i="55"/>
  <c r="I16" i="55"/>
  <c r="I39" i="55"/>
  <c r="I41" i="55"/>
  <c r="I21" i="55"/>
  <c r="I30" i="55"/>
  <c r="I32" i="55"/>
  <c r="I15" i="55"/>
  <c r="I27" i="55"/>
  <c r="I54" i="55"/>
  <c r="I13" i="55"/>
  <c r="I24" i="55"/>
  <c r="E12" i="55"/>
  <c r="I55" i="55"/>
  <c r="E40" i="55"/>
  <c r="E43" i="55"/>
  <c r="I17" i="55"/>
  <c r="I25" i="55"/>
  <c r="E34" i="55"/>
  <c r="I8" i="55"/>
  <c r="I53" i="55"/>
  <c r="I33" i="55"/>
  <c r="I31" i="55"/>
  <c r="I6" i="55"/>
  <c r="I26" i="55"/>
  <c r="I34" i="55"/>
  <c r="I50" i="55"/>
  <c r="I12" i="55"/>
  <c r="I52" i="55"/>
  <c r="I28" i="55"/>
  <c r="I22" i="55"/>
  <c r="I7" i="55"/>
  <c r="I10" i="55"/>
  <c r="I42" i="55"/>
  <c r="I37" i="55"/>
  <c r="I40" i="55"/>
  <c r="I20" i="55"/>
  <c r="I36" i="55"/>
  <c r="I48" i="55"/>
  <c r="I44" i="55"/>
  <c r="E22" i="55"/>
  <c r="E42" i="55"/>
  <c r="E49" i="55"/>
  <c r="E31" i="55"/>
  <c r="E25" i="55"/>
  <c r="E24" i="55"/>
  <c r="E37" i="55"/>
  <c r="E16" i="55"/>
  <c r="E18" i="55"/>
  <c r="I51" i="55"/>
  <c r="E7" i="55"/>
  <c r="I19" i="55"/>
  <c r="I43" i="55"/>
  <c r="E10" i="55"/>
  <c r="I14" i="55"/>
  <c r="E15" i="55"/>
  <c r="E27" i="55"/>
  <c r="I45" i="55"/>
  <c r="I29" i="55"/>
  <c r="J56" i="55"/>
  <c r="E45" i="55"/>
  <c r="E33" i="55"/>
  <c r="E21" i="55"/>
  <c r="E9" i="55"/>
  <c r="E47" i="55"/>
  <c r="E35" i="55"/>
  <c r="E23" i="55"/>
  <c r="E11" i="55"/>
  <c r="E36" i="55"/>
  <c r="E14" i="55"/>
  <c r="E50" i="55"/>
  <c r="E38" i="55"/>
  <c r="E26" i="55"/>
  <c r="E53" i="55"/>
  <c r="E20" i="55"/>
  <c r="E41" i="55"/>
  <c r="E44" i="55"/>
  <c r="E32" i="55"/>
  <c r="E29" i="55"/>
  <c r="E17" i="55"/>
  <c r="E5" i="55"/>
  <c r="E8" i="55"/>
  <c r="E51" i="55"/>
  <c r="E55" i="55"/>
  <c r="E39" i="55"/>
  <c r="E6" i="55"/>
  <c r="E52" i="55"/>
  <c r="E13" i="55"/>
  <c r="E30" i="55"/>
  <c r="E46" i="55"/>
  <c r="I38" i="55"/>
  <c r="I47" i="55"/>
  <c r="I11" i="55"/>
  <c r="I35" i="55"/>
  <c r="I23" i="55"/>
  <c r="E48" i="55"/>
  <c r="E19" i="55"/>
  <c r="E56" i="55" l="1"/>
  <c r="I56" i="55"/>
  <c r="E13" i="41" l="1"/>
  <c r="E14" i="41" s="1"/>
  <c r="E9" i="41"/>
  <c r="I9" i="41" s="1"/>
  <c r="E8" i="41"/>
  <c r="I8" i="41" s="1"/>
  <c r="E7" i="41"/>
  <c r="E6" i="41"/>
  <c r="E7" i="46" s="1"/>
  <c r="F51" i="46" l="1"/>
  <c r="F27" i="46"/>
  <c r="F50" i="46"/>
  <c r="F38" i="46"/>
  <c r="F26" i="46"/>
  <c r="F14" i="46"/>
  <c r="F13" i="46"/>
  <c r="F49" i="46"/>
  <c r="F37" i="46"/>
  <c r="F25" i="46"/>
  <c r="F48" i="46"/>
  <c r="F36" i="46"/>
  <c r="F24" i="46"/>
  <c r="F12" i="46"/>
  <c r="F10" i="46"/>
  <c r="F17" i="46"/>
  <c r="F47" i="46"/>
  <c r="F35" i="46"/>
  <c r="F23" i="46"/>
  <c r="F11" i="46"/>
  <c r="F46" i="46"/>
  <c r="F34" i="46"/>
  <c r="F22" i="46"/>
  <c r="F57" i="46"/>
  <c r="F45" i="46"/>
  <c r="F33" i="46"/>
  <c r="F21" i="46"/>
  <c r="F9" i="46"/>
  <c r="F41" i="46"/>
  <c r="F56" i="46"/>
  <c r="F44" i="46"/>
  <c r="F32" i="46"/>
  <c r="F20" i="46"/>
  <c r="F8" i="46"/>
  <c r="F55" i="46"/>
  <c r="F43" i="46"/>
  <c r="F31" i="46"/>
  <c r="F19" i="46"/>
  <c r="F7" i="46"/>
  <c r="F29" i="46"/>
  <c r="F54" i="46"/>
  <c r="F42" i="46"/>
  <c r="F30" i="46"/>
  <c r="F18" i="46"/>
  <c r="F53" i="46"/>
  <c r="F52" i="46"/>
  <c r="F40" i="46"/>
  <c r="F28" i="46"/>
  <c r="F16" i="46"/>
  <c r="F39" i="46"/>
  <c r="F15" i="46"/>
  <c r="E57" i="46"/>
  <c r="E45" i="46"/>
  <c r="E33" i="46"/>
  <c r="E21" i="46"/>
  <c r="E9" i="46"/>
  <c r="E56" i="46"/>
  <c r="E44" i="46"/>
  <c r="E32" i="46"/>
  <c r="E20" i="46"/>
  <c r="E8" i="46"/>
  <c r="E15" i="46"/>
  <c r="E14" i="46"/>
  <c r="E13" i="46"/>
  <c r="E47" i="46"/>
  <c r="E34" i="46"/>
  <c r="E55" i="46"/>
  <c r="E43" i="46"/>
  <c r="E31" i="46"/>
  <c r="E19" i="46"/>
  <c r="E18" i="46"/>
  <c r="E41" i="46"/>
  <c r="E40" i="46"/>
  <c r="E28" i="46"/>
  <c r="E27" i="46"/>
  <c r="E38" i="46"/>
  <c r="E48" i="46"/>
  <c r="E12" i="46"/>
  <c r="E46" i="46"/>
  <c r="E54" i="46"/>
  <c r="E42" i="46"/>
  <c r="E30" i="46"/>
  <c r="E17" i="46"/>
  <c r="E52" i="46"/>
  <c r="E16" i="46"/>
  <c r="E39" i="46"/>
  <c r="E50" i="46"/>
  <c r="E49" i="46"/>
  <c r="E36" i="46"/>
  <c r="E35" i="46"/>
  <c r="E11" i="46"/>
  <c r="E22" i="46"/>
  <c r="E53" i="46"/>
  <c r="E29" i="46"/>
  <c r="E51" i="46"/>
  <c r="E26" i="46"/>
  <c r="E37" i="46"/>
  <c r="E24" i="46"/>
  <c r="E23" i="46"/>
  <c r="E10" i="46"/>
  <c r="E25" i="46"/>
  <c r="R6" i="61"/>
  <c r="H7" i="46" s="1"/>
  <c r="R24" i="61"/>
  <c r="H25" i="46" s="1"/>
  <c r="R55" i="61"/>
  <c r="H56" i="46" s="1"/>
  <c r="R13" i="61"/>
  <c r="H14" i="46" s="1"/>
  <c r="R52" i="61"/>
  <c r="H53" i="46" s="1"/>
  <c r="R30" i="61"/>
  <c r="H31" i="46" s="1"/>
  <c r="R10" i="61"/>
  <c r="H11" i="46" s="1"/>
  <c r="R26" i="61"/>
  <c r="H27" i="46" s="1"/>
  <c r="R32" i="61"/>
  <c r="H33" i="46" s="1"/>
  <c r="R35" i="61"/>
  <c r="H36" i="46" s="1"/>
  <c r="R22" i="61"/>
  <c r="H23" i="46" s="1"/>
  <c r="R15" i="61"/>
  <c r="H16" i="46" s="1"/>
  <c r="R51" i="61"/>
  <c r="H52" i="46" s="1"/>
  <c r="R42" i="61"/>
  <c r="H43" i="46" s="1"/>
  <c r="R18" i="61"/>
  <c r="H19" i="46" s="1"/>
  <c r="R53" i="61"/>
  <c r="H54" i="46" s="1"/>
  <c r="R27" i="61"/>
  <c r="H28" i="46" s="1"/>
  <c r="R19" i="61"/>
  <c r="H20" i="46" s="1"/>
  <c r="R25" i="61"/>
  <c r="H26" i="46" s="1"/>
  <c r="R47" i="61"/>
  <c r="H48" i="46" s="1"/>
  <c r="R38" i="61"/>
  <c r="H39" i="46" s="1"/>
  <c r="R54" i="61"/>
  <c r="H55" i="46" s="1"/>
  <c r="R49" i="61"/>
  <c r="H50" i="46" s="1"/>
  <c r="R37" i="61"/>
  <c r="H38" i="46" s="1"/>
  <c r="R43" i="61"/>
  <c r="H44" i="46" s="1"/>
  <c r="R45" i="61"/>
  <c r="H46" i="46" s="1"/>
  <c r="R40" i="61"/>
  <c r="H41" i="46" s="1"/>
  <c r="R31" i="61"/>
  <c r="H32" i="46" s="1"/>
  <c r="R46" i="61"/>
  <c r="H47" i="46" s="1"/>
  <c r="R48" i="61"/>
  <c r="H49" i="46" s="1"/>
  <c r="R39" i="61"/>
  <c r="H40" i="46" s="1"/>
  <c r="R41" i="61"/>
  <c r="H42" i="46" s="1"/>
  <c r="R20" i="61"/>
  <c r="H21" i="46" s="1"/>
  <c r="R21" i="61"/>
  <c r="H22" i="46" s="1"/>
  <c r="R33" i="61"/>
  <c r="H34" i="46" s="1"/>
  <c r="R50" i="61"/>
  <c r="H51" i="46" s="1"/>
  <c r="R7" i="61"/>
  <c r="H8" i="46" s="1"/>
  <c r="R14" i="61"/>
  <c r="H15" i="46" s="1"/>
  <c r="R17" i="61"/>
  <c r="H18" i="46" s="1"/>
  <c r="R28" i="61"/>
  <c r="H29" i="46" s="1"/>
  <c r="R8" i="61"/>
  <c r="H9" i="46" s="1"/>
  <c r="R23" i="61"/>
  <c r="H24" i="46" s="1"/>
  <c r="R12" i="61"/>
  <c r="H13" i="46" s="1"/>
  <c r="R16" i="61"/>
  <c r="H17" i="46" s="1"/>
  <c r="R44" i="61"/>
  <c r="H45" i="46" s="1"/>
  <c r="R56" i="61"/>
  <c r="H57" i="46" s="1"/>
  <c r="R34" i="61"/>
  <c r="H35" i="46" s="1"/>
  <c r="R29" i="61"/>
  <c r="H30" i="46" s="1"/>
  <c r="R11" i="61"/>
  <c r="H12" i="46" s="1"/>
  <c r="R9" i="61"/>
  <c r="H10" i="46" s="1"/>
  <c r="R36" i="61"/>
  <c r="H37" i="46" s="1"/>
  <c r="I7" i="41"/>
  <c r="P29" i="61" s="1"/>
  <c r="Q6" i="61"/>
  <c r="G7" i="46" s="1"/>
  <c r="Q51" i="61"/>
  <c r="G52" i="46" s="1"/>
  <c r="Q21" i="61"/>
  <c r="G22" i="46" s="1"/>
  <c r="Q17" i="61"/>
  <c r="G18" i="46" s="1"/>
  <c r="Q48" i="61"/>
  <c r="G49" i="46" s="1"/>
  <c r="Q11" i="61"/>
  <c r="G12" i="46" s="1"/>
  <c r="Q55" i="61"/>
  <c r="G56" i="46" s="1"/>
  <c r="Q31" i="61"/>
  <c r="G32" i="46" s="1"/>
  <c r="Q24" i="61"/>
  <c r="G25" i="46" s="1"/>
  <c r="Q32" i="61"/>
  <c r="G33" i="46" s="1"/>
  <c r="Q43" i="61"/>
  <c r="G44" i="46" s="1"/>
  <c r="Q40" i="61"/>
  <c r="G41" i="46" s="1"/>
  <c r="Q42" i="61"/>
  <c r="G43" i="46" s="1"/>
  <c r="Q14" i="61"/>
  <c r="G15" i="46" s="1"/>
  <c r="Q23" i="61"/>
  <c r="G24" i="46" s="1"/>
  <c r="Q19" i="61"/>
  <c r="G20" i="46" s="1"/>
  <c r="Q13" i="61"/>
  <c r="G14" i="46" s="1"/>
  <c r="Q7" i="61"/>
  <c r="G8" i="46" s="1"/>
  <c r="Q49" i="61"/>
  <c r="G50" i="46" s="1"/>
  <c r="Q52" i="61"/>
  <c r="G53" i="46" s="1"/>
  <c r="Q45" i="61"/>
  <c r="G46" i="46" s="1"/>
  <c r="Q54" i="61"/>
  <c r="G55" i="46" s="1"/>
  <c r="Q22" i="61"/>
  <c r="G23" i="46" s="1"/>
  <c r="Q28" i="61"/>
  <c r="G29" i="46" s="1"/>
  <c r="Q29" i="61"/>
  <c r="G30" i="46" s="1"/>
  <c r="Q20" i="61"/>
  <c r="G21" i="46" s="1"/>
  <c r="Q10" i="61"/>
  <c r="G11" i="46" s="1"/>
  <c r="Q16" i="61"/>
  <c r="G17" i="46" s="1"/>
  <c r="Q27" i="61"/>
  <c r="G28" i="46" s="1"/>
  <c r="Q38" i="61"/>
  <c r="G39" i="46" s="1"/>
  <c r="Q18" i="61"/>
  <c r="G19" i="46" s="1"/>
  <c r="Q36" i="61"/>
  <c r="G37" i="46" s="1"/>
  <c r="Q30" i="61"/>
  <c r="G31" i="46" s="1"/>
  <c r="Q47" i="61"/>
  <c r="G48" i="46" s="1"/>
  <c r="Q56" i="61"/>
  <c r="G57" i="46" s="1"/>
  <c r="Q37" i="61"/>
  <c r="G38" i="46" s="1"/>
  <c r="Q35" i="61"/>
  <c r="G36" i="46" s="1"/>
  <c r="Q41" i="61"/>
  <c r="G42" i="46" s="1"/>
  <c r="Q50" i="61"/>
  <c r="G51" i="46" s="1"/>
  <c r="Q15" i="61"/>
  <c r="G16" i="46" s="1"/>
  <c r="Q9" i="61"/>
  <c r="G10" i="46" s="1"/>
  <c r="Q12" i="61"/>
  <c r="G13" i="46" s="1"/>
  <c r="Q53" i="61"/>
  <c r="G54" i="46" s="1"/>
  <c r="Q39" i="61"/>
  <c r="G40" i="46" s="1"/>
  <c r="Q26" i="61"/>
  <c r="G27" i="46" s="1"/>
  <c r="Q25" i="61"/>
  <c r="G26" i="46" s="1"/>
  <c r="Q44" i="61"/>
  <c r="G45" i="46" s="1"/>
  <c r="Q46" i="61"/>
  <c r="G47" i="46" s="1"/>
  <c r="Q34" i="61"/>
  <c r="G35" i="46" s="1"/>
  <c r="Q33" i="61"/>
  <c r="G34" i="46" s="1"/>
  <c r="Q8" i="61"/>
  <c r="G9" i="46" s="1"/>
  <c r="I6" i="41"/>
  <c r="E10" i="41"/>
  <c r="E15" i="41" s="1"/>
  <c r="C57" i="54"/>
  <c r="B57" i="54"/>
  <c r="D57" i="54" s="1"/>
  <c r="P15" i="61" l="1"/>
  <c r="P38" i="61"/>
  <c r="P39" i="61"/>
  <c r="P42" i="61"/>
  <c r="P18" i="61"/>
  <c r="P49" i="61"/>
  <c r="P25" i="61"/>
  <c r="P43" i="61"/>
  <c r="P30" i="61"/>
  <c r="P26" i="61"/>
  <c r="P22" i="61"/>
  <c r="P44" i="61"/>
  <c r="P50" i="61"/>
  <c r="P14" i="61"/>
  <c r="P23" i="61"/>
  <c r="P37" i="61"/>
  <c r="P51" i="61"/>
  <c r="P33" i="61"/>
  <c r="P13" i="61"/>
  <c r="P41" i="61"/>
  <c r="P27" i="61"/>
  <c r="P53" i="61"/>
  <c r="P35" i="61"/>
  <c r="P6" i="61"/>
  <c r="P56" i="61"/>
  <c r="P32" i="61"/>
  <c r="P20" i="61"/>
  <c r="P34" i="61"/>
  <c r="P10" i="61"/>
  <c r="P46" i="61"/>
  <c r="P24" i="61"/>
  <c r="P54" i="61"/>
  <c r="P19" i="61"/>
  <c r="P21" i="61"/>
  <c r="P47" i="61"/>
  <c r="P16" i="61"/>
  <c r="P48" i="61"/>
  <c r="P7" i="61"/>
  <c r="P28" i="61"/>
  <c r="P17" i="61"/>
  <c r="P11" i="61"/>
  <c r="P36" i="61"/>
  <c r="P55" i="61"/>
  <c r="P40" i="61"/>
  <c r="P9" i="61"/>
  <c r="P31" i="61"/>
  <c r="P12" i="61"/>
  <c r="P8" i="61"/>
  <c r="P45" i="61"/>
  <c r="P52" i="61"/>
  <c r="O6" i="61"/>
  <c r="O24" i="61"/>
  <c r="O41" i="61"/>
  <c r="O14" i="61"/>
  <c r="O53" i="61"/>
  <c r="O20" i="61"/>
  <c r="O21" i="61"/>
  <c r="O22" i="61"/>
  <c r="O10" i="61"/>
  <c r="O39" i="61"/>
  <c r="O27" i="61"/>
  <c r="O17" i="61"/>
  <c r="O35" i="61"/>
  <c r="O49" i="61"/>
  <c r="O32" i="61"/>
  <c r="O44" i="61"/>
  <c r="O8" i="61"/>
  <c r="O52" i="61"/>
  <c r="O37" i="61"/>
  <c r="O48" i="61"/>
  <c r="O56" i="61"/>
  <c r="O33" i="61"/>
  <c r="O51" i="61"/>
  <c r="O12" i="61"/>
  <c r="O30" i="61"/>
  <c r="O47" i="61"/>
  <c r="O25" i="61"/>
  <c r="O16" i="61"/>
  <c r="O36" i="61"/>
  <c r="O11" i="61"/>
  <c r="O19" i="61"/>
  <c r="O29" i="61"/>
  <c r="O7" i="61"/>
  <c r="O46" i="61"/>
  <c r="O34" i="61"/>
  <c r="O45" i="61"/>
  <c r="O18" i="61"/>
  <c r="O9" i="61"/>
  <c r="O31" i="61"/>
  <c r="O42" i="61"/>
  <c r="O54" i="61"/>
  <c r="O43" i="61"/>
  <c r="O40" i="61"/>
  <c r="O38" i="61"/>
  <c r="O15" i="61"/>
  <c r="O55" i="61"/>
  <c r="O13" i="61"/>
  <c r="O26" i="61"/>
  <c r="O28" i="61"/>
  <c r="O50" i="61"/>
  <c r="O23" i="61"/>
  <c r="I10" i="41"/>
  <c r="I15" i="41" s="1"/>
  <c r="O3" i="55" l="1"/>
  <c r="M3" i="55"/>
  <c r="N3" i="55"/>
  <c r="O38" i="55" l="1"/>
  <c r="O22" i="55"/>
  <c r="O24" i="55"/>
  <c r="O29" i="55"/>
  <c r="O53" i="55"/>
  <c r="O20" i="55"/>
  <c r="O6" i="55"/>
  <c r="O36" i="55"/>
  <c r="O49" i="55"/>
  <c r="O10" i="55"/>
  <c r="O13" i="55"/>
  <c r="O34" i="55"/>
  <c r="O12" i="55"/>
  <c r="O18" i="55"/>
  <c r="O39" i="55"/>
  <c r="O7" i="55"/>
  <c r="O48" i="55"/>
  <c r="O47" i="55"/>
  <c r="O8" i="55"/>
  <c r="O43" i="55"/>
  <c r="O35" i="55"/>
  <c r="O40" i="55"/>
  <c r="O26" i="55"/>
  <c r="O41" i="55"/>
  <c r="O11" i="55"/>
  <c r="O37" i="55"/>
  <c r="O21" i="55"/>
  <c r="O15" i="55"/>
  <c r="O52" i="55"/>
  <c r="O16" i="55"/>
  <c r="O46" i="55"/>
  <c r="O19" i="55"/>
  <c r="O31" i="55"/>
  <c r="O25" i="55"/>
  <c r="O23" i="55"/>
  <c r="O45" i="55"/>
  <c r="O9" i="55"/>
  <c r="O14" i="55"/>
  <c r="O28" i="55"/>
  <c r="O55" i="55"/>
  <c r="O27" i="55"/>
  <c r="O50" i="55"/>
  <c r="O32" i="55"/>
  <c r="O5" i="55"/>
  <c r="O51" i="55"/>
  <c r="O44" i="55"/>
  <c r="O54" i="55"/>
  <c r="O42" i="55"/>
  <c r="O30" i="55"/>
  <c r="O33" i="55"/>
  <c r="O17" i="55"/>
  <c r="N30" i="55"/>
  <c r="N41" i="55"/>
  <c r="N55" i="55"/>
  <c r="N9" i="55"/>
  <c r="N53" i="55"/>
  <c r="N49" i="55"/>
  <c r="N32" i="55"/>
  <c r="N27" i="55"/>
  <c r="N8" i="55"/>
  <c r="N26" i="55"/>
  <c r="N39" i="55"/>
  <c r="N33" i="55"/>
  <c r="N18" i="55"/>
  <c r="N6" i="55"/>
  <c r="N17" i="55"/>
  <c r="N25" i="55"/>
  <c r="N14" i="55"/>
  <c r="N34" i="55"/>
  <c r="N13" i="55"/>
  <c r="N31" i="55"/>
  <c r="N24" i="55"/>
  <c r="N16" i="55"/>
  <c r="N15" i="55"/>
  <c r="N54" i="55"/>
  <c r="N21" i="55"/>
  <c r="N46" i="55"/>
  <c r="N5" i="55"/>
  <c r="N48" i="55"/>
  <c r="N50" i="55"/>
  <c r="N19" i="55"/>
  <c r="N22" i="55"/>
  <c r="N51" i="55"/>
  <c r="N47" i="55"/>
  <c r="N38" i="55"/>
  <c r="N43" i="55"/>
  <c r="N37" i="55"/>
  <c r="N40" i="55"/>
  <c r="N12" i="55"/>
  <c r="N36" i="55"/>
  <c r="N20" i="55"/>
  <c r="N35" i="55"/>
  <c r="N23" i="55"/>
  <c r="N44" i="55"/>
  <c r="N28" i="55"/>
  <c r="N10" i="55"/>
  <c r="N29" i="55"/>
  <c r="N52" i="55"/>
  <c r="N42" i="55"/>
  <c r="N11" i="55"/>
  <c r="N7" i="55"/>
  <c r="N45" i="55"/>
  <c r="M12" i="55"/>
  <c r="M43" i="55"/>
  <c r="M40" i="55"/>
  <c r="M54" i="55"/>
  <c r="M34" i="55"/>
  <c r="M28" i="55"/>
  <c r="M23" i="55"/>
  <c r="M6" i="55"/>
  <c r="M38" i="55"/>
  <c r="M29" i="55"/>
  <c r="M11" i="55"/>
  <c r="M33" i="55"/>
  <c r="M8" i="55"/>
  <c r="M50" i="55"/>
  <c r="M14" i="55"/>
  <c r="M19" i="55"/>
  <c r="M10" i="55"/>
  <c r="M52" i="55"/>
  <c r="M45" i="55"/>
  <c r="M42" i="55"/>
  <c r="M49" i="55"/>
  <c r="M30" i="55"/>
  <c r="M51" i="55"/>
  <c r="M37" i="55"/>
  <c r="M48" i="55"/>
  <c r="M16" i="55"/>
  <c r="M36" i="55"/>
  <c r="M5" i="55"/>
  <c r="M7" i="55"/>
  <c r="M35" i="55"/>
  <c r="M47" i="55"/>
  <c r="M18" i="55"/>
  <c r="M39" i="55"/>
  <c r="M13" i="55"/>
  <c r="M20" i="55"/>
  <c r="M9" i="55"/>
  <c r="M44" i="55"/>
  <c r="M41" i="55"/>
  <c r="M26" i="55"/>
  <c r="M22" i="55"/>
  <c r="M21" i="55"/>
  <c r="M15" i="55"/>
  <c r="M17" i="55"/>
  <c r="M31" i="55"/>
  <c r="M27" i="55"/>
  <c r="M24" i="55"/>
  <c r="M55" i="55"/>
  <c r="M46" i="55"/>
  <c r="M32" i="55"/>
  <c r="M53" i="55"/>
  <c r="M25" i="55"/>
  <c r="P22" i="55" l="1"/>
  <c r="P48" i="55"/>
  <c r="P52" i="55"/>
  <c r="P15" i="55"/>
  <c r="P30" i="55"/>
  <c r="P53" i="55"/>
  <c r="P39" i="55"/>
  <c r="P35" i="55"/>
  <c r="P19" i="55"/>
  <c r="P14" i="55"/>
  <c r="P43" i="55"/>
  <c r="P24" i="55"/>
  <c r="P28" i="55"/>
  <c r="P54" i="55"/>
  <c r="P26" i="55"/>
  <c r="P36" i="55"/>
  <c r="P16" i="55"/>
  <c r="P50" i="55"/>
  <c r="P13" i="55"/>
  <c r="P27" i="55"/>
  <c r="P38" i="55"/>
  <c r="P17" i="55"/>
  <c r="P21" i="55"/>
  <c r="P7" i="55"/>
  <c r="P10" i="55"/>
  <c r="P34" i="55"/>
  <c r="P41" i="55"/>
  <c r="O56" i="55"/>
  <c r="P5" i="55"/>
  <c r="M56" i="55"/>
  <c r="P44" i="55"/>
  <c r="P8" i="55"/>
  <c r="P46" i="55"/>
  <c r="P9" i="55"/>
  <c r="P37" i="55"/>
  <c r="P33" i="55"/>
  <c r="N56" i="55"/>
  <c r="P25" i="55"/>
  <c r="P32" i="55"/>
  <c r="P55" i="55"/>
  <c r="P20" i="55"/>
  <c r="P51" i="55"/>
  <c r="P11" i="55"/>
  <c r="P12" i="55"/>
  <c r="P49" i="55"/>
  <c r="P42" i="55"/>
  <c r="P31" i="55"/>
  <c r="P18" i="55"/>
  <c r="P6" i="55"/>
  <c r="P29" i="55"/>
  <c r="P40" i="55"/>
  <c r="P47" i="55"/>
  <c r="P45" i="55"/>
  <c r="P23" i="55"/>
  <c r="B57" i="47"/>
  <c r="B58" i="47" s="1"/>
  <c r="B55" i="47"/>
  <c r="C50" i="47" s="1"/>
  <c r="P56" i="55" l="1"/>
  <c r="Q10" i="55" s="1"/>
  <c r="C54" i="47"/>
  <c r="D54" i="47" s="1"/>
  <c r="K57" i="46" s="1"/>
  <c r="Q57" i="46" s="1"/>
  <c r="C16" i="47"/>
  <c r="D16" i="47" s="1"/>
  <c r="K19" i="46" s="1"/>
  <c r="Q19" i="46" s="1"/>
  <c r="C33" i="47"/>
  <c r="D33" i="47" s="1"/>
  <c r="K36" i="46" s="1"/>
  <c r="Q36" i="46" s="1"/>
  <c r="C4" i="47"/>
  <c r="D4" i="47" s="1"/>
  <c r="K7" i="46" s="1"/>
  <c r="Q7" i="46" s="1"/>
  <c r="C24" i="47"/>
  <c r="D24" i="47" s="1"/>
  <c r="K27" i="46" s="1"/>
  <c r="Q27" i="46" s="1"/>
  <c r="C37" i="47"/>
  <c r="D37" i="47" s="1"/>
  <c r="K40" i="46" s="1"/>
  <c r="Q40" i="46" s="1"/>
  <c r="C12" i="47"/>
  <c r="D12" i="47" s="1"/>
  <c r="K15" i="46" s="1"/>
  <c r="Q15" i="46" s="1"/>
  <c r="C32" i="47"/>
  <c r="D32" i="47" s="1"/>
  <c r="K35" i="46" s="1"/>
  <c r="Q35" i="46" s="1"/>
  <c r="C41" i="47"/>
  <c r="D41" i="47" s="1"/>
  <c r="K44" i="46" s="1"/>
  <c r="Q44" i="46" s="1"/>
  <c r="C20" i="47"/>
  <c r="D20" i="47" s="1"/>
  <c r="K23" i="46" s="1"/>
  <c r="Q23" i="46" s="1"/>
  <c r="C40" i="47"/>
  <c r="D40" i="47" s="1"/>
  <c r="K43" i="46" s="1"/>
  <c r="Q43" i="46" s="1"/>
  <c r="C45" i="47"/>
  <c r="D45" i="47" s="1"/>
  <c r="K48" i="46" s="1"/>
  <c r="Q48" i="46" s="1"/>
  <c r="C28" i="47"/>
  <c r="D28" i="47" s="1"/>
  <c r="K31" i="46" s="1"/>
  <c r="Q31" i="46" s="1"/>
  <c r="C52" i="47"/>
  <c r="D52" i="47" s="1"/>
  <c r="K55" i="46" s="1"/>
  <c r="Q55" i="46" s="1"/>
  <c r="C49" i="47"/>
  <c r="D49" i="47" s="1"/>
  <c r="K52" i="46" s="1"/>
  <c r="Q52" i="46" s="1"/>
  <c r="C36" i="47"/>
  <c r="D36" i="47" s="1"/>
  <c r="K39" i="46" s="1"/>
  <c r="Q39" i="46" s="1"/>
  <c r="C7" i="47"/>
  <c r="D7" i="47" s="1"/>
  <c r="K10" i="46" s="1"/>
  <c r="Q10" i="46" s="1"/>
  <c r="C5" i="47"/>
  <c r="D5" i="47" s="1"/>
  <c r="K8" i="46" s="1"/>
  <c r="Q8" i="46" s="1"/>
  <c r="C53" i="47"/>
  <c r="D53" i="47" s="1"/>
  <c r="K56" i="46" s="1"/>
  <c r="Q56" i="46" s="1"/>
  <c r="C44" i="47"/>
  <c r="D44" i="47" s="1"/>
  <c r="K47" i="46" s="1"/>
  <c r="Q47" i="46" s="1"/>
  <c r="C15" i="47"/>
  <c r="D15" i="47" s="1"/>
  <c r="K18" i="46" s="1"/>
  <c r="Q18" i="46" s="1"/>
  <c r="C9" i="47"/>
  <c r="D9" i="47" s="1"/>
  <c r="K12" i="46" s="1"/>
  <c r="Q12" i="46" s="1"/>
  <c r="C11" i="47"/>
  <c r="D11" i="47" s="1"/>
  <c r="K14" i="46" s="1"/>
  <c r="Q14" i="46" s="1"/>
  <c r="C6" i="47"/>
  <c r="D6" i="47" s="1"/>
  <c r="K9" i="46" s="1"/>
  <c r="Q9" i="46" s="1"/>
  <c r="C10" i="47"/>
  <c r="D10" i="47" s="1"/>
  <c r="K13" i="46" s="1"/>
  <c r="Q13" i="46" s="1"/>
  <c r="C23" i="47"/>
  <c r="D23" i="47" s="1"/>
  <c r="K26" i="46" s="1"/>
  <c r="Q26" i="46" s="1"/>
  <c r="C31" i="47"/>
  <c r="D31" i="47" s="1"/>
  <c r="K34" i="46" s="1"/>
  <c r="Q34" i="46" s="1"/>
  <c r="C17" i="47"/>
  <c r="D17" i="47" s="1"/>
  <c r="K20" i="46" s="1"/>
  <c r="Q20" i="46" s="1"/>
  <c r="C27" i="47"/>
  <c r="D27" i="47" s="1"/>
  <c r="K30" i="46" s="1"/>
  <c r="Q30" i="46" s="1"/>
  <c r="C22" i="47"/>
  <c r="D22" i="47" s="1"/>
  <c r="K25" i="46" s="1"/>
  <c r="Q25" i="46" s="1"/>
  <c r="C19" i="47"/>
  <c r="D19" i="47" s="1"/>
  <c r="K22" i="46" s="1"/>
  <c r="Q22" i="46" s="1"/>
  <c r="C43" i="47"/>
  <c r="D43" i="47" s="1"/>
  <c r="K46" i="46" s="1"/>
  <c r="Q46" i="46" s="1"/>
  <c r="C21" i="47"/>
  <c r="D21" i="47" s="1"/>
  <c r="K24" i="46" s="1"/>
  <c r="Q24" i="46" s="1"/>
  <c r="C35" i="47"/>
  <c r="D35" i="47" s="1"/>
  <c r="K38" i="46" s="1"/>
  <c r="Q38" i="46" s="1"/>
  <c r="C26" i="47"/>
  <c r="D26" i="47" s="1"/>
  <c r="K29" i="46" s="1"/>
  <c r="Q29" i="46" s="1"/>
  <c r="C51" i="47"/>
  <c r="D51" i="47" s="1"/>
  <c r="K54" i="46" s="1"/>
  <c r="Q54" i="46" s="1"/>
  <c r="C25" i="47"/>
  <c r="D25" i="47" s="1"/>
  <c r="K28" i="46" s="1"/>
  <c r="Q28" i="46" s="1"/>
  <c r="C39" i="47"/>
  <c r="D39" i="47" s="1"/>
  <c r="K42" i="46" s="1"/>
  <c r="Q42" i="46" s="1"/>
  <c r="C38" i="47"/>
  <c r="D38" i="47" s="1"/>
  <c r="K41" i="46" s="1"/>
  <c r="Q41" i="46" s="1"/>
  <c r="C13" i="47"/>
  <c r="D13" i="47" s="1"/>
  <c r="K16" i="46" s="1"/>
  <c r="Q16" i="46" s="1"/>
  <c r="C8" i="47"/>
  <c r="D8" i="47" s="1"/>
  <c r="K11" i="46" s="1"/>
  <c r="Q11" i="46" s="1"/>
  <c r="C29" i="47"/>
  <c r="D29" i="47" s="1"/>
  <c r="K32" i="46" s="1"/>
  <c r="Q32" i="46" s="1"/>
  <c r="C47" i="47"/>
  <c r="D47" i="47" s="1"/>
  <c r="K50" i="46" s="1"/>
  <c r="Q50" i="46" s="1"/>
  <c r="C42" i="47"/>
  <c r="D42" i="47" s="1"/>
  <c r="K45" i="46" s="1"/>
  <c r="Q45" i="46" s="1"/>
  <c r="C14" i="47"/>
  <c r="D14" i="47" s="1"/>
  <c r="K17" i="46" s="1"/>
  <c r="Q17" i="46" s="1"/>
  <c r="C30" i="47"/>
  <c r="D30" i="47" s="1"/>
  <c r="K33" i="46" s="1"/>
  <c r="Q33" i="46" s="1"/>
  <c r="C46" i="47"/>
  <c r="D46" i="47" s="1"/>
  <c r="K49" i="46" s="1"/>
  <c r="Q49" i="46" s="1"/>
  <c r="C48" i="47"/>
  <c r="D48" i="47" s="1"/>
  <c r="K51" i="46" s="1"/>
  <c r="Q51" i="46" s="1"/>
  <c r="C18" i="47"/>
  <c r="D18" i="47" s="1"/>
  <c r="K21" i="46" s="1"/>
  <c r="Q21" i="46" s="1"/>
  <c r="C34" i="47"/>
  <c r="D34" i="47" s="1"/>
  <c r="K37" i="46" s="1"/>
  <c r="Q37" i="46" s="1"/>
  <c r="J58" i="46"/>
  <c r="D50" i="47"/>
  <c r="K53" i="46" s="1"/>
  <c r="Q53" i="46" s="1"/>
  <c r="K58" i="46" l="1"/>
  <c r="Q34" i="55"/>
  <c r="Q18" i="55"/>
  <c r="Q44" i="55"/>
  <c r="Q9" i="55"/>
  <c r="Q46" i="55"/>
  <c r="Q55" i="55"/>
  <c r="Q11" i="55"/>
  <c r="Q25" i="55"/>
  <c r="Q7" i="55"/>
  <c r="Q31" i="55"/>
  <c r="Q33" i="55"/>
  <c r="Q45" i="55"/>
  <c r="Q29" i="55"/>
  <c r="Q8" i="55"/>
  <c r="Q12" i="55"/>
  <c r="Q20" i="55"/>
  <c r="Q47" i="55"/>
  <c r="Q23" i="55"/>
  <c r="Q40" i="55"/>
  <c r="Q5" i="55"/>
  <c r="Q16" i="55"/>
  <c r="Q17" i="55"/>
  <c r="Q15" i="55"/>
  <c r="Q22" i="55"/>
  <c r="Q50" i="55"/>
  <c r="Q13" i="55"/>
  <c r="Q35" i="55"/>
  <c r="Q19" i="55"/>
  <c r="Q27" i="55"/>
  <c r="Q43" i="55"/>
  <c r="Q54" i="55"/>
  <c r="Q30" i="55"/>
  <c r="Q52" i="55"/>
  <c r="Q26" i="55"/>
  <c r="Q24" i="55"/>
  <c r="Q28" i="55"/>
  <c r="Q36" i="55"/>
  <c r="Q14" i="55"/>
  <c r="Q39" i="55"/>
  <c r="Q53" i="55"/>
  <c r="Q48" i="55"/>
  <c r="Q38" i="55"/>
  <c r="Q6" i="55"/>
  <c r="Q32" i="55"/>
  <c r="Q49" i="55"/>
  <c r="Q21" i="55"/>
  <c r="Q41" i="55"/>
  <c r="Q37" i="55"/>
  <c r="Q51" i="55"/>
  <c r="Q42" i="55"/>
  <c r="C55" i="47"/>
  <c r="D55" i="47"/>
  <c r="Q56" i="55" l="1"/>
  <c r="S6" i="61" l="1"/>
  <c r="O57" i="61" l="1"/>
  <c r="P57" i="61"/>
  <c r="S47" i="61"/>
  <c r="T47" i="61" s="1"/>
  <c r="S9" i="61"/>
  <c r="T9" i="61" s="1"/>
  <c r="S22" i="61"/>
  <c r="T22" i="61" s="1"/>
  <c r="S43" i="61"/>
  <c r="T43" i="61" s="1"/>
  <c r="S11" i="61"/>
  <c r="T11" i="61" s="1"/>
  <c r="S24" i="61"/>
  <c r="T24" i="61" s="1"/>
  <c r="S8" i="61"/>
  <c r="T8" i="61" s="1"/>
  <c r="Q57" i="61"/>
  <c r="T6" i="61"/>
  <c r="S53" i="61"/>
  <c r="T53" i="61" s="1"/>
  <c r="S42" i="61"/>
  <c r="T42" i="61" s="1"/>
  <c r="S46" i="61"/>
  <c r="T46" i="61" s="1"/>
  <c r="S41" i="61"/>
  <c r="T41" i="61" s="1"/>
  <c r="S30" i="61"/>
  <c r="T30" i="61" s="1"/>
  <c r="S51" i="61"/>
  <c r="T51" i="61" s="1"/>
  <c r="S40" i="61"/>
  <c r="T40" i="61" s="1"/>
  <c r="S26" i="61"/>
  <c r="T26" i="61" s="1"/>
  <c r="S49" i="61"/>
  <c r="T49" i="61" s="1"/>
  <c r="M57" i="61"/>
  <c r="S38" i="61"/>
  <c r="T38" i="61" s="1"/>
  <c r="S16" i="61"/>
  <c r="T16" i="61" s="1"/>
  <c r="S19" i="61"/>
  <c r="T19" i="61" s="1"/>
  <c r="S36" i="61"/>
  <c r="T36" i="61" s="1"/>
  <c r="S17" i="61"/>
  <c r="T17" i="61" s="1"/>
  <c r="S48" i="61"/>
  <c r="T48" i="61" s="1"/>
  <c r="S13" i="61"/>
  <c r="T13" i="61" s="1"/>
  <c r="S56" i="61"/>
  <c r="T56" i="61" s="1"/>
  <c r="S25" i="61"/>
  <c r="T25" i="61" s="1"/>
  <c r="S14" i="61"/>
  <c r="T14" i="61" s="1"/>
  <c r="S52" i="61"/>
  <c r="T52" i="61" s="1"/>
  <c r="N57" i="61"/>
  <c r="S54" i="61"/>
  <c r="T54" i="61" s="1"/>
  <c r="S55" i="61"/>
  <c r="T55" i="61" s="1"/>
  <c r="S28" i="61"/>
  <c r="T28" i="61" s="1"/>
  <c r="S21" i="61"/>
  <c r="T21" i="61" s="1"/>
  <c r="S45" i="61"/>
  <c r="T45" i="61" s="1"/>
  <c r="S27" i="61"/>
  <c r="T27" i="61" s="1"/>
  <c r="S18" i="61"/>
  <c r="T18" i="61" s="1"/>
  <c r="S32" i="61"/>
  <c r="T32" i="61" s="1"/>
  <c r="S15" i="61"/>
  <c r="T15" i="61" s="1"/>
  <c r="S7" i="61"/>
  <c r="T7" i="61" s="1"/>
  <c r="S12" i="61"/>
  <c r="T12" i="61" s="1"/>
  <c r="S29" i="61"/>
  <c r="T29" i="61" s="1"/>
  <c r="S44" i="61"/>
  <c r="T44" i="61" s="1"/>
  <c r="S31" i="61"/>
  <c r="T31" i="61" s="1"/>
  <c r="S10" i="61"/>
  <c r="T10" i="61" s="1"/>
  <c r="S33" i="61"/>
  <c r="T33" i="61" s="1"/>
  <c r="S23" i="61"/>
  <c r="T23" i="61" s="1"/>
  <c r="S39" i="61"/>
  <c r="T39" i="61" s="1"/>
  <c r="S37" i="61"/>
  <c r="T37" i="61" s="1"/>
  <c r="R57" i="61"/>
  <c r="S20" i="61"/>
  <c r="T20" i="61" s="1"/>
  <c r="S35" i="61"/>
  <c r="T35" i="61" s="1"/>
  <c r="S34" i="61"/>
  <c r="T34" i="61" s="1"/>
  <c r="S50" i="61"/>
  <c r="T50" i="61" s="1"/>
  <c r="T57" i="61" l="1"/>
  <c r="S57" i="61"/>
  <c r="I58" i="46" l="1"/>
  <c r="G58" i="46" l="1"/>
  <c r="E58" i="46"/>
  <c r="H58" i="46"/>
  <c r="F58" i="46"/>
  <c r="C58" i="46"/>
  <c r="B58" i="46"/>
  <c r="Q58" i="46" l="1"/>
  <c r="D58" i="46"/>
</calcChain>
</file>

<file path=xl/sharedStrings.xml><?xml version="1.0" encoding="utf-8"?>
<sst xmlns="http://schemas.openxmlformats.org/spreadsheetml/2006/main" count="868" uniqueCount="350">
  <si>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</si>
  <si>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</si>
  <si>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</si>
  <si>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</si>
  <si>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</si>
  <si>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</si>
  <si>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</si>
  <si>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</si>
  <si>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</si>
  <si>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</si>
  <si>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</si>
  <si>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</si>
  <si>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</si>
  <si>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</si>
  <si>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</si>
  <si>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</si>
  <si>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</si>
  <si>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</si>
  <si>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</si>
  <si>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</si>
  <si>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</si>
  <si>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</si>
  <si>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</si>
  <si>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</si>
  <si>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</si>
  <si>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</si>
  <si>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</si>
  <si>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</si>
  <si>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</si>
  <si>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</si>
  <si>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</si>
  <si>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</si>
  <si>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</si>
  <si>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</si>
  <si>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</si>
  <si>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</si>
  <si>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</si>
  <si>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</si>
  <si>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</si>
  <si>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</si>
  <si>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</si>
  <si>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</si>
  <si>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</si>
  <si>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</si>
  <si>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</si>
  <si>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</si>
  <si>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</si>
  <si>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</si>
  <si>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</si>
  <si>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</si>
  <si>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</si>
  <si>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</si>
  <si>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</si>
  <si>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TOTAL</t>
  </si>
  <si>
    <t>P=RP/BG</t>
  </si>
  <si>
    <t>ER=P*RP</t>
  </si>
  <si>
    <t>PC</t>
  </si>
  <si>
    <t>PO</t>
  </si>
  <si>
    <t>TERRITORIO (KM2)</t>
  </si>
  <si>
    <t>TE</t>
  </si>
  <si>
    <t>POBLACIÓN Y TERRITORIO</t>
  </si>
  <si>
    <t>CEPT=0.85(PO/∑PO)+0.15(TE/∑TE)</t>
  </si>
  <si>
    <t>PC*35%</t>
  </si>
  <si>
    <t>CEP= MAE1/∑MAE1</t>
  </si>
  <si>
    <t>CEG=MAE2/∑MAE2</t>
  </si>
  <si>
    <t>CIMP*25%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</si>
  <si>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</si>
  <si>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PC/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PC</t>
    </r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</si>
  <si>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</si>
  <si>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</si>
  <si>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</si>
  <si>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</si>
  <si>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t xml:space="preserve">FUENTE: </t>
  </si>
  <si>
    <t>ESTRUCTURA      %</t>
  </si>
  <si>
    <t>ESTRUCTURA     %</t>
  </si>
  <si>
    <t>COEFICIENTE  POBLACIÓN Y TERRITORIO</t>
  </si>
  <si>
    <t>COEFICIENTE  ÍNDICE MUNICIPAL DE POBREZA</t>
  </si>
  <si>
    <t>COEFICIENTE EFECTIVIDAD REC PREDIAL</t>
  </si>
  <si>
    <t>COEFICIENTE DE PARTICIPACIÓN</t>
  </si>
  <si>
    <t>COEFICIENTE POBLACIÓN</t>
  </si>
  <si>
    <t>COEFICIENTE PROYECCIÓN POBLACIÓN</t>
  </si>
  <si>
    <t>PO*35%</t>
  </si>
  <si>
    <t>CEP*30%</t>
  </si>
  <si>
    <t>DISTRIBUCIÓN POR POBLACIÓN</t>
  </si>
  <si>
    <t>DISTRIBUCIÓN POR PROYECCIÓN DE POBLACIÓN</t>
  </si>
  <si>
    <t>DISTRIBUCIÓN POR COEFICIENTE REGLA I</t>
  </si>
  <si>
    <t>COEFICIENTE ESTIMADO DE PARTICIPACIÓN</t>
  </si>
  <si>
    <t>ÍNDICE MUNICIPAL DE POBREZA</t>
  </si>
  <si>
    <t>DISTRIBUCIÓN POR POBLACIÓN Y TERRITORIO</t>
  </si>
  <si>
    <t>DISTRIBUCIÓN POR ÍNDICE DE POBREZA</t>
  </si>
  <si>
    <t>DISTRIBUCIÓN POR EFECTIVIDAD RECAUDACIÓN  PREDIAL</t>
  </si>
  <si>
    <t xml:space="preserve">POBLACIÓN </t>
  </si>
  <si>
    <t>REGLA I</t>
  </si>
  <si>
    <t>PROYECCIÓN DE POBLACIÓN</t>
  </si>
  <si>
    <t>$</t>
  </si>
  <si>
    <t>MAE2=(PI*35%)+(PC*35%)+(CD*30%)</t>
  </si>
  <si>
    <t>FGP</t>
  </si>
  <si>
    <t>IEPS</t>
  </si>
  <si>
    <t xml:space="preserve">  Proyecciones de la Población 2010-2030, CONSEJO NACIONAL DE POBLACIÓN</t>
  </si>
  <si>
    <t>EFECTIVIDAD RECAUDACIÓN DE PREDIAL</t>
  </si>
  <si>
    <t>CER*50%</t>
  </si>
  <si>
    <t>CEPT*25%</t>
  </si>
  <si>
    <t>MAE1=(CEPT*25%)+(CIMP*25%)+(CER*50%)</t>
  </si>
  <si>
    <t>Fondo del Estado</t>
  </si>
  <si>
    <t>Monto</t>
  </si>
  <si>
    <t>Porcentaje de distribución</t>
  </si>
  <si>
    <t>Fondo General de Participaciones (FGP)</t>
  </si>
  <si>
    <t>Impuesto Especial sobre Producción y Servicios (IEPS)</t>
  </si>
  <si>
    <t>Los montos no incluyen descuentos ni compensación alguna.</t>
  </si>
  <si>
    <t>SECRETARÍA DE FINANZAS Y TESORERÍA GENERAL DEL ESTADO</t>
  </si>
  <si>
    <t>FOFIR</t>
  </si>
  <si>
    <t>PROPORCION DE RECAUDACIÓN</t>
  </si>
  <si>
    <t>RECAUDACIÓN PONDERADO POR EFICIENCIA</t>
  </si>
  <si>
    <t>COEFICIENTE DE DISTRIBUCIÓN ANTES DE GARANTÍA</t>
  </si>
  <si>
    <t>Impuesto sobre la Venta Final de Gasolinas y Diesel (IEPSGD)</t>
  </si>
  <si>
    <t>Fondo de Fiscalización y Recaudación (FOFIR)</t>
  </si>
  <si>
    <t>Monto a distribuir</t>
  </si>
  <si>
    <t>DETERMINACIÓN PRELIMINAR DE LOS COEFICIENTES DE PARTICIPACIÓN DE RECURSOS A MUNICIPIOS POR VARIABLE (ARTÍCULO14 FRACC II LCH)</t>
  </si>
  <si>
    <t>MONTO OBS + ESTIM DE GASOLINAS</t>
  </si>
  <si>
    <t>MONTO OBS. + ESTIM. DE PARTICIPACIONES</t>
  </si>
  <si>
    <t>Fondo de Compensacion ISAN</t>
  </si>
  <si>
    <t xml:space="preserve">Impuesto sobre Adquisición de Vehículos Nuevos (ISAN) </t>
  </si>
  <si>
    <t>ISAN</t>
  </si>
  <si>
    <t>COMP ISAN</t>
  </si>
  <si>
    <t>30% FFM</t>
  </si>
  <si>
    <t>70% FFM</t>
  </si>
  <si>
    <t>Fondo de Fomento Municipal (FFM) 30%</t>
  </si>
  <si>
    <t>Fondo de Fomento Municipal (FFM) 70%</t>
  </si>
  <si>
    <t>Las cifras de Recaudación y Facturación del Impuesto Predial fueron actualizadas para el Cálculo de Distribución. La población por Municipio para la entidad</t>
  </si>
  <si>
    <t>50%*CERi,t+20%*REi,t+30%*CCRi,t</t>
  </si>
  <si>
    <t>REi,t = Ri,t-1 /∑Ri,t-1</t>
  </si>
  <si>
    <t>CCRi,t=CRi,t /∑CRi,t</t>
  </si>
  <si>
    <t>CRi,t=(Ri,t-1/Ri,t-2)- 1</t>
  </si>
  <si>
    <t>Ri,t-2</t>
  </si>
  <si>
    <t>CERi,t = ERi,t-1 /∑ERi,t-1</t>
  </si>
  <si>
    <t>ERt-1 = Ri,t-1 / BGi,t-1</t>
  </si>
  <si>
    <t>Ri,t-1</t>
  </si>
  <si>
    <t>BGt-1</t>
  </si>
  <si>
    <t xml:space="preserve"> ESTIMACIÓN 30% FFM ANUAL</t>
  </si>
  <si>
    <t>DISTRIBUCIÓN POR RECAUDACION</t>
  </si>
  <si>
    <t>DISTRIBUCIÓN CRECIMIENTO RECAUDACION</t>
  </si>
  <si>
    <t xml:space="preserve">DISTRIBUCIÓN POR EFICIENCIA EN LA RECAUDACIÓN  </t>
  </si>
  <si>
    <t>COEFICIENTE  POR MONTO DE RECAUDACIÓN EN EL IMPUESTO PREDIAL</t>
  </si>
  <si>
    <t>Tasa&gt;0</t>
  </si>
  <si>
    <t xml:space="preserve">TASA DE CRECIMIENTO EN LA RECAUDACIÓN EFECTIVA </t>
  </si>
  <si>
    <t>COEFICIENTE  DE EFICIENCIA RECAUDATORIA</t>
  </si>
  <si>
    <t>Eficiencia Recaudatoria</t>
  </si>
  <si>
    <t>RECAUDACIÓN EN EL IMPUESTO PREDIAL</t>
  </si>
  <si>
    <t>CRECIMIENTO RECAUDACION</t>
  </si>
  <si>
    <t xml:space="preserve"> EFICIENCIA RECAUDATORIA</t>
  </si>
  <si>
    <t>IEPSGYD</t>
  </si>
  <si>
    <t>BGt-2</t>
  </si>
  <si>
    <t>RPt-1</t>
  </si>
  <si>
    <t>Mes</t>
  </si>
  <si>
    <t xml:space="preserve"> </t>
  </si>
  <si>
    <t xml:space="preserve"> MUNICIPIO </t>
  </si>
  <si>
    <t>COEFICIENTE</t>
  </si>
  <si>
    <t xml:space="preserve"> ABASOLO </t>
  </si>
  <si>
    <t xml:space="preserve"> AGUALEGUAS </t>
  </si>
  <si>
    <t xml:space="preserve"> ALDAMAS, LOS </t>
  </si>
  <si>
    <t xml:space="preserve"> ALLENDE </t>
  </si>
  <si>
    <t xml:space="preserve"> ANAHUAC </t>
  </si>
  <si>
    <t xml:space="preserve"> APODACA </t>
  </si>
  <si>
    <t xml:space="preserve"> ARAMBERRI </t>
  </si>
  <si>
    <t xml:space="preserve"> BUSTAMANTE </t>
  </si>
  <si>
    <t xml:space="preserve"> CADEREYTA JIMENEZ </t>
  </si>
  <si>
    <t xml:space="preserve"> CARMEN </t>
  </si>
  <si>
    <t xml:space="preserve"> CERRALVO  </t>
  </si>
  <si>
    <t xml:space="preserve"> CHINA </t>
  </si>
  <si>
    <t xml:space="preserve"> CIENEGA DE FLORES </t>
  </si>
  <si>
    <t xml:space="preserve"> DOCTOR ARROYO </t>
  </si>
  <si>
    <t xml:space="preserve"> DOCTOR COSS </t>
  </si>
  <si>
    <t xml:space="preserve"> DOCTOR GONZALEZ </t>
  </si>
  <si>
    <t xml:space="preserve"> GALEANA </t>
  </si>
  <si>
    <t xml:space="preserve"> GARCIA </t>
  </si>
  <si>
    <t xml:space="preserve"> GENERAL BRAVO </t>
  </si>
  <si>
    <t xml:space="preserve"> GENERAL ESCOBEDO </t>
  </si>
  <si>
    <t xml:space="preserve"> GENERAL TERAN </t>
  </si>
  <si>
    <t xml:space="preserve"> GENERAL TREVIÑO </t>
  </si>
  <si>
    <t xml:space="preserve"> GENERAL ZARAGOZA </t>
  </si>
  <si>
    <t xml:space="preserve"> GENERAL ZUAZUA </t>
  </si>
  <si>
    <t xml:space="preserve"> GUADALUPE </t>
  </si>
  <si>
    <t xml:space="preserve"> HERRERAS, LOS </t>
  </si>
  <si>
    <t xml:space="preserve"> HIDALGO </t>
  </si>
  <si>
    <t xml:space="preserve"> HIGUERAS </t>
  </si>
  <si>
    <t xml:space="preserve"> HUALAHUISES </t>
  </si>
  <si>
    <t xml:space="preserve"> ITURBIDE </t>
  </si>
  <si>
    <t xml:space="preserve"> JUAREZ </t>
  </si>
  <si>
    <t xml:space="preserve"> LAMPAZOS DE NARANJO </t>
  </si>
  <si>
    <t xml:space="preserve"> LINARES </t>
  </si>
  <si>
    <t xml:space="preserve"> MARIN </t>
  </si>
  <si>
    <t xml:space="preserve"> MELCHOR OCAMPO </t>
  </si>
  <si>
    <t xml:space="preserve"> MIER Y NORIEGA </t>
  </si>
  <si>
    <t xml:space="preserve"> MINA </t>
  </si>
  <si>
    <t xml:space="preserve"> MONTEMORELOS </t>
  </si>
  <si>
    <t xml:space="preserve"> MONTERREY </t>
  </si>
  <si>
    <t xml:space="preserve"> PARAS </t>
  </si>
  <si>
    <t xml:space="preserve"> PESQUERIA </t>
  </si>
  <si>
    <t xml:space="preserve"> RAMONES, LOS </t>
  </si>
  <si>
    <t xml:space="preserve"> RAYONES </t>
  </si>
  <si>
    <t xml:space="preserve"> SABINAS HIDALGO </t>
  </si>
  <si>
    <t xml:space="preserve"> SALINAS VICTORIA </t>
  </si>
  <si>
    <t xml:space="preserve"> SAN NICOLAS DE LOS GARZA </t>
  </si>
  <si>
    <t xml:space="preserve"> SAN PEDRO GARZA GARCIA </t>
  </si>
  <si>
    <t xml:space="preserve"> SANTA CATARINA </t>
  </si>
  <si>
    <t xml:space="preserve"> SANTIAGO </t>
  </si>
  <si>
    <t xml:space="preserve"> VALLECILLO </t>
  </si>
  <si>
    <t xml:space="preserve"> VILLALDAMA </t>
  </si>
  <si>
    <t xml:space="preserve">         TOTAL </t>
  </si>
  <si>
    <t>ISR Venta de Inmuebles</t>
  </si>
  <si>
    <t>20% para municipios</t>
  </si>
  <si>
    <t>LOS ALDAMAS</t>
  </si>
  <si>
    <t>LOS HERRERAS</t>
  </si>
  <si>
    <t>LOS RAMONES</t>
  </si>
  <si>
    <t>ISR NOMINA</t>
  </si>
  <si>
    <t>ISR INMUEBLES</t>
  </si>
  <si>
    <t>FONDO DE ISR POR LA ENAJENACIÓN DE BIENES INMUEBLES</t>
  </si>
  <si>
    <t>ISR Enajenación de Inmuebles</t>
  </si>
  <si>
    <t>POBLACIÓN 2020</t>
  </si>
  <si>
    <t>(PESOS)</t>
  </si>
  <si>
    <t>POBLACIÓN  2020</t>
  </si>
  <si>
    <t xml:space="preserve">  Población 2020, CENSO POBLACION Y VIVIENDA, INEGI</t>
  </si>
  <si>
    <t>COEFICIENTE CRECIMIENTO RECAUDACION</t>
  </si>
  <si>
    <t>RECAUDACIÓN 2020</t>
  </si>
  <si>
    <t>SUBTOTAL</t>
  </si>
  <si>
    <t>ORGANISMOS</t>
  </si>
  <si>
    <t>CERRALVO</t>
  </si>
  <si>
    <t>PROYECCIÓN DE POBLACIÓN 2021</t>
  </si>
  <si>
    <t>FFM 70%</t>
  </si>
  <si>
    <t>%</t>
  </si>
  <si>
    <t>CÁLCULO DE DISTRIBUCIÓN SEGÚN ART. DECIMO TRANSITORIO DE LA LEY DE EGRESOS DEL ESTADO 2022</t>
  </si>
  <si>
    <t>Cálculo de Distribución 2021 con ajuste anual 2021</t>
  </si>
  <si>
    <t>Cálculo de Distribución 2022</t>
  </si>
  <si>
    <t>PARTICIPACIONES AÑO ANTERIOR
FGP, FFM 70%, FOFIR, IEPS, ISAN, FEXHI</t>
  </si>
  <si>
    <t>PARTICIPACIONES AÑO ACTUAL
FGP, FFM 70%, FOFIR, IEPS, ISAN, FEXHI</t>
  </si>
  <si>
    <t>ANÁHUAC</t>
  </si>
  <si>
    <t>CADEREYTA JIMÉNEZ</t>
  </si>
  <si>
    <t>EL CARMEN</t>
  </si>
  <si>
    <t>CIÉNEGA DE FLORES</t>
  </si>
  <si>
    <t>DOCTOR GONZÁLEZ</t>
  </si>
  <si>
    <t>GARCÍA</t>
  </si>
  <si>
    <t>GENERAL TERÁN</t>
  </si>
  <si>
    <t>JUÁREZ</t>
  </si>
  <si>
    <t>MARÍN</t>
  </si>
  <si>
    <t>PARÁS</t>
  </si>
  <si>
    <t>PESQUERÍA</t>
  </si>
  <si>
    <t>SAN NICOLÁS DE LOS GARZA</t>
  </si>
  <si>
    <t>SAN PEDRO GARZA GARCÍA</t>
  </si>
  <si>
    <t>Participaciones 2022</t>
  </si>
  <si>
    <t>Monto Distribuido 2021</t>
  </si>
  <si>
    <t>Diferencia</t>
  </si>
  <si>
    <t>Impuesto sobre la Renta de Enajenación de Bienes Inmuebles (ISR BI)</t>
  </si>
  <si>
    <t>Fondo de Fomento Municipal (FFM)</t>
  </si>
  <si>
    <t>parte fija 2013</t>
  </si>
  <si>
    <t>SUBSECRETARÍA DE POLITICA DE INGRESOS, COORDINACIÓN DE PLANEACIÓN HACENDARIA</t>
  </si>
  <si>
    <t>PERSONAS EN POBREZA 2015</t>
  </si>
  <si>
    <t>PERSONAS EN POBREZA 2020</t>
  </si>
  <si>
    <t>IP/∑IP</t>
  </si>
  <si>
    <t>EP/∑EP</t>
  </si>
  <si>
    <t>15</t>
  </si>
  <si>
    <t>11</t>
  </si>
  <si>
    <t>12</t>
  </si>
  <si>
    <t>13</t>
  </si>
  <si>
    <t>14</t>
  </si>
  <si>
    <t>17</t>
  </si>
  <si>
    <t>16</t>
  </si>
  <si>
    <t>18</t>
  </si>
  <si>
    <t>19</t>
  </si>
  <si>
    <t>20</t>
  </si>
  <si>
    <t>23</t>
  </si>
  <si>
    <t>21</t>
  </si>
  <si>
    <t>22</t>
  </si>
  <si>
    <t>25</t>
  </si>
  <si>
    <t>27</t>
  </si>
  <si>
    <t>26</t>
  </si>
  <si>
    <t>29</t>
  </si>
  <si>
    <t>30</t>
  </si>
  <si>
    <t>32</t>
  </si>
  <si>
    <t>33</t>
  </si>
  <si>
    <t>34</t>
  </si>
  <si>
    <t>35</t>
  </si>
  <si>
    <t>61</t>
  </si>
  <si>
    <t>36</t>
  </si>
  <si>
    <t>28</t>
  </si>
  <si>
    <t>37</t>
  </si>
  <si>
    <t>39</t>
  </si>
  <si>
    <t>38</t>
  </si>
  <si>
    <t>40</t>
  </si>
  <si>
    <t>41</t>
  </si>
  <si>
    <t>42</t>
  </si>
  <si>
    <t>43</t>
  </si>
  <si>
    <t>44</t>
  </si>
  <si>
    <t>46</t>
  </si>
  <si>
    <t>49</t>
  </si>
  <si>
    <t>48</t>
  </si>
  <si>
    <t>47</t>
  </si>
  <si>
    <t>45</t>
  </si>
  <si>
    <t>70</t>
  </si>
  <si>
    <t>50</t>
  </si>
  <si>
    <t>51</t>
  </si>
  <si>
    <t>52</t>
  </si>
  <si>
    <t>53</t>
  </si>
  <si>
    <t>54</t>
  </si>
  <si>
    <t>55</t>
  </si>
  <si>
    <t>58</t>
  </si>
  <si>
    <t>31</t>
  </si>
  <si>
    <t>57</t>
  </si>
  <si>
    <t>56</t>
  </si>
  <si>
    <t>59</t>
  </si>
  <si>
    <t>60</t>
  </si>
  <si>
    <t>FUENTE:
Facturación de Predial.- Instituto Registral y Catastral
Recaudación de Predial.- Municipios del Estado
Población.- Censo de Población y Vivienda 2020
Territorio.- INEGI
Vairables de Social 2015 Y 2020.- CONEVAL</t>
  </si>
  <si>
    <t>INTENSIDAD DE LA POBREZA</t>
  </si>
  <si>
    <t>PROPORCIÓN DE INTENSIDAD DE LA POBREZA</t>
  </si>
  <si>
    <t xml:space="preserve">DISTRIBUCION DEL 85% POR POBREZA </t>
  </si>
  <si>
    <t>MEJORA EN POBREZA MUNICIPAL</t>
  </si>
  <si>
    <t>PROPORCIÓN DE LA EFICACIA EN POBREZA</t>
  </si>
  <si>
    <t xml:space="preserve">DISTRIBUCIÓN DEL 15% POR EFICACIA DE POBREZA </t>
  </si>
  <si>
    <r>
      <t>PP2</t>
    </r>
    <r>
      <rPr>
        <vertAlign val="subscript"/>
        <sz val="8"/>
        <color rgb="FFFF0000"/>
        <rFont val="Arial"/>
        <family val="2"/>
      </rPr>
      <t>i</t>
    </r>
  </si>
  <si>
    <r>
      <t>PP1</t>
    </r>
    <r>
      <rPr>
        <vertAlign val="subscript"/>
        <sz val="8"/>
        <color rgb="FFFF0000"/>
        <rFont val="Arial"/>
        <family val="2"/>
      </rPr>
      <t>i</t>
    </r>
  </si>
  <si>
    <t>CPP1i</t>
  </si>
  <si>
    <t>ICPi=(PP1i/∑PP1i)</t>
  </si>
  <si>
    <t>IP=(ICPi*CPP!i)</t>
  </si>
  <si>
    <t>(0.85*IP/∑IP)(Monto)</t>
  </si>
  <si>
    <t>EP=PP2i/PP1i</t>
  </si>
  <si>
    <t>(0.15*(EP/∑EP)(Monto)</t>
  </si>
  <si>
    <t>DIPi</t>
  </si>
  <si>
    <t>CDPEi</t>
  </si>
  <si>
    <t>Los sumas totales puden no coincidir debido al redondeo</t>
  </si>
  <si>
    <t>Participaciones</t>
  </si>
  <si>
    <t>FACTURACIÓN  2020
(2016-2020)</t>
  </si>
  <si>
    <t>RECAUDACIÓN 2021</t>
  </si>
  <si>
    <t>FACTURACIÓN 2021
(2011-2021)</t>
  </si>
  <si>
    <t>ISAI 2021</t>
  </si>
  <si>
    <t>Total de Distrbución Marzo 2022</t>
  </si>
  <si>
    <t>PROPORCION</t>
  </si>
  <si>
    <t>* EL COEFICIENTE DE PARTICIPACION DE LA REGLA I CORRESPONDE Al MES INMEDIATO ANTERIOR</t>
  </si>
  <si>
    <t>RETENCION FEIEF FGP</t>
  </si>
  <si>
    <t>Retención FEIEF</t>
  </si>
  <si>
    <t>Participaciones Junio 2022</t>
  </si>
  <si>
    <t>CÁLCULO DE DISTRIBUCIÓN DE PARTICIPACIONES JUNIO 2022</t>
  </si>
  <si>
    <t>CORRESPONDIENTE AL PERIODO JUNIO</t>
  </si>
  <si>
    <t>CÁLCULO  DE PARTICIPACIONES DE ISR MES DE JUNIO 2022</t>
  </si>
  <si>
    <t>DISTRIBUCIÓN JUNIO</t>
  </si>
  <si>
    <t>1er Ajuste</t>
  </si>
  <si>
    <t>1ER AJUSTE</t>
  </si>
  <si>
    <t>1ER AJUSTE CUATRIMESTRAL</t>
  </si>
  <si>
    <t>COEFICIENTE DE DISTRIBUCIÓN  30% FFM Art 14 Frac III 1ER AJUSTE</t>
  </si>
  <si>
    <t>COEFICIENTE DE DISTRIBUCIÓN  30% FFM Art 14 Frac III MES DE JUNIO</t>
  </si>
  <si>
    <t>CARENCIAS PROMEDIO EN SITUACION DE POBREZA 2020</t>
  </si>
  <si>
    <t>INCIDENCIA DE LA POBREZA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</si>
</sst>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8">
    <numFmt numFmtId="8" formatCode="&quot;$&quot;#,##0.00;[Red]\-&quot;$&quot;#,##0.0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%"/>
    <numFmt numFmtId="167" formatCode="0.000000%"/>
    <numFmt numFmtId="168" formatCode="#,##0\ &quot;$&quot;;[Red]\-#,##0\ &quot;$&quot;"/>
    <numFmt numFmtId="169" formatCode="&quot;$&quot;\ #,##0.00"/>
    <numFmt numFmtId="170" formatCode="\U\ #,##0.00"/>
    <numFmt numFmtId="171" formatCode="_(* #,##0.000000_);_(* \(#,##0.000000\);_(* &quot;-&quot;??_);_(@_)"/>
    <numFmt numFmtId="172" formatCode="0.000000"/>
    <numFmt numFmtId="173" formatCode="0.00000000"/>
    <numFmt numFmtId="174" formatCode="General_)"/>
    <numFmt numFmtId="175" formatCode="_-[$€-2]* #,##0.00_-;\-[$€-2]* #,##0.00_-;_-[$€-2]* &quot;-&quot;??_-"/>
    <numFmt numFmtId="176" formatCode="_-* #,##0_-;\-* #,##0_-;_-* &quot;-&quot;??_-;_-@_-"/>
    <numFmt numFmtId="177" formatCode="_-* #,##0.0000_-;\-* #,##0.0000_-;_-* &quot;-&quot;????_-;_-@_-"/>
    <numFmt numFmtId="178" formatCode="_-* #,##0.0000_-;\-* #,##0.0000_-;_-* &quot;-&quot;_-;_-@_-"/>
    <numFmt numFmtId="179" formatCode="_-* #,##0.0000_-;\-* #,##0.0000_-;_-* &quot;-&quot;??_-;_-@_-"/>
    <numFmt numFmtId="180" formatCode="_-* #,##0.00000_-;\-* #,##0.00000_-;_-* &quot;-&quot;??_-;_-@_-"/>
    <numFmt numFmtId="181" formatCode="#,##0.00_ ;[Red]\-#,##0.00\ "/>
    <numFmt numFmtId="182" formatCode="#,##0_ ;[Red]\-#,##0\ "/>
    <numFmt numFmtId="183" formatCode="#,##0.0000;[Red]\-#,##0.0000"/>
    <numFmt numFmtId="184" formatCode="_-* #,##0.000000_-;\-* #,##0.000000_-;_-* &quot;-&quot;????_-;_-@_-"/>
    <numFmt numFmtId="185" formatCode="#,##0.0000000_ ;[Red]\-#,##0.0000000\ "/>
    <numFmt numFmtId="186" formatCode="#,##0;[Red]\-#,##0;_-* &quot;-&quot;_-;_-@_-"/>
    <numFmt numFmtId="187" formatCode="0.00000000%"/>
    <numFmt numFmtId="188" formatCode="0.0000%"/>
    <numFmt numFmtId="189" formatCode="#,##0.00000000000;\-#,##0.00000000000"/>
    <numFmt numFmtId="190" formatCode="#,##0.0000;\-#,##0.0000"/>
    <numFmt numFmtId="191" formatCode="0.00000000000"/>
    <numFmt numFmtId="192" formatCode="0.000000000"/>
    <numFmt numFmtId="193" formatCode="_-* #,##0.000000_-;\-* #,##0.000000_-;_-* &quot;-&quot;??_-;_-@_-"/>
    <numFmt numFmtId="194" formatCode="0.0000000"/>
    <numFmt numFmtId="195" formatCode="#,##0.000000;\-#,##0.000000"/>
    <numFmt numFmtId="196" formatCode="_-* #,##0.000000_-;\-* #,##0.000000_-;_-* &quot;-&quot;_-;_-@_-"/>
    <numFmt numFmtId="197" formatCode="#,##0.000000;[Red]\-#,##0.000000"/>
  </numFmts>
  <fonts count="7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11"/>
      <color theme="1"/>
      <name val="Soberana Sans"/>
      <family val="2"/>
    </font>
    <font>
      <sz val="11"/>
      <name val="Calibri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sz val="12"/>
      <color rgb="FF000000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rgb="FF333333"/>
      <name val="Helvetica"/>
      <family val="2"/>
    </font>
    <font>
      <b/>
      <sz val="12"/>
      <color rgb="FF006100"/>
      <name val="Arial Narrow"/>
      <family val="2"/>
    </font>
    <font>
      <sz val="12"/>
      <color indexed="8"/>
      <name val="Arial Narrow"/>
      <family val="2"/>
    </font>
    <font>
      <b/>
      <sz val="10"/>
      <name val="Arial Narrow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b/>
      <sz val="8"/>
      <name val="Arial"/>
      <family val="2"/>
    </font>
    <font>
      <b/>
      <sz val="10"/>
      <color theme="0"/>
      <name val="Arial Narrow"/>
      <family val="2"/>
    </font>
    <font>
      <sz val="10"/>
      <color theme="0"/>
      <name val="Arial Narrow"/>
      <family val="2"/>
    </font>
    <font>
      <b/>
      <sz val="10"/>
      <color indexed="62"/>
      <name val="Arial"/>
      <family val="2"/>
    </font>
    <font>
      <vertAlign val="subscript"/>
      <sz val="8"/>
      <color rgb="FFFF0000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8"/>
      <name val="Arial"/>
      <family val="2"/>
    </font>
    <font>
      <b/>
      <sz val="10"/>
      <color rgb="FFFF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8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hair">
        <color indexed="64"/>
      </right>
      <top style="double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auto="1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indexed="64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auto="1"/>
      </top>
      <bottom/>
      <diagonal/>
    </border>
  </borders>
  <cellStyleXfs count="123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4" borderId="0" applyNumberFormat="0" applyBorder="0" applyAlignment="0" applyProtection="0"/>
    <xf numFmtId="0" fontId="18" fillId="16" borderId="1" applyNumberFormat="0" applyAlignment="0" applyProtection="0"/>
    <xf numFmtId="0" fontId="19" fillId="17" borderId="2" applyNumberFormat="0" applyAlignment="0" applyProtection="0"/>
    <xf numFmtId="0" fontId="20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21" borderId="0" applyNumberFormat="0" applyBorder="0" applyAlignment="0" applyProtection="0"/>
    <xf numFmtId="0" fontId="22" fillId="7" borderId="1" applyNumberFormat="0" applyAlignment="0" applyProtection="0"/>
    <xf numFmtId="168" fontId="10" fillId="0" borderId="0" applyFont="0" applyFill="0" applyBorder="0" applyAlignment="0" applyProtection="0"/>
    <xf numFmtId="0" fontId="23" fillId="3" borderId="0" applyNumberFormat="0" applyBorder="0" applyAlignment="0" applyProtection="0"/>
    <xf numFmtId="164" fontId="10" fillId="0" borderId="0" applyFont="0" applyFill="0" applyBorder="0" applyAlignment="0" applyProtection="0"/>
    <xf numFmtId="0" fontId="24" fillId="22" borderId="0" applyNumberFormat="0" applyBorder="0" applyAlignment="0" applyProtection="0"/>
    <xf numFmtId="0" fontId="32" fillId="0" borderId="0"/>
    <xf numFmtId="0" fontId="12" fillId="0" borderId="0"/>
    <xf numFmtId="37" fontId="11" fillId="0" borderId="0"/>
    <xf numFmtId="0" fontId="15" fillId="23" borderId="4" applyNumberFormat="0" applyFont="0" applyAlignment="0" applyProtection="0"/>
    <xf numFmtId="169" fontId="12" fillId="0" borderId="0" applyFont="0" applyFill="0" applyBorder="0" applyAlignment="0" applyProtection="0">
      <alignment horizontal="right"/>
    </xf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5" fillId="16" borderId="5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1" fillId="0" borderId="8" applyNumberFormat="0" applyFill="0" applyAlignment="0" applyProtection="0"/>
    <xf numFmtId="0" fontId="31" fillId="0" borderId="9" applyNumberFormat="0" applyFill="0" applyAlignment="0" applyProtection="0"/>
    <xf numFmtId="170" fontId="13" fillId="0" borderId="0" applyFont="0" applyFill="0" applyBorder="0" applyAlignment="0" applyProtection="0">
      <alignment horizontal="right"/>
    </xf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74" fontId="1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4" borderId="0" applyNumberFormat="0" applyBorder="0" applyAlignment="0" applyProtection="0"/>
    <xf numFmtId="0" fontId="18" fillId="16" borderId="1" applyNumberFormat="0" applyAlignment="0" applyProtection="0"/>
    <xf numFmtId="0" fontId="19" fillId="17" borderId="2" applyNumberFormat="0" applyAlignment="0" applyProtection="0"/>
    <xf numFmtId="0" fontId="20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21" borderId="0" applyNumberFormat="0" applyBorder="0" applyAlignment="0" applyProtection="0"/>
    <xf numFmtId="0" fontId="22" fillId="7" borderId="1" applyNumberFormat="0" applyAlignment="0" applyProtection="0"/>
    <xf numFmtId="175" fontId="10" fillId="0" borderId="0" applyFont="0" applyFill="0" applyBorder="0" applyAlignment="0" applyProtection="0"/>
    <xf numFmtId="0" fontId="23" fillId="3" borderId="0" applyNumberFormat="0" applyBorder="0" applyAlignment="0" applyProtection="0"/>
    <xf numFmtId="41" fontId="10" fillId="0" borderId="0" applyFont="0" applyFill="0" applyBorder="0" applyAlignment="0" applyProtection="0"/>
    <xf numFmtId="0" fontId="24" fillId="22" borderId="0" applyNumberFormat="0" applyBorder="0" applyAlignment="0" applyProtection="0"/>
    <xf numFmtId="0" fontId="10" fillId="23" borderId="4" applyNumberFormat="0" applyFont="0" applyAlignment="0" applyProtection="0"/>
    <xf numFmtId="0" fontId="25" fillId="16" borderId="5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1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9" fillId="0" borderId="0"/>
    <xf numFmtId="43" fontId="10" fillId="0" borderId="0" applyFont="0" applyFill="0" applyBorder="0" applyAlignment="0" applyProtection="0"/>
    <xf numFmtId="0" fontId="44" fillId="0" borderId="0"/>
    <xf numFmtId="0" fontId="8" fillId="0" borderId="0"/>
    <xf numFmtId="43" fontId="45" fillId="0" borderId="0" applyFont="0" applyFill="0" applyBorder="0" applyAlignment="0" applyProtection="0"/>
    <xf numFmtId="0" fontId="10" fillId="0" borderId="0"/>
    <xf numFmtId="9" fontId="7" fillId="0" borderId="0" applyFont="0" applyFill="0" applyBorder="0" applyAlignment="0" applyProtection="0"/>
    <xf numFmtId="0" fontId="48" fillId="25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5" fillId="0" borderId="0"/>
    <xf numFmtId="169" fontId="10" fillId="0" borderId="0" applyFont="0" applyFill="0" applyBorder="0" applyAlignment="0" applyProtection="0">
      <alignment horizontal="right"/>
    </xf>
    <xf numFmtId="0" fontId="4" fillId="0" borderId="0"/>
    <xf numFmtId="44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2" fillId="0" borderId="0"/>
    <xf numFmtId="0" fontId="2" fillId="0" borderId="0"/>
    <xf numFmtId="0" fontId="69" fillId="0" borderId="0"/>
    <xf numFmtId="0" fontId="1" fillId="28" borderId="0" applyNumberFormat="0" applyBorder="0" applyAlignment="0" applyProtection="0"/>
    <xf numFmtId="0" fontId="1" fillId="0" borderId="0"/>
    <xf numFmtId="0" fontId="70" fillId="29" borderId="0" applyNumberFormat="0" applyBorder="0" applyAlignment="0" applyProtection="0"/>
  </cellStyleXfs>
  <cellXfs count="441">
    <xf numFmtId="0" fontId="0" fillId="0" borderId="0" xfId="0"/>
    <xf numFmtId="37" fontId="10" fillId="0" borderId="0" xfId="37" applyFont="1" applyFill="1" applyProtection="1">
      <protection hidden="1"/>
    </xf>
    <xf numFmtId="37" fontId="10" fillId="0" borderId="0" xfId="37" applyFont="1" applyProtection="1">
      <protection hidden="1"/>
    </xf>
    <xf numFmtId="37" fontId="34" fillId="0" borderId="0" xfId="37" applyFont="1" applyProtection="1">
      <protection hidden="1"/>
    </xf>
    <xf numFmtId="37" fontId="39" fillId="0" borderId="0" xfId="37" applyFont="1" applyProtection="1">
      <protection hidden="1"/>
    </xf>
    <xf numFmtId="172" fontId="10" fillId="0" borderId="0" xfId="37" applyNumberFormat="1" applyFont="1" applyProtection="1">
      <protection hidden="1"/>
    </xf>
    <xf numFmtId="173" fontId="10" fillId="0" borderId="0" xfId="37" applyNumberFormat="1" applyFont="1" applyProtection="1">
      <protection hidden="1"/>
    </xf>
    <xf numFmtId="37" fontId="43" fillId="0" borderId="0" xfId="37" applyFont="1" applyAlignment="1" applyProtection="1">
      <alignment horizontal="center"/>
      <protection hidden="1"/>
    </xf>
    <xf numFmtId="37" fontId="10" fillId="0" borderId="0" xfId="37" applyFont="1" applyAlignment="1" applyProtection="1">
      <alignment wrapText="1"/>
      <protection hidden="1"/>
    </xf>
    <xf numFmtId="37" fontId="43" fillId="0" borderId="0" xfId="37" applyFont="1" applyAlignment="1" applyProtection="1">
      <protection hidden="1"/>
    </xf>
    <xf numFmtId="0" fontId="0" fillId="0" borderId="26" xfId="0" applyBorder="1" applyAlignment="1"/>
    <xf numFmtId="0" fontId="10" fillId="0" borderId="0" xfId="53"/>
    <xf numFmtId="0" fontId="10" fillId="0" borderId="0" xfId="53" applyFont="1" applyBorder="1" applyAlignment="1">
      <alignment vertical="center"/>
    </xf>
    <xf numFmtId="3" fontId="10" fillId="0" borderId="0" xfId="53" applyNumberFormat="1" applyBorder="1" applyAlignment="1">
      <alignment horizontal="center" vertical="center"/>
    </xf>
    <xf numFmtId="0" fontId="10" fillId="0" borderId="0" xfId="53" applyBorder="1" applyAlignment="1">
      <alignment horizontal="center" vertical="center"/>
    </xf>
    <xf numFmtId="0" fontId="10" fillId="0" borderId="0" xfId="53" applyFont="1"/>
    <xf numFmtId="176" fontId="0" fillId="0" borderId="0" xfId="51" applyNumberFormat="1" applyFont="1"/>
    <xf numFmtId="176" fontId="10" fillId="0" borderId="0" xfId="51" applyNumberFormat="1" applyFont="1"/>
    <xf numFmtId="0" fontId="10" fillId="24" borderId="0" xfId="106" applyFill="1"/>
    <xf numFmtId="176" fontId="0" fillId="24" borderId="0" xfId="51" applyNumberFormat="1" applyFont="1" applyFill="1"/>
    <xf numFmtId="177" fontId="10" fillId="24" borderId="34" xfId="106" applyNumberFormat="1" applyFill="1" applyBorder="1"/>
    <xf numFmtId="176" fontId="0" fillId="24" borderId="37" xfId="51" applyNumberFormat="1" applyFont="1" applyFill="1" applyBorder="1"/>
    <xf numFmtId="176" fontId="0" fillId="24" borderId="0" xfId="51" applyNumberFormat="1" applyFont="1" applyFill="1" applyBorder="1"/>
    <xf numFmtId="176" fontId="0" fillId="24" borderId="38" xfId="51" applyNumberFormat="1" applyFont="1" applyFill="1" applyBorder="1"/>
    <xf numFmtId="0" fontId="14" fillId="24" borderId="33" xfId="106" applyFont="1" applyFill="1" applyBorder="1"/>
    <xf numFmtId="178" fontId="10" fillId="24" borderId="36" xfId="106" applyNumberFormat="1" applyFill="1" applyBorder="1"/>
    <xf numFmtId="179" fontId="0" fillId="24" borderId="0" xfId="51" applyNumberFormat="1" applyFont="1" applyFill="1" applyBorder="1"/>
    <xf numFmtId="179" fontId="0" fillId="24" borderId="37" xfId="51" applyNumberFormat="1" applyFont="1" applyFill="1" applyBorder="1"/>
    <xf numFmtId="177" fontId="10" fillId="24" borderId="39" xfId="106" applyNumberFormat="1" applyFill="1" applyBorder="1"/>
    <xf numFmtId="41" fontId="0" fillId="24" borderId="40" xfId="51" applyNumberFormat="1" applyFont="1" applyFill="1" applyBorder="1"/>
    <xf numFmtId="176" fontId="0" fillId="24" borderId="41" xfId="51" applyNumberFormat="1" applyFont="1" applyFill="1" applyBorder="1"/>
    <xf numFmtId="176" fontId="0" fillId="24" borderId="42" xfId="51" applyNumberFormat="1" applyFont="1" applyFill="1" applyBorder="1"/>
    <xf numFmtId="176" fontId="0" fillId="24" borderId="43" xfId="51" applyNumberFormat="1" applyFont="1" applyFill="1" applyBorder="1"/>
    <xf numFmtId="0" fontId="14" fillId="24" borderId="44" xfId="106" applyFont="1" applyFill="1" applyBorder="1"/>
    <xf numFmtId="178" fontId="10" fillId="24" borderId="40" xfId="106" applyNumberFormat="1" applyFill="1" applyBorder="1"/>
    <xf numFmtId="179" fontId="0" fillId="24" borderId="42" xfId="51" applyNumberFormat="1" applyFont="1" applyFill="1" applyBorder="1"/>
    <xf numFmtId="179" fontId="0" fillId="24" borderId="41" xfId="51" applyNumberFormat="1" applyFont="1" applyFill="1" applyBorder="1"/>
    <xf numFmtId="0" fontId="46" fillId="24" borderId="0" xfId="106" applyFont="1" applyFill="1"/>
    <xf numFmtId="0" fontId="14" fillId="24" borderId="0" xfId="106" applyFont="1" applyFill="1"/>
    <xf numFmtId="0" fontId="14" fillId="0" borderId="0" xfId="106" applyFont="1"/>
    <xf numFmtId="176" fontId="46" fillId="24" borderId="0" xfId="51" applyNumberFormat="1" applyFont="1" applyFill="1" applyAlignment="1">
      <alignment horizontal="center" vertical="center"/>
    </xf>
    <xf numFmtId="0" fontId="34" fillId="24" borderId="0" xfId="106" applyFont="1" applyFill="1" applyAlignment="1">
      <alignment horizontal="center" vertical="center" wrapText="1"/>
    </xf>
    <xf numFmtId="0" fontId="14" fillId="24" borderId="32" xfId="106" applyFont="1" applyFill="1" applyBorder="1" applyAlignment="1">
      <alignment horizontal="center" vertical="center" wrapText="1"/>
    </xf>
    <xf numFmtId="0" fontId="14" fillId="24" borderId="45" xfId="106" applyFont="1" applyFill="1" applyBorder="1" applyAlignment="1">
      <alignment horizontal="center" vertical="center" wrapText="1"/>
    </xf>
    <xf numFmtId="0" fontId="14" fillId="24" borderId="46" xfId="106" applyFont="1" applyFill="1" applyBorder="1" applyAlignment="1">
      <alignment horizontal="center" vertical="center" wrapText="1"/>
    </xf>
    <xf numFmtId="0" fontId="14" fillId="24" borderId="31" xfId="106" applyFont="1" applyFill="1" applyBorder="1" applyAlignment="1">
      <alignment horizontal="center" vertical="center" wrapText="1"/>
    </xf>
    <xf numFmtId="0" fontId="14" fillId="24" borderId="47" xfId="106" applyFont="1" applyFill="1" applyBorder="1" applyAlignment="1">
      <alignment horizontal="center" vertical="center" wrapText="1"/>
    </xf>
    <xf numFmtId="0" fontId="14" fillId="24" borderId="30" xfId="106" applyFont="1" applyFill="1" applyBorder="1" applyAlignment="1">
      <alignment horizontal="center" vertical="center"/>
    </xf>
    <xf numFmtId="0" fontId="14" fillId="24" borderId="0" xfId="106" applyFont="1" applyFill="1" applyAlignment="1"/>
    <xf numFmtId="0" fontId="14" fillId="24" borderId="0" xfId="106" applyFont="1" applyFill="1" applyAlignment="1">
      <alignment horizontal="center" vertical="center" wrapText="1"/>
    </xf>
    <xf numFmtId="43" fontId="14" fillId="0" borderId="0" xfId="51" applyNumberFormat="1" applyFont="1" applyFill="1" applyBorder="1"/>
    <xf numFmtId="43" fontId="10" fillId="0" borderId="0" xfId="53" applyNumberFormat="1" applyFont="1"/>
    <xf numFmtId="43" fontId="0" fillId="0" borderId="0" xfId="51" applyNumberFormat="1" applyFont="1"/>
    <xf numFmtId="0" fontId="33" fillId="0" borderId="0" xfId="109" applyFont="1"/>
    <xf numFmtId="43" fontId="33" fillId="0" borderId="0" xfId="110" applyFont="1"/>
    <xf numFmtId="38" fontId="0" fillId="0" borderId="0" xfId="51" applyNumberFormat="1" applyFont="1" applyFill="1" applyBorder="1"/>
    <xf numFmtId="38" fontId="0" fillId="24" borderId="0" xfId="51" applyNumberFormat="1" applyFont="1" applyFill="1" applyBorder="1"/>
    <xf numFmtId="37" fontId="10" fillId="24" borderId="11" xfId="37" applyFont="1" applyFill="1" applyBorder="1" applyAlignment="1" applyProtection="1">
      <alignment horizontal="left"/>
      <protection hidden="1"/>
    </xf>
    <xf numFmtId="37" fontId="10" fillId="24" borderId="12" xfId="37" applyFont="1" applyFill="1" applyBorder="1" applyAlignment="1" applyProtection="1">
      <alignment horizontal="left"/>
      <protection hidden="1"/>
    </xf>
    <xf numFmtId="37" fontId="10" fillId="24" borderId="0" xfId="37" applyFont="1" applyFill="1" applyProtection="1">
      <protection hidden="1"/>
    </xf>
    <xf numFmtId="37" fontId="14" fillId="24" borderId="13" xfId="37" applyFont="1" applyFill="1" applyBorder="1" applyAlignment="1" applyProtection="1">
      <alignment horizontal="left"/>
      <protection hidden="1"/>
    </xf>
    <xf numFmtId="37" fontId="10" fillId="24" borderId="0" xfId="37" applyFont="1" applyFill="1" applyBorder="1" applyProtection="1">
      <protection hidden="1"/>
    </xf>
    <xf numFmtId="173" fontId="10" fillId="24" borderId="0" xfId="37" applyNumberFormat="1" applyFont="1" applyFill="1" applyProtection="1">
      <protection hidden="1"/>
    </xf>
    <xf numFmtId="37" fontId="14" fillId="24" borderId="10" xfId="37" applyFont="1" applyFill="1" applyBorder="1" applyAlignment="1" applyProtection="1">
      <alignment horizontal="center" vertical="center" wrapText="1"/>
      <protection hidden="1"/>
    </xf>
    <xf numFmtId="37" fontId="34" fillId="24" borderId="0" xfId="37" applyFont="1" applyFill="1" applyBorder="1" applyAlignment="1" applyProtection="1">
      <alignment horizontal="center" vertical="center" wrapText="1"/>
      <protection hidden="1"/>
    </xf>
    <xf numFmtId="37" fontId="34" fillId="24" borderId="0" xfId="37" applyFont="1" applyFill="1" applyProtection="1">
      <protection hidden="1"/>
    </xf>
    <xf numFmtId="37" fontId="34" fillId="24" borderId="0" xfId="37" applyFont="1" applyFill="1" applyAlignment="1" applyProtection="1">
      <alignment horizontal="center" vertical="center"/>
      <protection hidden="1"/>
    </xf>
    <xf numFmtId="37" fontId="39" fillId="24" borderId="0" xfId="37" applyFont="1" applyFill="1" applyBorder="1" applyAlignment="1" applyProtection="1">
      <alignment horizontal="center" vertical="center" wrapText="1"/>
      <protection hidden="1"/>
    </xf>
    <xf numFmtId="37" fontId="39" fillId="24" borderId="0" xfId="37" applyFont="1" applyFill="1" applyProtection="1">
      <protection hidden="1"/>
    </xf>
    <xf numFmtId="37" fontId="34" fillId="24" borderId="0" xfId="37" applyFont="1" applyFill="1" applyAlignment="1" applyProtection="1">
      <alignment horizontal="center" vertical="center" wrapText="1"/>
      <protection hidden="1"/>
    </xf>
    <xf numFmtId="37" fontId="10" fillId="24" borderId="11" xfId="37" applyFont="1" applyFill="1" applyBorder="1" applyProtection="1">
      <protection hidden="1"/>
    </xf>
    <xf numFmtId="37" fontId="10" fillId="24" borderId="12" xfId="37" applyFont="1" applyFill="1" applyBorder="1" applyProtection="1">
      <protection hidden="1"/>
    </xf>
    <xf numFmtId="37" fontId="10" fillId="24" borderId="21" xfId="37" applyFont="1" applyFill="1" applyBorder="1" applyProtection="1">
      <protection hidden="1"/>
    </xf>
    <xf numFmtId="37" fontId="14" fillId="24" borderId="13" xfId="37" applyFont="1" applyFill="1" applyBorder="1" applyProtection="1">
      <protection hidden="1"/>
    </xf>
    <xf numFmtId="37" fontId="14" fillId="24" borderId="14" xfId="37" applyFont="1" applyFill="1" applyBorder="1" applyProtection="1">
      <protection hidden="1"/>
    </xf>
    <xf numFmtId="0" fontId="10" fillId="24" borderId="0" xfId="106" applyFill="1" applyBorder="1"/>
    <xf numFmtId="0" fontId="14" fillId="24" borderId="0" xfId="106" applyFont="1" applyFill="1" applyBorder="1"/>
    <xf numFmtId="0" fontId="14" fillId="24" borderId="0" xfId="106" applyFont="1" applyFill="1" applyBorder="1" applyAlignment="1">
      <alignment horizontal="center" vertical="center" wrapText="1"/>
    </xf>
    <xf numFmtId="0" fontId="34" fillId="24" borderId="0" xfId="106" applyFont="1" applyFill="1" applyBorder="1" applyAlignment="1">
      <alignment horizontal="center" vertical="center" wrapText="1"/>
    </xf>
    <xf numFmtId="176" fontId="46" fillId="24" borderId="0" xfId="51" applyNumberFormat="1" applyFont="1" applyFill="1" applyBorder="1" applyAlignment="1">
      <alignment horizontal="center" vertical="center"/>
    </xf>
    <xf numFmtId="38" fontId="10" fillId="24" borderId="0" xfId="106" applyNumberFormat="1" applyFill="1" applyBorder="1"/>
    <xf numFmtId="38" fontId="14" fillId="24" borderId="0" xfId="106" applyNumberFormat="1" applyFont="1" applyFill="1" applyBorder="1"/>
    <xf numFmtId="38" fontId="14" fillId="24" borderId="0" xfId="51" applyNumberFormat="1" applyFont="1" applyFill="1" applyBorder="1"/>
    <xf numFmtId="181" fontId="0" fillId="24" borderId="0" xfId="51" applyNumberFormat="1" applyFont="1" applyFill="1" applyBorder="1"/>
    <xf numFmtId="176" fontId="0" fillId="24" borderId="0" xfId="102" applyNumberFormat="1" applyFont="1" applyFill="1"/>
    <xf numFmtId="176" fontId="0" fillId="0" borderId="0" xfId="102" applyNumberFormat="1" applyFont="1"/>
    <xf numFmtId="176" fontId="50" fillId="24" borderId="47" xfId="102" applyNumberFormat="1" applyFont="1" applyFill="1" applyBorder="1" applyAlignment="1">
      <alignment horizontal="center" vertical="center" wrapText="1"/>
    </xf>
    <xf numFmtId="176" fontId="50" fillId="24" borderId="46" xfId="102" applyNumberFormat="1" applyFont="1" applyFill="1" applyBorder="1" applyAlignment="1">
      <alignment horizontal="center" vertical="center" wrapText="1"/>
    </xf>
    <xf numFmtId="38" fontId="50" fillId="24" borderId="57" xfId="102" applyNumberFormat="1" applyFont="1" applyFill="1" applyBorder="1"/>
    <xf numFmtId="176" fontId="50" fillId="24" borderId="47" xfId="102" applyNumberFormat="1" applyFont="1" applyFill="1" applyBorder="1"/>
    <xf numFmtId="38" fontId="53" fillId="24" borderId="46" xfId="102" applyNumberFormat="1" applyFont="1" applyFill="1" applyBorder="1"/>
    <xf numFmtId="176" fontId="50" fillId="24" borderId="0" xfId="102" applyNumberFormat="1" applyFont="1" applyFill="1" applyBorder="1"/>
    <xf numFmtId="14" fontId="54" fillId="24" borderId="0" xfId="102" applyNumberFormat="1" applyFont="1" applyFill="1" applyAlignment="1">
      <alignment horizontal="left"/>
    </xf>
    <xf numFmtId="176" fontId="54" fillId="24" borderId="0" xfId="102" applyNumberFormat="1" applyFont="1" applyFill="1"/>
    <xf numFmtId="176" fontId="52" fillId="24" borderId="0" xfId="102" applyNumberFormat="1" applyFont="1" applyFill="1"/>
    <xf numFmtId="37" fontId="10" fillId="24" borderId="0" xfId="37" applyFont="1" applyFill="1" applyAlignment="1" applyProtection="1">
      <alignment wrapText="1"/>
      <protection hidden="1"/>
    </xf>
    <xf numFmtId="173" fontId="42" fillId="24" borderId="0" xfId="37" applyNumberFormat="1" applyFont="1" applyFill="1" applyAlignment="1" applyProtection="1">
      <alignment horizontal="center" vertical="center"/>
      <protection hidden="1"/>
    </xf>
    <xf numFmtId="39" fontId="14" fillId="24" borderId="10" xfId="37" applyNumberFormat="1" applyFont="1" applyFill="1" applyBorder="1" applyAlignment="1" applyProtection="1">
      <alignment horizontal="center" vertical="center" wrapText="1"/>
      <protection hidden="1"/>
    </xf>
    <xf numFmtId="39" fontId="14" fillId="24" borderId="0" xfId="37" applyNumberFormat="1" applyFont="1" applyFill="1" applyBorder="1" applyAlignment="1" applyProtection="1">
      <alignment horizontal="center" vertical="center" wrapText="1"/>
      <protection hidden="1"/>
    </xf>
    <xf numFmtId="37" fontId="36" fillId="24" borderId="0" xfId="37" applyFont="1" applyFill="1" applyBorder="1" applyAlignment="1" applyProtection="1">
      <alignment horizontal="center" vertical="center" wrapText="1"/>
      <protection hidden="1"/>
    </xf>
    <xf numFmtId="39" fontId="34" fillId="24" borderId="0" xfId="37" applyNumberFormat="1" applyFont="1" applyFill="1" applyBorder="1" applyAlignment="1" applyProtection="1">
      <alignment horizontal="center" vertical="center" wrapText="1"/>
      <protection hidden="1"/>
    </xf>
    <xf numFmtId="173" fontId="34" fillId="24" borderId="0" xfId="112" applyNumberFormat="1" applyFont="1" applyFill="1" applyBorder="1" applyAlignment="1" applyProtection="1">
      <alignment horizontal="center" vertical="center" wrapText="1"/>
      <protection hidden="1"/>
    </xf>
    <xf numFmtId="173" fontId="34" fillId="24" borderId="0" xfId="37" applyNumberFormat="1" applyFont="1" applyFill="1" applyProtection="1">
      <protection hidden="1"/>
    </xf>
    <xf numFmtId="173" fontId="39" fillId="24" borderId="0" xfId="37" applyNumberFormat="1" applyFont="1" applyFill="1" applyProtection="1">
      <protection hidden="1"/>
    </xf>
    <xf numFmtId="39" fontId="39" fillId="24" borderId="0" xfId="37" applyNumberFormat="1" applyFont="1" applyFill="1" applyBorder="1" applyAlignment="1" applyProtection="1">
      <alignment horizontal="center" vertical="center" wrapText="1"/>
      <protection hidden="1"/>
    </xf>
    <xf numFmtId="173" fontId="39" fillId="24" borderId="0" xfId="37" applyNumberFormat="1" applyFont="1" applyFill="1" applyBorder="1" applyAlignment="1" applyProtection="1">
      <alignment horizontal="center" vertical="center" wrapText="1"/>
      <protection hidden="1"/>
    </xf>
    <xf numFmtId="173" fontId="34" fillId="24" borderId="0" xfId="37" applyNumberFormat="1" applyFont="1" applyFill="1" applyAlignment="1" applyProtection="1">
      <alignment horizontal="center" vertical="center" wrapText="1"/>
      <protection hidden="1"/>
    </xf>
    <xf numFmtId="37" fontId="10" fillId="24" borderId="11" xfId="37" applyNumberFormat="1" applyFont="1" applyFill="1" applyBorder="1" applyProtection="1">
      <protection hidden="1"/>
    </xf>
    <xf numFmtId="37" fontId="10" fillId="24" borderId="69" xfId="37" applyFont="1" applyFill="1" applyBorder="1" applyProtection="1">
      <protection hidden="1"/>
    </xf>
    <xf numFmtId="37" fontId="10" fillId="24" borderId="12" xfId="37" applyNumberFormat="1" applyFont="1" applyFill="1" applyBorder="1" applyProtection="1">
      <protection hidden="1"/>
    </xf>
    <xf numFmtId="37" fontId="14" fillId="24" borderId="13" xfId="37" applyNumberFormat="1" applyFont="1" applyFill="1" applyBorder="1" applyProtection="1">
      <protection hidden="1"/>
    </xf>
    <xf numFmtId="37" fontId="14" fillId="24" borderId="25" xfId="37" applyFont="1" applyFill="1" applyBorder="1" applyAlignment="1" applyProtection="1">
      <alignment horizontal="center" vertical="center" wrapText="1"/>
      <protection hidden="1"/>
    </xf>
    <xf numFmtId="37" fontId="14" fillId="24" borderId="0" xfId="37" applyFont="1" applyFill="1" applyBorder="1" applyAlignment="1" applyProtection="1">
      <alignment horizontal="center" vertical="center" wrapText="1"/>
      <protection hidden="1"/>
    </xf>
    <xf numFmtId="0" fontId="53" fillId="26" borderId="49" xfId="109" applyFont="1" applyFill="1" applyBorder="1"/>
    <xf numFmtId="43" fontId="53" fillId="26" borderId="49" xfId="110" applyFont="1" applyFill="1" applyBorder="1" applyAlignment="1">
      <alignment horizontal="center" vertical="center"/>
    </xf>
    <xf numFmtId="0" fontId="53" fillId="26" borderId="49" xfId="109" applyFont="1" applyFill="1" applyBorder="1" applyAlignment="1">
      <alignment horizontal="center"/>
    </xf>
    <xf numFmtId="0" fontId="54" fillId="0" borderId="65" xfId="109" applyFont="1" applyBorder="1"/>
    <xf numFmtId="43" fontId="54" fillId="0" borderId="61" xfId="110" applyFont="1" applyBorder="1" applyAlignment="1">
      <alignment horizontal="center"/>
    </xf>
    <xf numFmtId="180" fontId="54" fillId="0" borderId="51" xfId="109" applyNumberFormat="1" applyFont="1" applyBorder="1" applyAlignment="1">
      <alignment horizontal="center"/>
    </xf>
    <xf numFmtId="3" fontId="54" fillId="0" borderId="56" xfId="109" applyNumberFormat="1" applyFont="1" applyBorder="1" applyAlignment="1"/>
    <xf numFmtId="0" fontId="54" fillId="0" borderId="66" xfId="109" applyFont="1" applyBorder="1"/>
    <xf numFmtId="43" fontId="54" fillId="0" borderId="62" xfId="110" applyFont="1" applyBorder="1"/>
    <xf numFmtId="180" fontId="54" fillId="0" borderId="50" xfId="109" applyNumberFormat="1" applyFont="1" applyBorder="1" applyAlignment="1">
      <alignment horizontal="center"/>
    </xf>
    <xf numFmtId="3" fontId="54" fillId="0" borderId="57" xfId="109" applyNumberFormat="1" applyFont="1" applyBorder="1"/>
    <xf numFmtId="0" fontId="54" fillId="0" borderId="66" xfId="109" applyFont="1" applyFill="1" applyBorder="1"/>
    <xf numFmtId="43" fontId="54" fillId="0" borderId="62" xfId="110" applyFont="1" applyFill="1" applyBorder="1" applyAlignment="1" applyProtection="1"/>
    <xf numFmtId="43" fontId="57" fillId="0" borderId="62" xfId="110" applyFont="1" applyBorder="1" applyAlignment="1">
      <alignment vertical="center"/>
    </xf>
    <xf numFmtId="0" fontId="54" fillId="24" borderId="66" xfId="109" applyFont="1" applyFill="1" applyBorder="1"/>
    <xf numFmtId="43" fontId="54" fillId="24" borderId="62" xfId="110" applyFont="1" applyFill="1" applyBorder="1"/>
    <xf numFmtId="43" fontId="49" fillId="0" borderId="62" xfId="110" applyFont="1" applyBorder="1"/>
    <xf numFmtId="0" fontId="51" fillId="0" borderId="66" xfId="109" applyFont="1" applyFill="1" applyBorder="1"/>
    <xf numFmtId="0" fontId="54" fillId="0" borderId="67" xfId="109" applyFont="1" applyBorder="1"/>
    <xf numFmtId="43" fontId="54" fillId="0" borderId="63" xfId="110" applyFont="1" applyBorder="1"/>
    <xf numFmtId="3" fontId="54" fillId="0" borderId="58" xfId="109" applyNumberFormat="1" applyFont="1" applyBorder="1"/>
    <xf numFmtId="0" fontId="53" fillId="27" borderId="60" xfId="109" applyFont="1" applyFill="1" applyBorder="1"/>
    <xf numFmtId="180" fontId="53" fillId="27" borderId="55" xfId="109" applyNumberFormat="1" applyFont="1" applyFill="1" applyBorder="1"/>
    <xf numFmtId="3" fontId="53" fillId="27" borderId="59" xfId="109" applyNumberFormat="1" applyFont="1" applyFill="1" applyBorder="1"/>
    <xf numFmtId="0" fontId="54" fillId="0" borderId="0" xfId="109" applyFont="1"/>
    <xf numFmtId="43" fontId="54" fillId="0" borderId="0" xfId="110" applyFont="1"/>
    <xf numFmtId="0" fontId="53" fillId="27" borderId="27" xfId="109" applyFont="1" applyFill="1" applyBorder="1"/>
    <xf numFmtId="43" fontId="53" fillId="0" borderId="29" xfId="110" applyFont="1" applyBorder="1"/>
    <xf numFmtId="0" fontId="53" fillId="27" borderId="54" xfId="109" applyFont="1" applyFill="1" applyBorder="1"/>
    <xf numFmtId="43" fontId="53" fillId="0" borderId="54" xfId="110" applyFont="1" applyBorder="1"/>
    <xf numFmtId="44" fontId="54" fillId="24" borderId="0" xfId="114" applyFont="1" applyFill="1" applyAlignment="1">
      <alignment horizontal="left"/>
    </xf>
    <xf numFmtId="176" fontId="14" fillId="0" borderId="72" xfId="51" applyNumberFormat="1" applyFont="1" applyFill="1" applyBorder="1"/>
    <xf numFmtId="176" fontId="14" fillId="0" borderId="73" xfId="51" applyNumberFormat="1" applyFont="1" applyFill="1" applyBorder="1"/>
    <xf numFmtId="38" fontId="14" fillId="0" borderId="73" xfId="51" applyNumberFormat="1" applyFont="1" applyFill="1" applyBorder="1"/>
    <xf numFmtId="176" fontId="14" fillId="0" borderId="74" xfId="51" applyNumberFormat="1" applyFont="1" applyFill="1" applyBorder="1"/>
    <xf numFmtId="176" fontId="14" fillId="0" borderId="27" xfId="51" applyNumberFormat="1" applyFont="1" applyFill="1" applyBorder="1"/>
    <xf numFmtId="176" fontId="14" fillId="0" borderId="75" xfId="51" applyNumberFormat="1" applyFont="1" applyFill="1" applyBorder="1"/>
    <xf numFmtId="176" fontId="14" fillId="0" borderId="28" xfId="51" applyNumberFormat="1" applyFont="1" applyFill="1" applyBorder="1"/>
    <xf numFmtId="38" fontId="0" fillId="24" borderId="42" xfId="51" applyNumberFormat="1" applyFont="1" applyFill="1" applyBorder="1"/>
    <xf numFmtId="183" fontId="10" fillId="24" borderId="42" xfId="106" applyNumberFormat="1" applyFill="1" applyBorder="1"/>
    <xf numFmtId="183" fontId="10" fillId="24" borderId="0" xfId="106" applyNumberFormat="1" applyFill="1" applyBorder="1"/>
    <xf numFmtId="41" fontId="0" fillId="24" borderId="36" xfId="51" applyNumberFormat="1" applyFont="1" applyFill="1" applyBorder="1"/>
    <xf numFmtId="172" fontId="10" fillId="24" borderId="20" xfId="40" applyNumberFormat="1" applyFont="1" applyFill="1" applyBorder="1" applyProtection="1">
      <protection hidden="1"/>
    </xf>
    <xf numFmtId="172" fontId="10" fillId="24" borderId="19" xfId="40" applyNumberFormat="1" applyFont="1" applyFill="1" applyBorder="1" applyProtection="1">
      <protection hidden="1"/>
    </xf>
    <xf numFmtId="172" fontId="14" fillId="24" borderId="15" xfId="40" applyNumberFormat="1" applyFont="1" applyFill="1" applyBorder="1" applyProtection="1">
      <protection hidden="1"/>
    </xf>
    <xf numFmtId="172" fontId="10" fillId="24" borderId="16" xfId="33" applyNumberFormat="1" applyFont="1" applyFill="1" applyBorder="1" applyProtection="1">
      <protection hidden="1"/>
    </xf>
    <xf numFmtId="172" fontId="10" fillId="24" borderId="17" xfId="33" applyNumberFormat="1" applyFont="1" applyFill="1" applyBorder="1" applyProtection="1">
      <protection hidden="1"/>
    </xf>
    <xf numFmtId="172" fontId="14" fillId="24" borderId="18" xfId="40" applyNumberFormat="1" applyFont="1" applyFill="1" applyBorder="1" applyProtection="1">
      <protection hidden="1"/>
    </xf>
    <xf numFmtId="172" fontId="14" fillId="24" borderId="15" xfId="37" applyNumberFormat="1" applyFont="1" applyFill="1" applyBorder="1" applyProtection="1">
      <protection hidden="1"/>
    </xf>
    <xf numFmtId="176" fontId="50" fillId="24" borderId="45" xfId="102" applyNumberFormat="1" applyFont="1" applyFill="1" applyBorder="1" applyAlignment="1">
      <alignment horizontal="center" vertical="center" wrapText="1"/>
    </xf>
    <xf numFmtId="0" fontId="14" fillId="24" borderId="0" xfId="106" applyFont="1" applyFill="1" applyBorder="1" applyAlignment="1">
      <alignment horizontal="center" vertical="center"/>
    </xf>
    <xf numFmtId="9" fontId="46" fillId="24" borderId="0" xfId="115" applyFont="1" applyFill="1" applyAlignment="1">
      <alignment horizontal="center" vertical="center"/>
    </xf>
    <xf numFmtId="179" fontId="0" fillId="24" borderId="42" xfId="115" applyNumberFormat="1" applyFont="1" applyFill="1" applyBorder="1"/>
    <xf numFmtId="179" fontId="0" fillId="24" borderId="0" xfId="115" applyNumberFormat="1" applyFont="1" applyFill="1" applyBorder="1"/>
    <xf numFmtId="0" fontId="14" fillId="24" borderId="76" xfId="106" applyFont="1" applyFill="1" applyBorder="1"/>
    <xf numFmtId="176" fontId="14" fillId="24" borderId="77" xfId="51" applyNumberFormat="1" applyFont="1" applyFill="1" applyBorder="1"/>
    <xf numFmtId="176" fontId="14" fillId="24" borderId="78" xfId="51" applyNumberFormat="1" applyFont="1" applyFill="1" applyBorder="1"/>
    <xf numFmtId="179" fontId="14" fillId="24" borderId="78" xfId="115" applyNumberFormat="1" applyFont="1" applyFill="1" applyBorder="1"/>
    <xf numFmtId="179" fontId="14" fillId="24" borderId="79" xfId="51" applyNumberFormat="1" applyFont="1" applyFill="1" applyBorder="1"/>
    <xf numFmtId="176" fontId="14" fillId="24" borderId="78" xfId="106" applyNumberFormat="1" applyFont="1" applyFill="1" applyBorder="1"/>
    <xf numFmtId="179" fontId="14" fillId="24" borderId="78" xfId="106" applyNumberFormat="1" applyFont="1" applyFill="1" applyBorder="1"/>
    <xf numFmtId="179" fontId="14" fillId="24" borderId="78" xfId="51" applyNumberFormat="1" applyFont="1" applyFill="1" applyBorder="1"/>
    <xf numFmtId="177" fontId="14" fillId="24" borderId="80" xfId="106" applyNumberFormat="1" applyFont="1" applyFill="1" applyBorder="1"/>
    <xf numFmtId="178" fontId="14" fillId="24" borderId="81" xfId="106" applyNumberFormat="1" applyFont="1" applyFill="1" applyBorder="1"/>
    <xf numFmtId="176" fontId="14" fillId="24" borderId="77" xfId="106" applyNumberFormat="1" applyFont="1" applyFill="1" applyBorder="1"/>
    <xf numFmtId="176" fontId="14" fillId="24" borderId="79" xfId="106" applyNumberFormat="1" applyFont="1" applyFill="1" applyBorder="1"/>
    <xf numFmtId="176" fontId="14" fillId="24" borderId="81" xfId="51" applyNumberFormat="1" applyFont="1" applyFill="1" applyBorder="1"/>
    <xf numFmtId="172" fontId="14" fillId="24" borderId="20" xfId="37" applyNumberFormat="1" applyFont="1" applyFill="1" applyBorder="1" applyProtection="1">
      <protection hidden="1"/>
    </xf>
    <xf numFmtId="172" fontId="14" fillId="24" borderId="19" xfId="37" applyNumberFormat="1" applyFont="1" applyFill="1" applyBorder="1" applyProtection="1">
      <protection hidden="1"/>
    </xf>
    <xf numFmtId="0" fontId="10" fillId="0" borderId="82" xfId="53" applyFont="1" applyBorder="1" applyAlignment="1">
      <alignment vertical="center" wrapText="1"/>
    </xf>
    <xf numFmtId="184" fontId="14" fillId="24" borderId="39" xfId="106" applyNumberFormat="1" applyFont="1" applyFill="1" applyBorder="1"/>
    <xf numFmtId="184" fontId="14" fillId="24" borderId="34" xfId="106" applyNumberFormat="1" applyFont="1" applyFill="1" applyBorder="1"/>
    <xf numFmtId="184" fontId="14" fillId="24" borderId="80" xfId="106" applyNumberFormat="1" applyFont="1" applyFill="1" applyBorder="1"/>
    <xf numFmtId="38" fontId="14" fillId="0" borderId="35" xfId="51" applyNumberFormat="1" applyFont="1" applyFill="1" applyBorder="1"/>
    <xf numFmtId="185" fontId="10" fillId="0" borderId="0" xfId="53" applyNumberFormat="1"/>
    <xf numFmtId="37" fontId="14" fillId="24" borderId="73" xfId="37" applyFont="1" applyFill="1" applyBorder="1" applyAlignment="1" applyProtection="1">
      <alignment horizontal="center" vertical="center" wrapText="1"/>
      <protection hidden="1"/>
    </xf>
    <xf numFmtId="37" fontId="10" fillId="0" borderId="26" xfId="37" applyFont="1" applyBorder="1" applyAlignment="1" applyProtection="1">
      <alignment wrapText="1"/>
      <protection hidden="1"/>
    </xf>
    <xf numFmtId="167" fontId="61" fillId="0" borderId="0" xfId="40" applyNumberFormat="1" applyFont="1" applyProtection="1">
      <protection hidden="1"/>
    </xf>
    <xf numFmtId="49" fontId="62" fillId="0" borderId="10" xfId="54" applyNumberFormat="1" applyFont="1" applyFill="1" applyBorder="1" applyAlignment="1" applyProtection="1">
      <alignment horizontal="center" vertical="center" wrapText="1"/>
      <protection hidden="1"/>
    </xf>
    <xf numFmtId="37" fontId="14" fillId="0" borderId="10" xfId="37" applyFont="1" applyFill="1" applyBorder="1" applyAlignment="1" applyProtection="1">
      <alignment horizontal="center" vertical="center" wrapText="1"/>
      <protection hidden="1"/>
    </xf>
    <xf numFmtId="37" fontId="60" fillId="0" borderId="0" xfId="37" applyFont="1" applyBorder="1" applyAlignment="1" applyProtection="1">
      <alignment horizontal="center" vertical="center" wrapText="1"/>
      <protection hidden="1"/>
    </xf>
    <xf numFmtId="37" fontId="63" fillId="0" borderId="0" xfId="37" applyFont="1" applyBorder="1" applyAlignment="1" applyProtection="1">
      <alignment horizontal="center" vertical="center" wrapText="1"/>
      <protection hidden="1"/>
    </xf>
    <xf numFmtId="37" fontId="10" fillId="0" borderId="11" xfId="37" applyFont="1" applyFill="1" applyBorder="1" applyAlignment="1" applyProtection="1">
      <alignment horizontal="left"/>
      <protection hidden="1"/>
    </xf>
    <xf numFmtId="37" fontId="10" fillId="0" borderId="69" xfId="37" applyFont="1" applyFill="1" applyBorder="1" applyAlignment="1" applyProtection="1">
      <alignment horizontal="right"/>
      <protection hidden="1"/>
    </xf>
    <xf numFmtId="37" fontId="14" fillId="0" borderId="69" xfId="37" applyFont="1" applyFill="1" applyBorder="1" applyAlignment="1" applyProtection="1">
      <alignment horizontal="right"/>
      <protection hidden="1"/>
    </xf>
    <xf numFmtId="37" fontId="14" fillId="0" borderId="23" xfId="37" applyNumberFormat="1" applyFont="1" applyFill="1" applyBorder="1" applyAlignment="1" applyProtection="1">
      <alignment horizontal="right"/>
      <protection hidden="1"/>
    </xf>
    <xf numFmtId="165" fontId="14" fillId="0" borderId="20" xfId="33" applyNumberFormat="1" applyFont="1" applyFill="1" applyBorder="1" applyProtection="1">
      <protection hidden="1"/>
    </xf>
    <xf numFmtId="37" fontId="10" fillId="0" borderId="12" xfId="37" applyFont="1" applyFill="1" applyBorder="1" applyAlignment="1" applyProtection="1">
      <alignment horizontal="left"/>
      <protection hidden="1"/>
    </xf>
    <xf numFmtId="37" fontId="10" fillId="0" borderId="21" xfId="37" applyFont="1" applyFill="1" applyBorder="1" applyAlignment="1" applyProtection="1">
      <alignment horizontal="right"/>
      <protection hidden="1"/>
    </xf>
    <xf numFmtId="37" fontId="10" fillId="0" borderId="83" xfId="37" applyFont="1" applyFill="1" applyBorder="1" applyAlignment="1" applyProtection="1">
      <protection hidden="1"/>
    </xf>
    <xf numFmtId="37" fontId="14" fillId="0" borderId="21" xfId="37" applyFont="1" applyFill="1" applyBorder="1" applyAlignment="1" applyProtection="1">
      <alignment horizontal="right"/>
      <protection hidden="1"/>
    </xf>
    <xf numFmtId="37" fontId="14" fillId="0" borderId="24" xfId="40" applyNumberFormat="1" applyFont="1" applyFill="1" applyBorder="1" applyProtection="1">
      <protection hidden="1"/>
    </xf>
    <xf numFmtId="165" fontId="14" fillId="0" borderId="19" xfId="33" applyNumberFormat="1" applyFont="1" applyFill="1" applyBorder="1" applyProtection="1">
      <protection hidden="1"/>
    </xf>
    <xf numFmtId="37" fontId="14" fillId="0" borderId="13" xfId="37" applyFont="1" applyFill="1" applyBorder="1" applyAlignment="1" applyProtection="1">
      <alignment horizontal="left"/>
      <protection hidden="1"/>
    </xf>
    <xf numFmtId="37" fontId="14" fillId="0" borderId="14" xfId="37" applyFont="1" applyFill="1" applyBorder="1" applyAlignment="1" applyProtection="1">
      <alignment horizontal="right"/>
      <protection hidden="1"/>
    </xf>
    <xf numFmtId="165" fontId="14" fillId="0" borderId="15" xfId="33" applyNumberFormat="1" applyFont="1" applyFill="1" applyBorder="1" applyProtection="1">
      <protection hidden="1"/>
    </xf>
    <xf numFmtId="37" fontId="14" fillId="0" borderId="0" xfId="37" applyFont="1" applyProtection="1">
      <protection hidden="1"/>
    </xf>
    <xf numFmtId="187" fontId="10" fillId="0" borderId="0" xfId="40" applyNumberFormat="1" applyFont="1" applyProtection="1">
      <protection hidden="1"/>
    </xf>
    <xf numFmtId="37" fontId="10" fillId="0" borderId="0" xfId="37" applyFont="1" applyBorder="1" applyProtection="1">
      <protection hidden="1"/>
    </xf>
    <xf numFmtId="164" fontId="10" fillId="0" borderId="0" xfId="33" applyFont="1" applyBorder="1" applyProtection="1">
      <protection hidden="1"/>
    </xf>
    <xf numFmtId="167" fontId="61" fillId="0" borderId="0" xfId="40" applyNumberFormat="1" applyFont="1" applyBorder="1" applyProtection="1">
      <protection hidden="1"/>
    </xf>
    <xf numFmtId="10" fontId="10" fillId="0" borderId="0" xfId="40" applyNumberFormat="1" applyFont="1" applyAlignment="1" applyProtection="1">
      <alignment horizontal="center"/>
      <protection hidden="1"/>
    </xf>
    <xf numFmtId="37" fontId="64" fillId="0" borderId="0" xfId="37" applyFont="1" applyProtection="1">
      <protection hidden="1"/>
    </xf>
    <xf numFmtId="188" fontId="10" fillId="0" borderId="0" xfId="40" applyNumberFormat="1" applyFont="1" applyProtection="1">
      <protection hidden="1"/>
    </xf>
    <xf numFmtId="189" fontId="10" fillId="0" borderId="0" xfId="37" applyNumberFormat="1" applyFont="1" applyProtection="1">
      <protection hidden="1"/>
    </xf>
    <xf numFmtId="190" fontId="10" fillId="0" borderId="0" xfId="37" applyNumberFormat="1" applyFont="1" applyProtection="1">
      <protection hidden="1"/>
    </xf>
    <xf numFmtId="0" fontId="14" fillId="0" borderId="82" xfId="53" applyFont="1" applyBorder="1" applyAlignment="1">
      <alignment horizontal="center" vertical="center" wrapText="1"/>
    </xf>
    <xf numFmtId="182" fontId="10" fillId="0" borderId="82" xfId="33" applyNumberFormat="1" applyFont="1" applyFill="1" applyBorder="1" applyAlignment="1">
      <alignment vertical="center" wrapText="1"/>
    </xf>
    <xf numFmtId="182" fontId="10" fillId="0" borderId="82" xfId="53" applyNumberFormat="1" applyFont="1" applyBorder="1" applyAlignment="1">
      <alignment horizontal="center" vertical="center" wrapText="1"/>
    </xf>
    <xf numFmtId="0" fontId="14" fillId="0" borderId="82" xfId="53" applyFont="1" applyBorder="1" applyAlignment="1">
      <alignment vertical="center" wrapText="1"/>
    </xf>
    <xf numFmtId="182" fontId="14" fillId="0" borderId="82" xfId="33" applyNumberFormat="1" applyFont="1" applyFill="1" applyBorder="1" applyAlignment="1">
      <alignment vertical="center" wrapText="1"/>
    </xf>
    <xf numFmtId="182" fontId="14" fillId="0" borderId="82" xfId="53" applyNumberFormat="1" applyFont="1" applyBorder="1" applyAlignment="1">
      <alignment horizontal="center" vertical="center" wrapText="1"/>
    </xf>
    <xf numFmtId="182" fontId="14" fillId="0" borderId="82" xfId="33" applyNumberFormat="1" applyFont="1" applyFill="1" applyBorder="1" applyAlignment="1">
      <alignment horizontal="center" vertical="center" wrapText="1"/>
    </xf>
    <xf numFmtId="0" fontId="14" fillId="0" borderId="82" xfId="53" applyFont="1" applyBorder="1" applyAlignment="1">
      <alignment horizontal="center" vertical="center"/>
    </xf>
    <xf numFmtId="182" fontId="14" fillId="0" borderId="82" xfId="53" applyNumberFormat="1" applyFont="1" applyBorder="1" applyAlignment="1">
      <alignment vertical="center"/>
    </xf>
    <xf numFmtId="182" fontId="14" fillId="0" borderId="82" xfId="53" applyNumberFormat="1" applyFont="1" applyBorder="1" applyAlignment="1">
      <alignment horizontal="center" vertical="center"/>
    </xf>
    <xf numFmtId="165" fontId="10" fillId="0" borderId="0" xfId="33" applyNumberFormat="1"/>
    <xf numFmtId="165" fontId="10" fillId="0" borderId="0" xfId="53" applyNumberFormat="1"/>
    <xf numFmtId="191" fontId="10" fillId="0" borderId="0" xfId="53" applyNumberFormat="1"/>
    <xf numFmtId="192" fontId="10" fillId="0" borderId="0" xfId="53" applyNumberFormat="1"/>
    <xf numFmtId="191" fontId="10" fillId="0" borderId="0" xfId="33" applyNumberFormat="1"/>
    <xf numFmtId="192" fontId="10" fillId="0" borderId="0" xfId="33" applyNumberFormat="1"/>
    <xf numFmtId="38" fontId="10" fillId="0" borderId="69" xfId="37" applyNumberFormat="1" applyFont="1" applyFill="1" applyBorder="1" applyAlignment="1" applyProtection="1">
      <alignment horizontal="right"/>
      <protection hidden="1"/>
    </xf>
    <xf numFmtId="38" fontId="10" fillId="0" borderId="21" xfId="37" applyNumberFormat="1" applyFont="1" applyFill="1" applyBorder="1" applyAlignment="1" applyProtection="1">
      <alignment horizontal="right"/>
      <protection hidden="1"/>
    </xf>
    <xf numFmtId="176" fontId="65" fillId="24" borderId="0" xfId="51" applyNumberFormat="1" applyFont="1" applyFill="1" applyBorder="1" applyAlignment="1">
      <alignment horizontal="center" vertical="center" wrapText="1"/>
    </xf>
    <xf numFmtId="0" fontId="47" fillId="24" borderId="0" xfId="0" applyFont="1" applyFill="1" applyBorder="1" applyAlignment="1">
      <alignment horizontal="center" vertical="center"/>
    </xf>
    <xf numFmtId="176" fontId="14" fillId="0" borderId="0" xfId="51" applyNumberFormat="1" applyFont="1" applyAlignment="1"/>
    <xf numFmtId="0" fontId="42" fillId="0" borderId="26" xfId="0" applyFont="1" applyBorder="1" applyAlignment="1">
      <alignment horizontal="center"/>
    </xf>
    <xf numFmtId="176" fontId="58" fillId="24" borderId="0" xfId="51" applyNumberFormat="1" applyFont="1" applyFill="1" applyAlignment="1"/>
    <xf numFmtId="9" fontId="14" fillId="24" borderId="73" xfId="40" applyFont="1" applyFill="1" applyBorder="1" applyAlignment="1" applyProtection="1">
      <alignment horizontal="center" vertical="center" wrapText="1"/>
      <protection hidden="1"/>
    </xf>
    <xf numFmtId="37" fontId="34" fillId="0" borderId="0" xfId="37" applyFont="1" applyAlignment="1" applyProtection="1">
      <alignment horizontal="center" vertical="center"/>
      <protection hidden="1"/>
    </xf>
    <xf numFmtId="37" fontId="34" fillId="0" borderId="0" xfId="37" applyFont="1" applyFill="1" applyBorder="1" applyAlignment="1" applyProtection="1">
      <alignment horizontal="center" vertical="center" wrapText="1"/>
      <protection hidden="1"/>
    </xf>
    <xf numFmtId="172" fontId="14" fillId="24" borderId="73" xfId="40" applyNumberFormat="1" applyFont="1" applyFill="1" applyBorder="1" applyAlignment="1" applyProtection="1">
      <alignment horizontal="center" vertical="center" wrapText="1"/>
      <protection hidden="1"/>
    </xf>
    <xf numFmtId="0" fontId="34" fillId="0" borderId="0" xfId="0" applyFont="1" applyFill="1" applyBorder="1" applyAlignment="1" applyProtection="1">
      <alignment horizontal="center" vertical="center" wrapText="1"/>
      <protection hidden="1"/>
    </xf>
    <xf numFmtId="172" fontId="34" fillId="0" borderId="0" xfId="112" applyNumberFormat="1" applyFont="1" applyFill="1" applyBorder="1" applyAlignment="1" applyProtection="1">
      <alignment horizontal="center" vertical="center" wrapText="1"/>
      <protection hidden="1"/>
    </xf>
    <xf numFmtId="0" fontId="14" fillId="0" borderId="10" xfId="0" applyFont="1" applyFill="1" applyBorder="1" applyAlignment="1" applyProtection="1">
      <alignment horizontal="center" vertical="center" wrapText="1"/>
      <protection hidden="1"/>
    </xf>
    <xf numFmtId="9" fontId="14" fillId="0" borderId="10" xfId="0" applyNumberFormat="1" applyFont="1" applyFill="1" applyBorder="1" applyAlignment="1" applyProtection="1">
      <alignment horizontal="center" vertical="center" wrapText="1"/>
      <protection hidden="1"/>
    </xf>
    <xf numFmtId="0" fontId="41" fillId="0" borderId="10" xfId="0" applyFont="1" applyFill="1" applyBorder="1" applyAlignment="1" applyProtection="1">
      <alignment horizontal="center" vertical="center" wrapText="1"/>
      <protection hidden="1"/>
    </xf>
    <xf numFmtId="9" fontId="14" fillId="0" borderId="10" xfId="40" applyFont="1" applyFill="1" applyBorder="1" applyAlignment="1" applyProtection="1">
      <alignment horizontal="center" vertical="center" wrapText="1"/>
      <protection hidden="1"/>
    </xf>
    <xf numFmtId="173" fontId="41" fillId="0" borderId="10" xfId="0" applyNumberFormat="1" applyFont="1" applyFill="1" applyBorder="1" applyAlignment="1" applyProtection="1">
      <alignment horizontal="center" vertical="center" wrapText="1"/>
      <protection hidden="1"/>
    </xf>
    <xf numFmtId="172" fontId="41" fillId="0" borderId="10" xfId="0" applyNumberFormat="1" applyFont="1" applyFill="1" applyBorder="1" applyAlignment="1" applyProtection="1">
      <alignment horizontal="center" vertical="center" wrapText="1"/>
      <protection hidden="1"/>
    </xf>
    <xf numFmtId="0" fontId="14" fillId="0" borderId="82" xfId="0" applyFont="1" applyFill="1" applyBorder="1" applyAlignment="1" applyProtection="1">
      <alignment horizontal="center" vertical="center" wrapText="1"/>
      <protection hidden="1"/>
    </xf>
    <xf numFmtId="9" fontId="34" fillId="0" borderId="0" xfId="0" applyNumberFormat="1" applyFont="1" applyFill="1" applyBorder="1" applyAlignment="1" applyProtection="1">
      <alignment horizontal="center" vertical="center" wrapText="1"/>
      <protection hidden="1"/>
    </xf>
    <xf numFmtId="169" fontId="34" fillId="0" borderId="0" xfId="112" applyFont="1" applyFill="1" applyBorder="1" applyAlignment="1" applyProtection="1">
      <alignment horizontal="center" vertical="center" wrapText="1"/>
      <protection hidden="1"/>
    </xf>
    <xf numFmtId="172" fontId="34" fillId="0" borderId="0" xfId="0" applyNumberFormat="1" applyFont="1" applyFill="1" applyBorder="1" applyAlignment="1" applyProtection="1">
      <alignment horizontal="center" vertical="center" wrapText="1"/>
      <protection hidden="1"/>
    </xf>
    <xf numFmtId="173" fontId="36" fillId="0" borderId="0" xfId="112" applyNumberFormat="1" applyFont="1" applyFill="1" applyBorder="1" applyAlignment="1" applyProtection="1">
      <alignment horizontal="center" vertical="center" wrapText="1"/>
      <protection hidden="1"/>
    </xf>
    <xf numFmtId="37" fontId="34" fillId="0" borderId="0" xfId="37" applyFont="1" applyFill="1" applyProtection="1">
      <protection hidden="1"/>
    </xf>
    <xf numFmtId="37" fontId="39" fillId="0" borderId="0" xfId="37" applyFont="1" applyFill="1" applyBorder="1" applyAlignment="1" applyProtection="1">
      <alignment horizontal="center" vertical="center" wrapText="1"/>
      <protection hidden="1"/>
    </xf>
    <xf numFmtId="37" fontId="39" fillId="0" borderId="0" xfId="37" applyFont="1" applyFill="1" applyProtection="1">
      <protection hidden="1"/>
    </xf>
    <xf numFmtId="0" fontId="40" fillId="0" borderId="0" xfId="0" applyFont="1" applyFill="1" applyAlignment="1" applyProtection="1">
      <alignment horizontal="center" vertical="center" wrapText="1"/>
      <protection hidden="1"/>
    </xf>
    <xf numFmtId="172" fontId="39" fillId="0" borderId="0" xfId="37" applyNumberFormat="1" applyFont="1" applyFill="1" applyProtection="1">
      <protection hidden="1"/>
    </xf>
    <xf numFmtId="173" fontId="40" fillId="0" borderId="0" xfId="0" applyNumberFormat="1" applyFont="1" applyFill="1" applyAlignment="1" applyProtection="1">
      <alignment horizontal="center" vertical="center" wrapText="1"/>
      <protection hidden="1"/>
    </xf>
    <xf numFmtId="37" fontId="46" fillId="0" borderId="0" xfId="37" applyFont="1" applyAlignment="1" applyProtection="1">
      <alignment horizontal="center" vertical="center"/>
      <protection hidden="1"/>
    </xf>
    <xf numFmtId="37" fontId="10" fillId="0" borderId="0" xfId="37" applyFont="1" applyFill="1" applyBorder="1" applyAlignment="1" applyProtection="1">
      <alignment horizontal="center" vertical="center" wrapText="1"/>
      <protection hidden="1"/>
    </xf>
    <xf numFmtId="172" fontId="10" fillId="0" borderId="0" xfId="37" applyNumberFormat="1" applyFont="1" applyFill="1" applyBorder="1" applyAlignment="1" applyProtection="1">
      <alignment horizontal="center" vertical="center" wrapText="1"/>
      <protection hidden="1"/>
    </xf>
    <xf numFmtId="172" fontId="67" fillId="0" borderId="0" xfId="0" applyNumberFormat="1" applyFont="1" applyFill="1" applyAlignment="1" applyProtection="1">
      <alignment horizontal="center" vertical="center" wrapText="1"/>
      <protection hidden="1"/>
    </xf>
    <xf numFmtId="37" fontId="34" fillId="0" borderId="0" xfId="37" applyFont="1" applyAlignment="1" applyProtection="1">
      <alignment horizontal="center" vertical="center" wrapText="1"/>
      <protection hidden="1"/>
    </xf>
    <xf numFmtId="165" fontId="10" fillId="0" borderId="69" xfId="33" applyNumberFormat="1" applyFont="1" applyFill="1" applyBorder="1" applyProtection="1">
      <protection hidden="1"/>
    </xf>
    <xf numFmtId="171" fontId="10" fillId="0" borderId="69" xfId="33" applyNumberFormat="1" applyFont="1" applyFill="1" applyBorder="1" applyProtection="1">
      <protection hidden="1"/>
    </xf>
    <xf numFmtId="165" fontId="10" fillId="0" borderId="23" xfId="33" applyNumberFormat="1" applyFont="1" applyFill="1" applyBorder="1" applyProtection="1">
      <protection hidden="1"/>
    </xf>
    <xf numFmtId="3" fontId="33" fillId="0" borderId="69" xfId="0" applyNumberFormat="1" applyFont="1" applyBorder="1" applyProtection="1">
      <protection hidden="1"/>
    </xf>
    <xf numFmtId="172" fontId="10" fillId="0" borderId="69" xfId="40" applyNumberFormat="1" applyFont="1" applyFill="1" applyBorder="1" applyProtection="1">
      <protection hidden="1"/>
    </xf>
    <xf numFmtId="172" fontId="10" fillId="0" borderId="23" xfId="40" applyNumberFormat="1" applyFont="1" applyFill="1" applyBorder="1" applyProtection="1">
      <protection hidden="1"/>
    </xf>
    <xf numFmtId="165" fontId="33" fillId="0" borderId="69" xfId="33" applyNumberFormat="1" applyFont="1" applyBorder="1" applyProtection="1">
      <protection hidden="1"/>
    </xf>
    <xf numFmtId="171" fontId="33" fillId="0" borderId="69" xfId="33" applyNumberFormat="1" applyFont="1" applyBorder="1" applyProtection="1">
      <protection hidden="1"/>
    </xf>
    <xf numFmtId="193" fontId="33" fillId="0" borderId="69" xfId="33" applyNumberFormat="1" applyFont="1" applyBorder="1" applyProtection="1">
      <protection hidden="1"/>
    </xf>
    <xf numFmtId="172" fontId="10" fillId="0" borderId="20" xfId="40" applyNumberFormat="1" applyFont="1" applyFill="1" applyBorder="1" applyProtection="1">
      <protection hidden="1"/>
    </xf>
    <xf numFmtId="37" fontId="10" fillId="0" borderId="11" xfId="37" applyFont="1" applyBorder="1" applyProtection="1">
      <protection hidden="1"/>
    </xf>
    <xf numFmtId="37" fontId="10" fillId="0" borderId="69" xfId="37" applyFont="1" applyBorder="1" applyProtection="1">
      <protection hidden="1"/>
    </xf>
    <xf numFmtId="165" fontId="10" fillId="0" borderId="21" xfId="33" applyNumberFormat="1" applyFont="1" applyFill="1" applyBorder="1" applyProtection="1">
      <protection hidden="1"/>
    </xf>
    <xf numFmtId="171" fontId="10" fillId="0" borderId="21" xfId="33" applyNumberFormat="1" applyFont="1" applyFill="1" applyBorder="1" applyProtection="1">
      <protection hidden="1"/>
    </xf>
    <xf numFmtId="165" fontId="10" fillId="0" borderId="24" xfId="33" applyNumberFormat="1" applyFont="1" applyFill="1" applyBorder="1" applyProtection="1">
      <protection hidden="1"/>
    </xf>
    <xf numFmtId="3" fontId="33" fillId="0" borderId="21" xfId="0" applyNumberFormat="1" applyFont="1" applyBorder="1" applyProtection="1">
      <protection hidden="1"/>
    </xf>
    <xf numFmtId="172" fontId="10" fillId="0" borderId="21" xfId="40" applyNumberFormat="1" applyFont="1" applyFill="1" applyBorder="1" applyProtection="1">
      <protection hidden="1"/>
    </xf>
    <xf numFmtId="172" fontId="10" fillId="0" borderId="24" xfId="40" applyNumberFormat="1" applyFont="1" applyFill="1" applyBorder="1" applyProtection="1">
      <protection hidden="1"/>
    </xf>
    <xf numFmtId="165" fontId="33" fillId="0" borderId="21" xfId="33" applyNumberFormat="1" applyFont="1" applyBorder="1" applyProtection="1">
      <protection hidden="1"/>
    </xf>
    <xf numFmtId="171" fontId="33" fillId="0" borderId="21" xfId="33" applyNumberFormat="1" applyFont="1" applyBorder="1" applyProtection="1">
      <protection hidden="1"/>
    </xf>
    <xf numFmtId="193" fontId="33" fillId="0" borderId="21" xfId="33" applyNumberFormat="1" applyFont="1" applyBorder="1" applyProtection="1">
      <protection hidden="1"/>
    </xf>
    <xf numFmtId="172" fontId="10" fillId="0" borderId="19" xfId="40" applyNumberFormat="1" applyFont="1" applyFill="1" applyBorder="1" applyProtection="1">
      <protection hidden="1"/>
    </xf>
    <xf numFmtId="37" fontId="10" fillId="0" borderId="12" xfId="37" applyFont="1" applyBorder="1" applyProtection="1">
      <protection hidden="1"/>
    </xf>
    <xf numFmtId="37" fontId="10" fillId="0" borderId="21" xfId="37" applyFont="1" applyBorder="1" applyProtection="1">
      <protection hidden="1"/>
    </xf>
    <xf numFmtId="165" fontId="35" fillId="0" borderId="14" xfId="33" applyNumberFormat="1" applyFont="1" applyFill="1" applyBorder="1" applyProtection="1">
      <protection hidden="1"/>
    </xf>
    <xf numFmtId="171" fontId="14" fillId="0" borderId="14" xfId="33" applyNumberFormat="1" applyFont="1" applyFill="1" applyBorder="1" applyProtection="1">
      <protection hidden="1"/>
    </xf>
    <xf numFmtId="165" fontId="14" fillId="0" borderId="22" xfId="40" applyNumberFormat="1" applyFont="1" applyFill="1" applyBorder="1" applyProtection="1">
      <protection hidden="1"/>
    </xf>
    <xf numFmtId="3" fontId="35" fillId="0" borderId="14" xfId="0" applyNumberFormat="1" applyFont="1" applyBorder="1" applyProtection="1">
      <protection hidden="1"/>
    </xf>
    <xf numFmtId="172" fontId="14" fillId="0" borderId="14" xfId="40" applyNumberFormat="1" applyFont="1" applyFill="1" applyBorder="1" applyProtection="1">
      <protection hidden="1"/>
    </xf>
    <xf numFmtId="165" fontId="14" fillId="0" borderId="14" xfId="33" applyNumberFormat="1" applyFont="1" applyFill="1" applyBorder="1" applyProtection="1">
      <protection hidden="1"/>
    </xf>
    <xf numFmtId="172" fontId="14" fillId="0" borderId="22" xfId="40" applyNumberFormat="1" applyFont="1" applyFill="1" applyBorder="1" applyProtection="1">
      <protection hidden="1"/>
    </xf>
    <xf numFmtId="165" fontId="14" fillId="0" borderId="13" xfId="33" applyNumberFormat="1" applyFont="1" applyFill="1" applyBorder="1" applyAlignment="1" applyProtection="1">
      <protection hidden="1"/>
    </xf>
    <xf numFmtId="165" fontId="14" fillId="0" borderId="14" xfId="33" applyNumberFormat="1" applyFont="1" applyFill="1" applyBorder="1" applyAlignment="1" applyProtection="1">
      <protection hidden="1"/>
    </xf>
    <xf numFmtId="171" fontId="14" fillId="0" borderId="14" xfId="33" applyNumberFormat="1" applyFont="1" applyFill="1" applyBorder="1" applyAlignment="1" applyProtection="1">
      <protection hidden="1"/>
    </xf>
    <xf numFmtId="165" fontId="14" fillId="0" borderId="15" xfId="33" applyNumberFormat="1" applyFont="1" applyFill="1" applyBorder="1" applyAlignment="1" applyProtection="1">
      <protection hidden="1"/>
    </xf>
    <xf numFmtId="172" fontId="14" fillId="0" borderId="15" xfId="40" applyNumberFormat="1" applyFont="1" applyFill="1" applyBorder="1" applyProtection="1">
      <protection hidden="1"/>
    </xf>
    <xf numFmtId="37" fontId="14" fillId="0" borderId="13" xfId="37" applyFont="1" applyBorder="1" applyProtection="1">
      <protection hidden="1"/>
    </xf>
    <xf numFmtId="37" fontId="14" fillId="0" borderId="14" xfId="37" applyFont="1" applyBorder="1" applyProtection="1">
      <protection hidden="1"/>
    </xf>
    <xf numFmtId="39" fontId="10" fillId="0" borderId="0" xfId="37" applyNumberFormat="1" applyFont="1" applyProtection="1">
      <protection hidden="1"/>
    </xf>
    <xf numFmtId="166" fontId="10" fillId="0" borderId="0" xfId="40" applyNumberFormat="1" applyFont="1" applyProtection="1">
      <protection hidden="1"/>
    </xf>
    <xf numFmtId="172" fontId="10" fillId="0" borderId="0" xfId="37" applyNumberFormat="1" applyFont="1" applyFill="1" applyProtection="1">
      <protection hidden="1"/>
    </xf>
    <xf numFmtId="173" fontId="10" fillId="0" borderId="0" xfId="37" applyNumberFormat="1" applyFont="1" applyFill="1" applyProtection="1">
      <protection hidden="1"/>
    </xf>
    <xf numFmtId="166" fontId="10" fillId="0" borderId="0" xfId="40" applyNumberFormat="1" applyFont="1" applyFill="1" applyProtection="1">
      <protection hidden="1"/>
    </xf>
    <xf numFmtId="38" fontId="14" fillId="0" borderId="14" xfId="37" applyNumberFormat="1" applyFont="1" applyFill="1" applyBorder="1" applyAlignment="1" applyProtection="1">
      <alignment horizontal="right"/>
      <protection hidden="1"/>
    </xf>
    <xf numFmtId="37" fontId="47" fillId="0" borderId="0" xfId="37" applyFont="1" applyProtection="1">
      <protection hidden="1"/>
    </xf>
    <xf numFmtId="172" fontId="10" fillId="0" borderId="20" xfId="40" applyNumberFormat="1" applyFont="1" applyBorder="1" applyProtection="1">
      <protection hidden="1"/>
    </xf>
    <xf numFmtId="172" fontId="10" fillId="0" borderId="19" xfId="40" applyNumberFormat="1" applyFont="1" applyBorder="1" applyProtection="1">
      <protection hidden="1"/>
    </xf>
    <xf numFmtId="172" fontId="14" fillId="0" borderId="15" xfId="40" applyNumberFormat="1" applyFont="1" applyBorder="1" applyProtection="1">
      <protection hidden="1"/>
    </xf>
    <xf numFmtId="194" fontId="10" fillId="0" borderId="69" xfId="40" applyNumberFormat="1" applyFont="1" applyFill="1" applyBorder="1" applyProtection="1">
      <protection hidden="1"/>
    </xf>
    <xf numFmtId="194" fontId="10" fillId="0" borderId="21" xfId="40" applyNumberFormat="1" applyFont="1" applyFill="1" applyBorder="1" applyProtection="1">
      <protection hidden="1"/>
    </xf>
    <xf numFmtId="194" fontId="14" fillId="0" borderId="14" xfId="40" applyNumberFormat="1" applyFont="1" applyFill="1" applyBorder="1" applyProtection="1">
      <protection hidden="1"/>
    </xf>
    <xf numFmtId="0" fontId="14" fillId="0" borderId="0" xfId="53" applyFont="1" applyAlignment="1">
      <alignment horizontal="center" vertical="center"/>
    </xf>
    <xf numFmtId="0" fontId="14" fillId="0" borderId="0" xfId="53" applyFont="1" applyBorder="1" applyAlignment="1">
      <alignment horizontal="center" vertical="center" wrapText="1"/>
    </xf>
    <xf numFmtId="38" fontId="10" fillId="0" borderId="0" xfId="53" applyNumberFormat="1" applyFont="1" applyBorder="1" applyAlignment="1">
      <alignment horizontal="center" vertical="center" wrapText="1"/>
    </xf>
    <xf numFmtId="165" fontId="14" fillId="0" borderId="0" xfId="33" applyNumberFormat="1" applyFont="1" applyFill="1" applyBorder="1" applyAlignment="1">
      <alignment vertical="center" wrapText="1"/>
    </xf>
    <xf numFmtId="165" fontId="14" fillId="0" borderId="0" xfId="33" applyNumberFormat="1" applyFont="1" applyBorder="1" applyAlignment="1">
      <alignment horizontal="center" vertical="center"/>
    </xf>
    <xf numFmtId="165" fontId="10" fillId="0" borderId="82" xfId="33" applyNumberFormat="1" applyFont="1" applyFill="1" applyBorder="1" applyAlignment="1">
      <alignment vertical="center" wrapText="1"/>
    </xf>
    <xf numFmtId="38" fontId="10" fillId="0" borderId="82" xfId="33" applyNumberFormat="1" applyFont="1" applyFill="1" applyBorder="1" applyAlignment="1">
      <alignment vertical="center" wrapText="1"/>
    </xf>
    <xf numFmtId="0" fontId="10" fillId="0" borderId="82" xfId="53" applyFont="1" applyBorder="1" applyAlignment="1">
      <alignment horizontal="center" vertical="center" wrapText="1"/>
    </xf>
    <xf numFmtId="38" fontId="10" fillId="0" borderId="82" xfId="53" applyNumberFormat="1" applyFont="1" applyBorder="1" applyAlignment="1">
      <alignment horizontal="center" vertical="center" wrapText="1"/>
    </xf>
    <xf numFmtId="165" fontId="14" fillId="0" borderId="82" xfId="33" applyNumberFormat="1" applyFont="1" applyFill="1" applyBorder="1" applyAlignment="1">
      <alignment vertical="center" wrapText="1"/>
    </xf>
    <xf numFmtId="165" fontId="14" fillId="0" borderId="82" xfId="33" applyNumberFormat="1" applyFont="1" applyBorder="1" applyAlignment="1">
      <alignment horizontal="center" vertical="center"/>
    </xf>
    <xf numFmtId="176" fontId="51" fillId="24" borderId="68" xfId="102" applyNumberFormat="1" applyFont="1" applyFill="1" applyBorder="1"/>
    <xf numFmtId="38" fontId="51" fillId="24" borderId="69" xfId="102" applyNumberFormat="1" applyFont="1" applyFill="1" applyBorder="1"/>
    <xf numFmtId="176" fontId="51" fillId="24" borderId="70" xfId="102" applyNumberFormat="1" applyFont="1" applyFill="1" applyBorder="1"/>
    <xf numFmtId="38" fontId="51" fillId="24" borderId="21" xfId="102" applyNumberFormat="1" applyFont="1" applyFill="1" applyBorder="1"/>
    <xf numFmtId="176" fontId="51" fillId="24" borderId="71" xfId="102" applyNumberFormat="1" applyFont="1" applyFill="1" applyBorder="1"/>
    <xf numFmtId="38" fontId="51" fillId="24" borderId="14" xfId="102" applyNumberFormat="1" applyFont="1" applyFill="1" applyBorder="1"/>
    <xf numFmtId="14" fontId="33" fillId="0" borderId="0" xfId="51" applyNumberFormat="1" applyFont="1" applyAlignment="1">
      <alignment horizontal="left"/>
    </xf>
    <xf numFmtId="176" fontId="53" fillId="27" borderId="64" xfId="110" applyNumberFormat="1" applyFont="1" applyFill="1" applyBorder="1"/>
    <xf numFmtId="186" fontId="66" fillId="24" borderId="0" xfId="33" applyNumberFormat="1" applyFont="1" applyFill="1" applyBorder="1"/>
    <xf numFmtId="172" fontId="47" fillId="24" borderId="0" xfId="0" applyNumberFormat="1" applyFont="1" applyFill="1" applyBorder="1"/>
    <xf numFmtId="37" fontId="14" fillId="0" borderId="28" xfId="37" applyFont="1" applyFill="1" applyBorder="1" applyAlignment="1" applyProtection="1">
      <alignment horizontal="center" vertical="center" wrapText="1"/>
      <protection hidden="1"/>
    </xf>
    <xf numFmtId="37" fontId="14" fillId="0" borderId="84" xfId="37" applyFont="1" applyFill="1" applyBorder="1" applyAlignment="1" applyProtection="1">
      <alignment horizontal="center" vertical="center" wrapText="1"/>
      <protection hidden="1"/>
    </xf>
    <xf numFmtId="195" fontId="14" fillId="0" borderId="14" xfId="37" applyNumberFormat="1" applyFont="1" applyFill="1" applyBorder="1" applyAlignment="1" applyProtection="1">
      <alignment horizontal="right"/>
      <protection hidden="1"/>
    </xf>
    <xf numFmtId="195" fontId="10" fillId="0" borderId="85" xfId="37" applyNumberFormat="1" applyFont="1" applyFill="1" applyBorder="1" applyAlignment="1" applyProtection="1">
      <alignment horizontal="right"/>
      <protection hidden="1"/>
    </xf>
    <xf numFmtId="195" fontId="10" fillId="0" borderId="83" xfId="37" applyNumberFormat="1" applyFont="1" applyFill="1" applyBorder="1" applyAlignment="1" applyProtection="1">
      <alignment horizontal="right"/>
      <protection hidden="1"/>
    </xf>
    <xf numFmtId="195" fontId="10" fillId="0" borderId="69" xfId="37" applyNumberFormat="1" applyFont="1" applyFill="1" applyBorder="1" applyAlignment="1" applyProtection="1">
      <alignment horizontal="right"/>
      <protection hidden="1"/>
    </xf>
    <xf numFmtId="0" fontId="10" fillId="0" borderId="0" xfId="53" applyBorder="1"/>
    <xf numFmtId="38" fontId="10" fillId="0" borderId="0" xfId="33" applyNumberFormat="1" applyFont="1" applyFill="1" applyBorder="1" applyAlignment="1">
      <alignment vertical="center" wrapText="1"/>
    </xf>
    <xf numFmtId="0" fontId="10" fillId="0" borderId="0" xfId="53" applyFont="1" applyBorder="1" applyAlignment="1">
      <alignment horizontal="center" vertical="center" wrapText="1"/>
    </xf>
    <xf numFmtId="38" fontId="14" fillId="0" borderId="0" xfId="33" applyNumberFormat="1" applyFont="1" applyBorder="1" applyAlignment="1">
      <alignment horizontal="center" vertical="center"/>
    </xf>
    <xf numFmtId="38" fontId="14" fillId="0" borderId="0" xfId="53" applyNumberFormat="1" applyFont="1" applyBorder="1" applyAlignment="1">
      <alignment horizontal="center" vertical="center"/>
    </xf>
    <xf numFmtId="37" fontId="71" fillId="0" borderId="0" xfId="37" applyFont="1" applyFill="1" applyBorder="1" applyAlignment="1" applyProtection="1">
      <alignment horizontal="right"/>
      <protection hidden="1"/>
    </xf>
    <xf numFmtId="38" fontId="10" fillId="0" borderId="0" xfId="53" applyNumberFormat="1"/>
    <xf numFmtId="173" fontId="41" fillId="24" borderId="25" xfId="0" applyNumberFormat="1" applyFont="1" applyFill="1" applyBorder="1" applyAlignment="1" applyProtection="1">
      <alignment horizontal="center" vertical="center" wrapText="1"/>
      <protection hidden="1"/>
    </xf>
    <xf numFmtId="0" fontId="14" fillId="24" borderId="0" xfId="0" applyFont="1" applyFill="1" applyBorder="1" applyAlignment="1" applyProtection="1">
      <alignment horizontal="center" vertical="center" wrapText="1"/>
      <protection hidden="1"/>
    </xf>
    <xf numFmtId="173" fontId="40" fillId="24" borderId="0" xfId="0" applyNumberFormat="1" applyFont="1" applyFill="1" applyAlignment="1" applyProtection="1">
      <alignment horizontal="center" vertical="center" wrapText="1"/>
      <protection hidden="1"/>
    </xf>
    <xf numFmtId="3" fontId="33" fillId="24" borderId="69" xfId="0" applyNumberFormat="1" applyFont="1" applyFill="1" applyBorder="1" applyProtection="1">
      <protection hidden="1"/>
    </xf>
    <xf numFmtId="3" fontId="33" fillId="24" borderId="21" xfId="0" applyNumberFormat="1" applyFont="1" applyFill="1" applyBorder="1" applyProtection="1">
      <protection hidden="1"/>
    </xf>
    <xf numFmtId="3" fontId="35" fillId="24" borderId="14" xfId="0" applyNumberFormat="1" applyFont="1" applyFill="1" applyBorder="1" applyProtection="1">
      <protection hidden="1"/>
    </xf>
    <xf numFmtId="173" fontId="41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14" fillId="24" borderId="82" xfId="0" applyFont="1" applyFill="1" applyBorder="1" applyAlignment="1" applyProtection="1">
      <alignment horizontal="center" vertical="center" wrapText="1"/>
      <protection hidden="1"/>
    </xf>
    <xf numFmtId="173" fontId="14" fillId="24" borderId="82" xfId="0" applyNumberFormat="1" applyFont="1" applyFill="1" applyBorder="1" applyAlignment="1" applyProtection="1">
      <alignment horizontal="center" vertical="center" wrapText="1"/>
      <protection hidden="1"/>
    </xf>
    <xf numFmtId="173" fontId="14" fillId="24" borderId="0" xfId="0" applyNumberFormat="1" applyFont="1" applyFill="1" applyBorder="1" applyAlignment="1" applyProtection="1">
      <alignment horizontal="center" vertical="center" wrapText="1"/>
      <protection hidden="1"/>
    </xf>
    <xf numFmtId="173" fontId="34" fillId="24" borderId="0" xfId="0" applyNumberFormat="1" applyFont="1" applyFill="1" applyBorder="1" applyAlignment="1" applyProtection="1">
      <alignment horizontal="center" vertical="center" wrapText="1"/>
      <protection hidden="1"/>
    </xf>
    <xf numFmtId="173" fontId="10" fillId="24" borderId="20" xfId="40" applyNumberFormat="1" applyFont="1" applyFill="1" applyBorder="1" applyProtection="1">
      <protection hidden="1"/>
    </xf>
    <xf numFmtId="173" fontId="10" fillId="24" borderId="19" xfId="40" applyNumberFormat="1" applyFont="1" applyFill="1" applyBorder="1" applyProtection="1">
      <protection hidden="1"/>
    </xf>
    <xf numFmtId="3" fontId="55" fillId="24" borderId="0" xfId="0" applyNumberFormat="1" applyFont="1" applyFill="1"/>
    <xf numFmtId="173" fontId="14" fillId="24" borderId="15" xfId="40" applyNumberFormat="1" applyFont="1" applyFill="1" applyBorder="1" applyProtection="1">
      <protection hidden="1"/>
    </xf>
    <xf numFmtId="176" fontId="14" fillId="0" borderId="0" xfId="51" applyNumberFormat="1" applyFont="1" applyFill="1" applyBorder="1"/>
    <xf numFmtId="38" fontId="14" fillId="0" borderId="0" xfId="51" applyNumberFormat="1" applyFont="1" applyFill="1" applyBorder="1"/>
    <xf numFmtId="14" fontId="33" fillId="0" borderId="0" xfId="51" applyNumberFormat="1" applyFont="1" applyBorder="1" applyAlignment="1">
      <alignment horizontal="left"/>
    </xf>
    <xf numFmtId="0" fontId="10" fillId="0" borderId="0" xfId="53" applyFont="1" applyBorder="1"/>
    <xf numFmtId="43" fontId="10" fillId="0" borderId="0" xfId="53" applyNumberFormat="1" applyFont="1" applyBorder="1"/>
    <xf numFmtId="43" fontId="0" fillId="0" borderId="0" xfId="51" applyNumberFormat="1" applyFont="1" applyBorder="1"/>
    <xf numFmtId="38" fontId="73" fillId="0" borderId="82" xfId="33" applyNumberFormat="1" applyFont="1" applyFill="1" applyBorder="1" applyAlignment="1">
      <alignment vertical="center" wrapText="1"/>
    </xf>
    <xf numFmtId="38" fontId="14" fillId="0" borderId="82" xfId="33" applyNumberFormat="1" applyFont="1" applyFill="1" applyBorder="1" applyAlignment="1">
      <alignment vertical="center" wrapText="1"/>
    </xf>
    <xf numFmtId="38" fontId="46" fillId="0" borderId="82" xfId="33" applyNumberFormat="1" applyFont="1" applyFill="1" applyBorder="1" applyAlignment="1">
      <alignment vertical="center" wrapText="1"/>
    </xf>
    <xf numFmtId="38" fontId="73" fillId="0" borderId="82" xfId="33" applyNumberFormat="1" applyFont="1" applyBorder="1" applyAlignment="1">
      <alignment horizontal="center" vertical="center"/>
    </xf>
    <xf numFmtId="38" fontId="14" fillId="0" borderId="82" xfId="33" applyNumberFormat="1" applyFont="1" applyBorder="1" applyAlignment="1">
      <alignment horizontal="center" vertical="center"/>
    </xf>
    <xf numFmtId="168" fontId="10" fillId="0" borderId="82" xfId="33" applyNumberFormat="1" applyFont="1" applyFill="1" applyBorder="1" applyAlignment="1">
      <alignment vertical="center" wrapText="1"/>
    </xf>
    <xf numFmtId="168" fontId="14" fillId="0" borderId="82" xfId="33" applyNumberFormat="1" applyFont="1" applyBorder="1" applyAlignment="1">
      <alignment horizontal="center" vertical="center"/>
    </xf>
    <xf numFmtId="176" fontId="10" fillId="24" borderId="38" xfId="51" applyNumberFormat="1" applyFont="1" applyFill="1" applyBorder="1"/>
    <xf numFmtId="176" fontId="10" fillId="24" borderId="0" xfId="51" applyNumberFormat="1" applyFont="1" applyFill="1" applyBorder="1"/>
    <xf numFmtId="38" fontId="10" fillId="24" borderId="0" xfId="51" applyNumberFormat="1" applyFont="1" applyFill="1" applyBorder="1"/>
    <xf numFmtId="196" fontId="10" fillId="24" borderId="40" xfId="106" applyNumberFormat="1" applyFill="1" applyBorder="1"/>
    <xf numFmtId="196" fontId="10" fillId="24" borderId="36" xfId="106" applyNumberFormat="1" applyFill="1" applyBorder="1"/>
    <xf numFmtId="196" fontId="14" fillId="24" borderId="81" xfId="106" applyNumberFormat="1" applyFont="1" applyFill="1" applyBorder="1"/>
    <xf numFmtId="193" fontId="0" fillId="24" borderId="42" xfId="51" applyNumberFormat="1" applyFont="1" applyFill="1" applyBorder="1"/>
    <xf numFmtId="193" fontId="10" fillId="24" borderId="39" xfId="106" applyNumberFormat="1" applyFill="1" applyBorder="1"/>
    <xf numFmtId="193" fontId="0" fillId="24" borderId="0" xfId="51" applyNumberFormat="1" applyFont="1" applyFill="1" applyBorder="1"/>
    <xf numFmtId="193" fontId="10" fillId="24" borderId="34" xfId="106" applyNumberFormat="1" applyFill="1" applyBorder="1"/>
    <xf numFmtId="197" fontId="10" fillId="24" borderId="42" xfId="106" applyNumberFormat="1" applyFill="1" applyBorder="1"/>
    <xf numFmtId="197" fontId="10" fillId="24" borderId="0" xfId="106" applyNumberFormat="1" applyFill="1" applyBorder="1"/>
    <xf numFmtId="8" fontId="10" fillId="0" borderId="0" xfId="53" applyNumberFormat="1"/>
    <xf numFmtId="0" fontId="14" fillId="0" borderId="0" xfId="53" applyFont="1" applyAlignment="1">
      <alignment horizontal="center" vertical="center"/>
    </xf>
    <xf numFmtId="0" fontId="14" fillId="0" borderId="0" xfId="53" applyFont="1" applyBorder="1" applyAlignment="1">
      <alignment horizontal="center"/>
    </xf>
    <xf numFmtId="0" fontId="14" fillId="0" borderId="0" xfId="53" applyFont="1" applyAlignment="1">
      <alignment horizontal="center"/>
    </xf>
    <xf numFmtId="176" fontId="14" fillId="0" borderId="0" xfId="51" applyNumberFormat="1" applyFont="1" applyBorder="1" applyAlignment="1">
      <alignment horizontal="center"/>
    </xf>
    <xf numFmtId="176" fontId="14" fillId="0" borderId="0" xfId="51" applyNumberFormat="1" applyFont="1" applyBorder="1" applyAlignment="1">
      <alignment horizontal="center" vertical="center"/>
    </xf>
    <xf numFmtId="43" fontId="14" fillId="0" borderId="0" xfId="51" applyNumberFormat="1" applyFont="1" applyFill="1" applyBorder="1" applyAlignment="1">
      <alignment horizontal="center" vertical="center" wrapText="1"/>
    </xf>
    <xf numFmtId="43" fontId="14" fillId="0" borderId="0" xfId="51" applyNumberFormat="1" applyFont="1" applyFill="1" applyBorder="1" applyAlignment="1">
      <alignment horizontal="center" vertical="center"/>
    </xf>
    <xf numFmtId="176" fontId="14" fillId="0" borderId="0" xfId="51" applyNumberFormat="1" applyFont="1" applyAlignment="1">
      <alignment horizontal="center"/>
    </xf>
    <xf numFmtId="176" fontId="14" fillId="0" borderId="27" xfId="51" applyNumberFormat="1" applyFont="1" applyBorder="1" applyAlignment="1">
      <alignment horizontal="center" vertical="center"/>
    </xf>
    <xf numFmtId="176" fontId="14" fillId="0" borderId="28" xfId="51" applyNumberFormat="1" applyFont="1" applyBorder="1" applyAlignment="1">
      <alignment horizontal="center" vertical="center"/>
    </xf>
    <xf numFmtId="43" fontId="14" fillId="0" borderId="27" xfId="51" applyNumberFormat="1" applyFont="1" applyFill="1" applyBorder="1" applyAlignment="1">
      <alignment horizontal="center" vertical="center" wrapText="1"/>
    </xf>
    <xf numFmtId="43" fontId="14" fillId="0" borderId="28" xfId="51" applyNumberFormat="1" applyFont="1" applyFill="1" applyBorder="1" applyAlignment="1">
      <alignment horizontal="center" vertical="center" wrapText="1"/>
    </xf>
    <xf numFmtId="43" fontId="14" fillId="0" borderId="86" xfId="51" applyNumberFormat="1" applyFont="1" applyFill="1" applyBorder="1" applyAlignment="1">
      <alignment horizontal="center" vertical="center" wrapText="1"/>
    </xf>
    <xf numFmtId="43" fontId="14" fillId="0" borderId="27" xfId="51" applyNumberFormat="1" applyFont="1" applyFill="1" applyBorder="1" applyAlignment="1">
      <alignment horizontal="center" vertical="center"/>
    </xf>
    <xf numFmtId="43" fontId="14" fillId="0" borderId="28" xfId="51" applyNumberFormat="1" applyFont="1" applyFill="1" applyBorder="1" applyAlignment="1">
      <alignment horizontal="center" vertical="center"/>
    </xf>
    <xf numFmtId="176" fontId="14" fillId="0" borderId="84" xfId="51" applyNumberFormat="1" applyFont="1" applyBorder="1" applyAlignment="1">
      <alignment horizontal="center"/>
    </xf>
    <xf numFmtId="176" fontId="14" fillId="0" borderId="25" xfId="51" applyNumberFormat="1" applyFont="1" applyBorder="1" applyAlignment="1">
      <alignment horizontal="center"/>
    </xf>
    <xf numFmtId="176" fontId="14" fillId="0" borderId="29" xfId="51" applyNumberFormat="1" applyFont="1" applyBorder="1" applyAlignment="1">
      <alignment horizontal="center"/>
    </xf>
    <xf numFmtId="37" fontId="42" fillId="0" borderId="26" xfId="37" applyFont="1" applyBorder="1" applyAlignment="1" applyProtection="1">
      <alignment horizontal="center"/>
      <protection hidden="1"/>
    </xf>
    <xf numFmtId="0" fontId="42" fillId="0" borderId="26" xfId="0" applyFont="1" applyBorder="1" applyAlignment="1">
      <alignment horizontal="center"/>
    </xf>
    <xf numFmtId="37" fontId="10" fillId="0" borderId="0" xfId="37" applyFont="1" applyAlignment="1" applyProtection="1">
      <alignment horizontal="left" vertical="top" wrapText="1"/>
      <protection hidden="1"/>
    </xf>
    <xf numFmtId="37" fontId="59" fillId="0" borderId="0" xfId="37" applyFont="1" applyAlignment="1" applyProtection="1">
      <alignment horizontal="center" vertical="center" wrapText="1"/>
      <protection hidden="1"/>
    </xf>
    <xf numFmtId="37" fontId="60" fillId="0" borderId="0" xfId="37" applyFont="1" applyAlignment="1" applyProtection="1">
      <alignment horizontal="center" vertical="center" wrapText="1"/>
      <protection hidden="1"/>
    </xf>
    <xf numFmtId="37" fontId="14" fillId="0" borderId="27" xfId="37" applyFont="1" applyFill="1" applyBorder="1" applyAlignment="1" applyProtection="1">
      <alignment horizontal="center" vertical="center" wrapText="1"/>
      <protection hidden="1"/>
    </xf>
    <xf numFmtId="37" fontId="14" fillId="0" borderId="28" xfId="37" applyFont="1" applyFill="1" applyBorder="1" applyAlignment="1" applyProtection="1">
      <alignment horizontal="center" vertical="center" wrapText="1"/>
      <protection hidden="1"/>
    </xf>
    <xf numFmtId="49" fontId="62" fillId="0" borderId="72" xfId="54" applyNumberFormat="1" applyFont="1" applyFill="1" applyBorder="1" applyAlignment="1" applyProtection="1">
      <alignment horizontal="center" vertical="center" wrapText="1"/>
      <protection hidden="1"/>
    </xf>
    <xf numFmtId="49" fontId="62" fillId="0" borderId="73" xfId="54" applyNumberFormat="1" applyFont="1" applyFill="1" applyBorder="1" applyAlignment="1" applyProtection="1">
      <alignment horizontal="center" vertical="center" wrapText="1"/>
      <protection hidden="1"/>
    </xf>
    <xf numFmtId="49" fontId="62" fillId="0" borderId="74" xfId="54" applyNumberFormat="1" applyFont="1" applyFill="1" applyBorder="1" applyAlignment="1" applyProtection="1">
      <alignment horizontal="center" vertical="center" wrapText="1"/>
      <protection hidden="1"/>
    </xf>
    <xf numFmtId="49" fontId="62" fillId="0" borderId="27" xfId="54" applyNumberFormat="1" applyFont="1" applyFill="1" applyBorder="1" applyAlignment="1" applyProtection="1">
      <alignment horizontal="center" vertical="center" wrapText="1"/>
      <protection hidden="1"/>
    </xf>
    <xf numFmtId="49" fontId="62" fillId="0" borderId="28" xfId="54" applyNumberFormat="1" applyFont="1" applyFill="1" applyBorder="1" applyAlignment="1" applyProtection="1">
      <alignment horizontal="center" vertical="center" wrapText="1"/>
      <protection hidden="1"/>
    </xf>
    <xf numFmtId="37" fontId="43" fillId="24" borderId="0" xfId="37" applyFont="1" applyFill="1" applyAlignment="1" applyProtection="1">
      <alignment horizontal="center" wrapText="1"/>
      <protection hidden="1"/>
    </xf>
    <xf numFmtId="37" fontId="72" fillId="24" borderId="0" xfId="37" applyFont="1" applyFill="1" applyAlignment="1" applyProtection="1">
      <alignment horizontal="center" wrapText="1"/>
      <protection hidden="1"/>
    </xf>
    <xf numFmtId="37" fontId="42" fillId="24" borderId="26" xfId="37" applyFont="1" applyFill="1" applyBorder="1" applyAlignment="1" applyProtection="1">
      <alignment horizontal="center" vertical="center"/>
      <protection hidden="1"/>
    </xf>
    <xf numFmtId="37" fontId="10" fillId="24" borderId="26" xfId="37" applyFont="1" applyFill="1" applyBorder="1" applyAlignment="1" applyProtection="1">
      <alignment horizontal="center" vertical="center"/>
      <protection hidden="1"/>
    </xf>
    <xf numFmtId="37" fontId="42" fillId="24" borderId="26" xfId="37" applyFont="1" applyFill="1" applyBorder="1" applyAlignment="1" applyProtection="1">
      <alignment horizontal="center" vertical="center" wrapText="1"/>
      <protection hidden="1"/>
    </xf>
    <xf numFmtId="0" fontId="14" fillId="24" borderId="48" xfId="106" applyFont="1" applyFill="1" applyBorder="1" applyAlignment="1">
      <alignment horizontal="center" vertical="center"/>
    </xf>
    <xf numFmtId="0" fontId="14" fillId="24" borderId="48" xfId="106" applyFont="1" applyFill="1" applyBorder="1" applyAlignment="1">
      <alignment horizontal="center"/>
    </xf>
    <xf numFmtId="0" fontId="10" fillId="24" borderId="0" xfId="106" applyFill="1" applyAlignment="1">
      <alignment horizontal="center" vertical="center"/>
    </xf>
    <xf numFmtId="0" fontId="14" fillId="24" borderId="0" xfId="106" applyFont="1" applyFill="1" applyBorder="1" applyAlignment="1">
      <alignment horizontal="center" vertical="center"/>
    </xf>
    <xf numFmtId="0" fontId="14" fillId="24" borderId="0" xfId="106" applyFont="1" applyFill="1" applyBorder="1" applyAlignment="1">
      <alignment horizontal="center"/>
    </xf>
    <xf numFmtId="0" fontId="53" fillId="26" borderId="49" xfId="109" applyNumberFormat="1" applyFont="1" applyFill="1" applyBorder="1" applyAlignment="1">
      <alignment horizontal="center"/>
    </xf>
    <xf numFmtId="0" fontId="56" fillId="26" borderId="52" xfId="108" applyNumberFormat="1" applyFont="1" applyFill="1" applyBorder="1" applyAlignment="1">
      <alignment horizontal="center"/>
    </xf>
    <xf numFmtId="0" fontId="56" fillId="26" borderId="53" xfId="108" applyNumberFormat="1" applyFont="1" applyFill="1" applyBorder="1" applyAlignment="1">
      <alignment horizontal="center"/>
    </xf>
    <xf numFmtId="176" fontId="14" fillId="24" borderId="0" xfId="102" applyNumberFormat="1" applyFont="1" applyFill="1" applyAlignment="1">
      <alignment horizontal="center"/>
    </xf>
    <xf numFmtId="176" fontId="14" fillId="24" borderId="0" xfId="51" applyNumberFormat="1" applyFont="1" applyFill="1" applyAlignment="1">
      <alignment horizontal="center"/>
    </xf>
  </cellXfs>
  <cellStyles count="123">
    <cellStyle name="=C:\WINNT\SYSTEM32\COMMAND.COM" xfId="57"/>
    <cellStyle name="20% - Énfasis1" xfId="1" builtinId="30" customBuiltin="1"/>
    <cellStyle name="20% - Énfasis1 2" xfId="58"/>
    <cellStyle name="20% - Énfasis2" xfId="2" builtinId="34" customBuiltin="1"/>
    <cellStyle name="20% - Énfasis2 2" xfId="59"/>
    <cellStyle name="20% - Énfasis3" xfId="3" builtinId="38" customBuiltin="1"/>
    <cellStyle name="20% - Énfasis3 2" xfId="60"/>
    <cellStyle name="20% - Énfasis4" xfId="4" builtinId="42" customBuiltin="1"/>
    <cellStyle name="20% - Énfasis4 2" xfId="61"/>
    <cellStyle name="20% - Énfasis5" xfId="5" builtinId="46" customBuiltin="1"/>
    <cellStyle name="20% - Énfasis5 2" xfId="62"/>
    <cellStyle name="20% - Énfasis6" xfId="6" builtinId="50" customBuiltin="1"/>
    <cellStyle name="20% - Énfasis6 2" xfId="63"/>
    <cellStyle name="40% - Énfasis1" xfId="7" builtinId="31" customBuiltin="1"/>
    <cellStyle name="40% - Énfasis1 2" xfId="64"/>
    <cellStyle name="40% - Énfasis1 3" xfId="120"/>
    <cellStyle name="40% - Énfasis2" xfId="8" builtinId="35" customBuiltin="1"/>
    <cellStyle name="40% - Énfasis2 2" xfId="65"/>
    <cellStyle name="40% - Énfasis3" xfId="9" builtinId="39" customBuiltin="1"/>
    <cellStyle name="40% - Énfasis3 2" xfId="66"/>
    <cellStyle name="40% - Énfasis4" xfId="10" builtinId="43" customBuiltin="1"/>
    <cellStyle name="40% - Énfasis4 2" xfId="67"/>
    <cellStyle name="40% - Énfasis5" xfId="11" builtinId="47" customBuiltin="1"/>
    <cellStyle name="40% - Énfasis5 2" xfId="68"/>
    <cellStyle name="40% - Énfasis6" xfId="12" builtinId="51" customBuiltin="1"/>
    <cellStyle name="40% - Énfasis6 2" xfId="69"/>
    <cellStyle name="60% - Énfasis1" xfId="13" builtinId="32" customBuiltin="1"/>
    <cellStyle name="60% - Énfasis1 2" xfId="70"/>
    <cellStyle name="60% - Énfasis1 3" xfId="122"/>
    <cellStyle name="60% - Énfasis2" xfId="14" builtinId="36" customBuiltin="1"/>
    <cellStyle name="60% - Énfasis2 2" xfId="71"/>
    <cellStyle name="60% - Énfasis3" xfId="15" builtinId="40" customBuiltin="1"/>
    <cellStyle name="60% - Énfasis3 2" xfId="72"/>
    <cellStyle name="60% - Énfasis4" xfId="16" builtinId="44" customBuiltin="1"/>
    <cellStyle name="60% - Énfasis4 2" xfId="73"/>
    <cellStyle name="60% - Énfasis5" xfId="17" builtinId="48" customBuiltin="1"/>
    <cellStyle name="60% - Énfasis5 2" xfId="74"/>
    <cellStyle name="60% - Énfasis6" xfId="18" builtinId="52" customBuiltin="1"/>
    <cellStyle name="60% - Énfasis6 2" xfId="75"/>
    <cellStyle name="Buena" xfId="19" builtinId="26" customBuiltin="1"/>
    <cellStyle name="Buena 2" xfId="76"/>
    <cellStyle name="Buena 3" xfId="108"/>
    <cellStyle name="Cálculo" xfId="20" builtinId="22" customBuiltin="1"/>
    <cellStyle name="Cálculo 2" xfId="77"/>
    <cellStyle name="Celda de comprobación" xfId="21" builtinId="23" customBuiltin="1"/>
    <cellStyle name="Celda de comprobación 2" xfId="78"/>
    <cellStyle name="Celda vinculada" xfId="22" builtinId="24" customBuiltin="1"/>
    <cellStyle name="Celda vinculada 2" xfId="79"/>
    <cellStyle name="Encabezado 1" xfId="46" builtinId="16" customBuiltin="1"/>
    <cellStyle name="Encabezado 4" xfId="23" builtinId="19" customBuiltin="1"/>
    <cellStyle name="Encabezado 4 2" xfId="80"/>
    <cellStyle name="Énfasis1" xfId="24" builtinId="29" customBuiltin="1"/>
    <cellStyle name="Énfasis1 2" xfId="81"/>
    <cellStyle name="Énfasis2" xfId="25" builtinId="33" customBuiltin="1"/>
    <cellStyle name="Énfasis2 2" xfId="82"/>
    <cellStyle name="Énfasis3" xfId="26" builtinId="37" customBuiltin="1"/>
    <cellStyle name="Énfasis3 2" xfId="83"/>
    <cellStyle name="Énfasis4" xfId="27" builtinId="41" customBuiltin="1"/>
    <cellStyle name="Énfasis4 2" xfId="84"/>
    <cellStyle name="Énfasis5" xfId="28" builtinId="45" customBuiltin="1"/>
    <cellStyle name="Énfasis5 2" xfId="85"/>
    <cellStyle name="Énfasis6" xfId="29" builtinId="49" customBuiltin="1"/>
    <cellStyle name="Énfasis6 2" xfId="86"/>
    <cellStyle name="Entrada" xfId="30" builtinId="20" customBuiltin="1"/>
    <cellStyle name="Entrada 2" xfId="87"/>
    <cellStyle name="Euro" xfId="31"/>
    <cellStyle name="Euro 2" xfId="88"/>
    <cellStyle name="Incorrecto" xfId="32" builtinId="27" customBuiltin="1"/>
    <cellStyle name="Incorrecto 2" xfId="89"/>
    <cellStyle name="Millares" xfId="33" builtinId="3"/>
    <cellStyle name="Millares [0] 2" xfId="90"/>
    <cellStyle name="Millares 12" xfId="105"/>
    <cellStyle name="Millares 2" xfId="51"/>
    <cellStyle name="Millares 2 2" xfId="54"/>
    <cellStyle name="Millares 2 2 2" xfId="102"/>
    <cellStyle name="Millares 3" xfId="52"/>
    <cellStyle name="Millares 4" xfId="110"/>
    <cellStyle name="Moneda 2" xfId="114"/>
    <cellStyle name="Neutral" xfId="34" builtinId="28" customBuiltin="1"/>
    <cellStyle name="Neutral 2" xfId="91"/>
    <cellStyle name="Normal" xfId="0" builtinId="0"/>
    <cellStyle name="Normal 10" xfId="118"/>
    <cellStyle name="Normal 11" xfId="121"/>
    <cellStyle name="Normal 2" xfId="35"/>
    <cellStyle name="Normal 2 2" xfId="103"/>
    <cellStyle name="Normal 2 3" xfId="106"/>
    <cellStyle name="Normal 3" xfId="36"/>
    <cellStyle name="Normal 3 2" xfId="116"/>
    <cellStyle name="Normal 3 3" xfId="119"/>
    <cellStyle name="Normal 4" xfId="53"/>
    <cellStyle name="Normal 5" xfId="101"/>
    <cellStyle name="Normal 6" xfId="104"/>
    <cellStyle name="Normal 7" xfId="109"/>
    <cellStyle name="Normal 8" xfId="111"/>
    <cellStyle name="Normal 8 2" xfId="117"/>
    <cellStyle name="Normal 9" xfId="113"/>
    <cellStyle name="Normal_FGPAGO95" xfId="37"/>
    <cellStyle name="Notas" xfId="38" builtinId="10" customBuiltin="1"/>
    <cellStyle name="Notas 2" xfId="92"/>
    <cellStyle name="PESOS" xfId="39"/>
    <cellStyle name="PESOS 2" xfId="112"/>
    <cellStyle name="Porcentaje" xfId="40" builtinId="5"/>
    <cellStyle name="Porcentaje 2" xfId="107"/>
    <cellStyle name="Porcentaje 2 2" xfId="115"/>
    <cellStyle name="Porcentual 2" xfId="41"/>
    <cellStyle name="Porcentual 3" xfId="55"/>
    <cellStyle name="Porcentual 4" xfId="56"/>
    <cellStyle name="Salida" xfId="42" builtinId="21" customBuiltin="1"/>
    <cellStyle name="Salida 2" xfId="93"/>
    <cellStyle name="Texto de advertencia" xfId="43" builtinId="11" customBuiltin="1"/>
    <cellStyle name="Texto de advertencia 2" xfId="94"/>
    <cellStyle name="Texto explicativo" xfId="44" builtinId="53" customBuiltin="1"/>
    <cellStyle name="Texto explicativo 2" xfId="95"/>
    <cellStyle name="Título" xfId="45" builtinId="15" customBuiltin="1"/>
    <cellStyle name="Título 1 2" xfId="96"/>
    <cellStyle name="Título 2" xfId="47" builtinId="17" customBuiltin="1"/>
    <cellStyle name="Título 2 2" xfId="97"/>
    <cellStyle name="Título 3" xfId="48" builtinId="18" customBuiltin="1"/>
    <cellStyle name="Título 3 2" xfId="98"/>
    <cellStyle name="Título 4" xfId="99"/>
    <cellStyle name="Total" xfId="49" builtinId="25" customBuiltin="1"/>
    <cellStyle name="Total 2" xfId="100"/>
    <cellStyle name="UDI´s" xfId="50"/>
  </cellStyles>
  <dxfs count="1">
    <dxf>
      <fill>
        <gradientFill degree="180">
          <stop position="0">
            <color theme="0"/>
          </stop>
          <stop position="1">
            <color theme="9" tint="-0.25098422193060094"/>
          </stop>
        </gradientFill>
      </fill>
    </dxf>
  </dxfs>
  <tableStyles count="0" defaultTableStyle="TableStyleMedium9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Base%20de%20formatos%202019_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PREDIAL2018INFORMACIONCOMPLETARORDEN%20NL%20(00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64017/Desktop/2022%20PLANEACION%20HACENDARIA/PARTICIPACIONES%20FEDERALES/ABRIL/IEPSGYD%20ABRIL%20Part%20Fed%20%202022%20UCEF%20NL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ES"/>
      <sheetName val="DIST MES ABRIL"/>
      <sheetName val="COEF Art 14 F I"/>
      <sheetName val="TERRITORIO INEGI 2021"/>
      <sheetName val="PART PEF2022"/>
      <sheetName val="CALCULO GARANTIA"/>
      <sheetName val="COEF Art 14 F II"/>
      <sheetName val="POB 2020"/>
      <sheetName val="ISR_Nóm_2021"/>
    </sheetNames>
    <sheetDataSet>
      <sheetData sheetId="0"/>
      <sheetData sheetId="1"/>
      <sheetData sheetId="2"/>
      <sheetData sheetId="3"/>
      <sheetData sheetId="4">
        <row r="12">
          <cell r="D12">
            <v>254154798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showGridLines="0" zoomScaleNormal="100" zoomScaleSheetLayoutView="100" workbookViewId="0">
      <pane xSplit="1" topLeftCell="B1" activePane="topRight" state="frozen"/>
      <selection pane="topRight" activeCell="B22" sqref="B22"/>
    </sheetView>
  </sheetViews>
  <sheetFormatPr baseColWidth="10" defaultColWidth="11.42578125" defaultRowHeight="12.75"/>
  <cols>
    <col min="1" max="1" width="50.5703125" style="11" customWidth="1"/>
    <col min="2" max="2" width="18.28515625" style="11" customWidth="1"/>
    <col min="3" max="3" width="14.85546875" style="11" customWidth="1"/>
    <col min="4" max="5" width="17.28515625" style="11" customWidth="1"/>
    <col min="6" max="6" width="3.28515625" style="11" customWidth="1"/>
    <col min="7" max="9" width="17.28515625" style="11" customWidth="1"/>
    <col min="10" max="10" width="3.85546875" style="11" customWidth="1"/>
    <col min="11" max="11" width="4.85546875" style="11" customWidth="1"/>
    <col min="12" max="12" width="11.7109375" style="11" bestFit="1" customWidth="1"/>
    <col min="13" max="15" width="11.42578125" style="11"/>
    <col min="16" max="16" width="14.5703125" style="11" customWidth="1"/>
    <col min="17" max="17" width="11.42578125" style="11"/>
    <col min="18" max="18" width="13.140625" style="11" customWidth="1"/>
    <col min="19" max="16384" width="11.42578125" style="11"/>
  </cols>
  <sheetData>
    <row r="1" spans="1:18" ht="27.75" customHeight="1">
      <c r="A1" s="396" t="s">
        <v>338</v>
      </c>
      <c r="B1" s="396"/>
      <c r="C1" s="396"/>
      <c r="D1" s="396"/>
      <c r="E1" s="396"/>
      <c r="F1" s="321"/>
      <c r="G1" s="321"/>
      <c r="H1" s="321" t="s">
        <v>328</v>
      </c>
      <c r="I1" s="321"/>
      <c r="L1" s="397" t="s">
        <v>343</v>
      </c>
      <c r="M1" s="397"/>
      <c r="N1" s="397"/>
      <c r="P1" s="398" t="s">
        <v>337</v>
      </c>
      <c r="Q1" s="398"/>
      <c r="R1" s="398"/>
    </row>
    <row r="2" spans="1:18">
      <c r="L2" s="348"/>
      <c r="M2" s="348"/>
      <c r="N2" s="348"/>
      <c r="P2" s="348"/>
      <c r="Q2" s="348"/>
      <c r="R2" s="348"/>
    </row>
    <row r="3" spans="1:18" ht="49.5" customHeight="1">
      <c r="A3" s="219" t="s">
        <v>103</v>
      </c>
      <c r="B3" s="219" t="s">
        <v>153</v>
      </c>
      <c r="C3" s="219" t="s">
        <v>104</v>
      </c>
      <c r="D3" s="219" t="s">
        <v>105</v>
      </c>
      <c r="E3" s="219" t="s">
        <v>116</v>
      </c>
      <c r="F3" s="322"/>
      <c r="G3" s="219" t="s">
        <v>249</v>
      </c>
      <c r="H3" s="219" t="s">
        <v>249</v>
      </c>
      <c r="I3" s="219" t="s">
        <v>250</v>
      </c>
      <c r="L3" s="219" t="s">
        <v>104</v>
      </c>
      <c r="M3" s="219" t="s">
        <v>105</v>
      </c>
      <c r="N3" s="219" t="s">
        <v>116</v>
      </c>
      <c r="P3" s="219" t="s">
        <v>153</v>
      </c>
      <c r="Q3" s="219" t="s">
        <v>105</v>
      </c>
      <c r="R3" s="219" t="s">
        <v>116</v>
      </c>
    </row>
    <row r="4" spans="1:18" ht="25.5" customHeight="1">
      <c r="A4" s="182" t="s">
        <v>106</v>
      </c>
      <c r="B4" s="326">
        <v>2592316549</v>
      </c>
      <c r="C4" s="327">
        <f>+B4</f>
        <v>2592316549</v>
      </c>
      <c r="D4" s="328">
        <v>20</v>
      </c>
      <c r="E4" s="329">
        <f t="shared" ref="E4:E13" si="0">+D4/100*C4</f>
        <v>518463309.80000001</v>
      </c>
      <c r="F4" s="323"/>
      <c r="G4" s="221">
        <v>6575127028.2700005</v>
      </c>
      <c r="H4" s="221">
        <f>+G4/12</f>
        <v>547927252.35583341</v>
      </c>
      <c r="I4" s="221">
        <f>+E4-H4</f>
        <v>-29463942.555833399</v>
      </c>
      <c r="L4" s="327">
        <v>-106009718</v>
      </c>
      <c r="M4" s="328">
        <v>20</v>
      </c>
      <c r="N4" s="329">
        <f t="shared" ref="N4:N13" si="1">+M4/100*L4</f>
        <v>-21201943.600000001</v>
      </c>
      <c r="P4" s="381">
        <v>-11684495.48</v>
      </c>
      <c r="Q4" s="328">
        <v>20</v>
      </c>
      <c r="R4" s="221">
        <f>+Q4/100*P4</f>
        <v>-2336899.0960000004</v>
      </c>
    </row>
    <row r="5" spans="1:18" ht="25.5" customHeight="1">
      <c r="A5" s="182" t="s">
        <v>127</v>
      </c>
      <c r="B5" s="326">
        <v>68960681</v>
      </c>
      <c r="C5" s="327">
        <f t="shared" ref="C5:C9" si="2">+B5</f>
        <v>68960681</v>
      </c>
      <c r="D5" s="328">
        <v>100</v>
      </c>
      <c r="E5" s="329">
        <f t="shared" si="0"/>
        <v>68960681</v>
      </c>
      <c r="F5" s="323"/>
      <c r="G5" s="221">
        <v>897976680.16000021</v>
      </c>
      <c r="H5" s="221">
        <f t="shared" ref="H5:H9" si="3">+G5/12</f>
        <v>74831390.01333335</v>
      </c>
      <c r="I5" s="221">
        <f t="shared" ref="I5:I9" si="4">+E5-H5</f>
        <v>-5870709.0133333504</v>
      </c>
      <c r="L5" s="327">
        <v>-11071675</v>
      </c>
      <c r="M5" s="328">
        <v>100</v>
      </c>
      <c r="N5" s="329">
        <f t="shared" si="1"/>
        <v>-11071675</v>
      </c>
      <c r="P5" s="382">
        <f>SUM(P4:P4)</f>
        <v>-11684495.48</v>
      </c>
      <c r="Q5" s="226"/>
      <c r="R5" s="228">
        <f>SUM(R4:R4)</f>
        <v>-2336899.0960000004</v>
      </c>
    </row>
    <row r="6" spans="1:18" ht="25.5" customHeight="1">
      <c r="A6" s="182" t="s">
        <v>107</v>
      </c>
      <c r="B6" s="326">
        <v>87259968</v>
      </c>
      <c r="C6" s="327">
        <f t="shared" si="2"/>
        <v>87259968</v>
      </c>
      <c r="D6" s="328">
        <v>20</v>
      </c>
      <c r="E6" s="329">
        <f t="shared" si="0"/>
        <v>17451993.600000001</v>
      </c>
      <c r="F6" s="323"/>
      <c r="G6" s="221">
        <v>220792307.32999998</v>
      </c>
      <c r="H6" s="221">
        <f t="shared" si="3"/>
        <v>18399358.944166664</v>
      </c>
      <c r="I6" s="221">
        <f t="shared" si="4"/>
        <v>-947365.34416666254</v>
      </c>
      <c r="L6" s="327">
        <v>-26289855</v>
      </c>
      <c r="M6" s="328">
        <v>20</v>
      </c>
      <c r="N6" s="329">
        <f t="shared" si="1"/>
        <v>-5257971</v>
      </c>
      <c r="P6" s="349"/>
      <c r="Q6" s="350"/>
      <c r="R6" s="323"/>
    </row>
    <row r="7" spans="1:18" ht="25.5" customHeight="1">
      <c r="A7" s="182" t="s">
        <v>115</v>
      </c>
      <c r="B7" s="326">
        <v>75298111</v>
      </c>
      <c r="C7" s="327">
        <f t="shared" si="2"/>
        <v>75298111</v>
      </c>
      <c r="D7" s="328">
        <v>20</v>
      </c>
      <c r="E7" s="329">
        <f t="shared" si="0"/>
        <v>15059622.200000001</v>
      </c>
      <c r="F7" s="323"/>
      <c r="G7" s="221">
        <v>372200568.05000001</v>
      </c>
      <c r="H7" s="221">
        <f t="shared" si="3"/>
        <v>31016714.004166666</v>
      </c>
      <c r="I7" s="221">
        <f t="shared" si="4"/>
        <v>-15957091.804166665</v>
      </c>
      <c r="L7" s="327">
        <v>0</v>
      </c>
      <c r="M7" s="328">
        <v>20</v>
      </c>
      <c r="N7" s="329">
        <f t="shared" si="1"/>
        <v>0</v>
      </c>
      <c r="P7" s="349"/>
      <c r="Q7" s="350"/>
      <c r="R7" s="323"/>
    </row>
    <row r="8" spans="1:18" ht="25.5" customHeight="1">
      <c r="A8" s="182" t="s">
        <v>121</v>
      </c>
      <c r="B8" s="326">
        <v>115038530</v>
      </c>
      <c r="C8" s="327">
        <f t="shared" si="2"/>
        <v>115038530</v>
      </c>
      <c r="D8" s="328">
        <v>20</v>
      </c>
      <c r="E8" s="329">
        <f t="shared" si="0"/>
        <v>23007706</v>
      </c>
      <c r="F8" s="323"/>
      <c r="G8" s="221">
        <v>183055003.22</v>
      </c>
      <c r="H8" s="221">
        <f t="shared" si="3"/>
        <v>15254583.601666667</v>
      </c>
      <c r="I8" s="221">
        <f t="shared" si="4"/>
        <v>7753122.3983333334</v>
      </c>
      <c r="L8" s="327">
        <f t="shared" ref="L8:L13" si="5">+K8</f>
        <v>0</v>
      </c>
      <c r="M8" s="328">
        <v>20</v>
      </c>
      <c r="N8" s="329">
        <f t="shared" si="1"/>
        <v>0</v>
      </c>
      <c r="P8" s="349"/>
      <c r="Q8" s="350"/>
      <c r="R8" s="323"/>
    </row>
    <row r="9" spans="1:18" ht="25.5" customHeight="1">
      <c r="A9" s="182" t="s">
        <v>120</v>
      </c>
      <c r="B9" s="326">
        <v>17306482</v>
      </c>
      <c r="C9" s="327">
        <f t="shared" si="2"/>
        <v>17306482</v>
      </c>
      <c r="D9" s="328">
        <v>20</v>
      </c>
      <c r="E9" s="329">
        <f t="shared" si="0"/>
        <v>3461296.4000000004</v>
      </c>
      <c r="F9" s="323"/>
      <c r="G9" s="221">
        <v>39228897.590000004</v>
      </c>
      <c r="H9" s="221">
        <f t="shared" si="3"/>
        <v>3269074.7991666668</v>
      </c>
      <c r="I9" s="221">
        <f t="shared" si="4"/>
        <v>192221.60083333356</v>
      </c>
      <c r="L9" s="327">
        <f t="shared" si="5"/>
        <v>0</v>
      </c>
      <c r="M9" s="328">
        <v>20</v>
      </c>
      <c r="N9" s="329">
        <f t="shared" si="1"/>
        <v>0</v>
      </c>
      <c r="P9" s="349"/>
      <c r="Q9" s="350"/>
      <c r="R9" s="323"/>
    </row>
    <row r="10" spans="1:18" ht="25.5" customHeight="1">
      <c r="A10" s="222" t="s">
        <v>224</v>
      </c>
      <c r="B10" s="330">
        <f>SUM(B4:B9)</f>
        <v>2956180321</v>
      </c>
      <c r="C10" s="330">
        <f>SUM(C4:C9)</f>
        <v>2956180321</v>
      </c>
      <c r="D10" s="219">
        <v>20</v>
      </c>
      <c r="E10" s="330">
        <f>SUM(E4:E9)</f>
        <v>646404609</v>
      </c>
      <c r="F10" s="324"/>
      <c r="G10" s="224">
        <f>SUM(G4:G9)</f>
        <v>8288380484.6200008</v>
      </c>
      <c r="H10" s="224">
        <f>SUM(H4:H9)</f>
        <v>690698373.71833348</v>
      </c>
      <c r="I10" s="224">
        <f>SUM(I4:I9)</f>
        <v>-44293764.718333416</v>
      </c>
      <c r="L10" s="376">
        <f>SUM(L4:L9)</f>
        <v>-143371248</v>
      </c>
      <c r="M10" s="219">
        <v>20</v>
      </c>
      <c r="N10" s="377">
        <f>SUM(N4:N9)</f>
        <v>-37531589.600000001</v>
      </c>
      <c r="P10" s="349"/>
      <c r="Q10" s="350"/>
      <c r="R10" s="323"/>
    </row>
    <row r="11" spans="1:18" ht="25.5" customHeight="1">
      <c r="A11" s="182" t="s">
        <v>126</v>
      </c>
      <c r="B11" s="326">
        <v>18258721.800000001</v>
      </c>
      <c r="C11" s="327">
        <f>+B11</f>
        <v>18258721.800000001</v>
      </c>
      <c r="D11" s="328">
        <v>100</v>
      </c>
      <c r="E11" s="329">
        <f t="shared" si="0"/>
        <v>18258721.800000001</v>
      </c>
      <c r="F11" s="323"/>
      <c r="G11" s="221"/>
      <c r="H11" s="221"/>
      <c r="I11" s="221"/>
      <c r="L11" s="378">
        <v>-6760044</v>
      </c>
      <c r="M11" s="328">
        <v>100</v>
      </c>
      <c r="N11" s="329">
        <f t="shared" si="1"/>
        <v>-6760044</v>
      </c>
      <c r="P11" s="349"/>
      <c r="Q11" s="350"/>
      <c r="R11" s="323"/>
    </row>
    <row r="12" spans="1:18" ht="25.5" customHeight="1">
      <c r="A12" s="182" t="s">
        <v>114</v>
      </c>
      <c r="B12" s="326">
        <v>70986014</v>
      </c>
      <c r="C12" s="327">
        <f t="shared" ref="C12:C13" si="6">+B12</f>
        <v>70986014</v>
      </c>
      <c r="D12" s="328">
        <v>20</v>
      </c>
      <c r="E12" s="329">
        <f t="shared" si="0"/>
        <v>14197202.800000001</v>
      </c>
      <c r="F12" s="323"/>
      <c r="G12" s="221"/>
      <c r="H12" s="221"/>
      <c r="I12" s="221"/>
      <c r="L12" s="378">
        <f t="shared" si="5"/>
        <v>0</v>
      </c>
      <c r="M12" s="328">
        <v>20</v>
      </c>
      <c r="N12" s="329">
        <f t="shared" si="1"/>
        <v>0</v>
      </c>
      <c r="P12" s="349"/>
      <c r="Q12" s="350"/>
      <c r="R12" s="323"/>
    </row>
    <row r="13" spans="1:18" ht="25.5" customHeight="1">
      <c r="A13" s="182" t="s">
        <v>217</v>
      </c>
      <c r="B13" s="327">
        <v>57071879</v>
      </c>
      <c r="C13" s="327">
        <f t="shared" si="6"/>
        <v>57071879</v>
      </c>
      <c r="D13" s="328">
        <v>20</v>
      </c>
      <c r="E13" s="329">
        <f t="shared" si="0"/>
        <v>11414375.800000001</v>
      </c>
      <c r="F13" s="323"/>
      <c r="G13" s="221"/>
      <c r="H13" s="221"/>
      <c r="I13" s="221"/>
      <c r="L13" s="378">
        <f t="shared" si="5"/>
        <v>0</v>
      </c>
      <c r="M13" s="328">
        <v>20</v>
      </c>
      <c r="N13" s="329">
        <f t="shared" si="1"/>
        <v>0</v>
      </c>
      <c r="P13" s="349"/>
      <c r="Q13" s="350"/>
      <c r="R13" s="323"/>
    </row>
    <row r="14" spans="1:18" ht="25.5" customHeight="1">
      <c r="A14" s="222" t="s">
        <v>224</v>
      </c>
      <c r="B14" s="330">
        <f>SUM(B11:B13)</f>
        <v>146316614.80000001</v>
      </c>
      <c r="C14" s="330">
        <f>SUM(C11:C13)</f>
        <v>146316614.80000001</v>
      </c>
      <c r="D14" s="219"/>
      <c r="E14" s="330">
        <f>SUM(E11:E13)</f>
        <v>43870300.400000006</v>
      </c>
      <c r="F14" s="324"/>
      <c r="G14" s="221"/>
      <c r="H14" s="221"/>
      <c r="I14" s="221"/>
      <c r="L14" s="378">
        <f>SUM(L11:L13)</f>
        <v>-6760044</v>
      </c>
      <c r="M14" s="219"/>
      <c r="N14" s="377">
        <f>SUM(N11:N13)</f>
        <v>-6760044</v>
      </c>
      <c r="P14" s="349"/>
      <c r="Q14" s="350"/>
      <c r="R14" s="323"/>
    </row>
    <row r="15" spans="1:18" ht="25.5" customHeight="1">
      <c r="A15" s="226" t="s">
        <v>53</v>
      </c>
      <c r="B15" s="331">
        <f>+B10+B14</f>
        <v>3102496935.8000002</v>
      </c>
      <c r="C15" s="331">
        <f>+C10+C14</f>
        <v>3102496935.8000002</v>
      </c>
      <c r="D15" s="226"/>
      <c r="E15" s="331">
        <f>+E10+E14</f>
        <v>690274909.39999998</v>
      </c>
      <c r="F15" s="325"/>
      <c r="G15" s="224"/>
      <c r="H15" s="224">
        <f>+H10+H14</f>
        <v>690698373.71833348</v>
      </c>
      <c r="I15" s="224">
        <f>+I10+I14</f>
        <v>-44293764.718333416</v>
      </c>
      <c r="L15" s="379">
        <f>+L10+L14</f>
        <v>-150131292</v>
      </c>
      <c r="M15" s="226"/>
      <c r="N15" s="380">
        <f>+N10+N14</f>
        <v>-44291633.600000001</v>
      </c>
      <c r="P15" s="351"/>
      <c r="Q15" s="352"/>
      <c r="R15" s="352"/>
    </row>
    <row r="16" spans="1:18">
      <c r="A16" s="12"/>
      <c r="B16" s="12"/>
      <c r="C16" s="13"/>
      <c r="D16" s="14"/>
      <c r="E16" s="13"/>
      <c r="F16" s="13"/>
      <c r="G16" s="13"/>
      <c r="H16" s="13"/>
      <c r="I16" s="13"/>
      <c r="L16" s="348"/>
      <c r="M16" s="348"/>
      <c r="N16" s="348"/>
    </row>
    <row r="17" spans="1:14">
      <c r="A17" s="15" t="s">
        <v>108</v>
      </c>
      <c r="B17" s="15"/>
      <c r="E17" s="187" t="s">
        <v>154</v>
      </c>
      <c r="F17" s="187"/>
      <c r="G17" s="187"/>
      <c r="H17" s="187"/>
      <c r="I17" s="187"/>
      <c r="L17" s="348"/>
      <c r="M17" s="348"/>
      <c r="N17" s="348"/>
    </row>
    <row r="18" spans="1:14">
      <c r="B18" s="395" t="s">
        <v>154</v>
      </c>
      <c r="L18" s="348"/>
      <c r="M18" s="348"/>
      <c r="N18" s="348"/>
    </row>
    <row r="19" spans="1:14">
      <c r="B19" s="354" t="s">
        <v>154</v>
      </c>
      <c r="E19" s="354" t="s">
        <v>154</v>
      </c>
    </row>
    <row r="20" spans="1:14">
      <c r="B20" s="354" t="s">
        <v>154</v>
      </c>
      <c r="C20" s="354" t="s">
        <v>154</v>
      </c>
    </row>
    <row r="21" spans="1:14">
      <c r="B21" s="354" t="s">
        <v>154</v>
      </c>
    </row>
    <row r="23" spans="1:14">
      <c r="B23" s="354"/>
      <c r="C23" s="354"/>
      <c r="E23" s="354"/>
      <c r="F23" s="354"/>
      <c r="G23" s="354"/>
      <c r="H23" s="354"/>
      <c r="I23" s="354"/>
    </row>
    <row r="24" spans="1:14">
      <c r="B24" s="354"/>
      <c r="C24" s="354"/>
      <c r="E24" s="354"/>
      <c r="F24" s="354"/>
      <c r="G24" s="354"/>
      <c r="H24" s="354"/>
      <c r="I24" s="354"/>
    </row>
    <row r="25" spans="1:14">
      <c r="B25" s="354"/>
      <c r="C25" s="354"/>
      <c r="E25" s="354"/>
      <c r="F25" s="354"/>
      <c r="G25" s="354"/>
      <c r="H25" s="354"/>
      <c r="I25" s="354"/>
    </row>
    <row r="26" spans="1:14">
      <c r="B26" s="354"/>
      <c r="C26" s="354"/>
      <c r="E26" s="354"/>
      <c r="F26" s="354"/>
      <c r="G26" s="354"/>
      <c r="H26" s="354"/>
      <c r="I26" s="354"/>
    </row>
    <row r="27" spans="1:14">
      <c r="B27" s="354"/>
      <c r="C27" s="354"/>
      <c r="E27" s="354"/>
      <c r="F27" s="354"/>
      <c r="G27" s="354"/>
      <c r="H27" s="354"/>
      <c r="I27" s="354"/>
    </row>
    <row r="28" spans="1:14">
      <c r="B28" s="354"/>
      <c r="C28" s="354"/>
      <c r="E28" s="354"/>
      <c r="F28" s="354"/>
      <c r="G28" s="354"/>
      <c r="H28" s="354"/>
      <c r="I28" s="354"/>
    </row>
    <row r="29" spans="1:14">
      <c r="B29" s="354"/>
      <c r="C29" s="354"/>
      <c r="E29" s="354"/>
      <c r="F29" s="354"/>
      <c r="G29" s="354"/>
      <c r="H29" s="354"/>
      <c r="I29" s="354"/>
    </row>
    <row r="30" spans="1:14">
      <c r="B30" s="354"/>
      <c r="C30" s="354"/>
      <c r="E30" s="354"/>
      <c r="F30" s="354"/>
      <c r="G30" s="354"/>
      <c r="H30" s="354"/>
      <c r="I30" s="354"/>
    </row>
    <row r="31" spans="1:14">
      <c r="B31" s="354"/>
      <c r="C31" s="354"/>
      <c r="E31" s="354"/>
      <c r="F31" s="354"/>
      <c r="G31" s="354"/>
      <c r="H31" s="354"/>
      <c r="I31" s="354"/>
    </row>
    <row r="32" spans="1:14">
      <c r="B32" s="354"/>
      <c r="C32" s="354"/>
      <c r="E32" s="354"/>
      <c r="F32" s="354"/>
      <c r="G32" s="354"/>
      <c r="H32" s="354"/>
      <c r="I32" s="354"/>
    </row>
    <row r="33" spans="2:9">
      <c r="B33" s="354"/>
      <c r="C33" s="354"/>
      <c r="E33" s="354"/>
      <c r="F33" s="354"/>
      <c r="G33" s="354"/>
      <c r="H33" s="354"/>
      <c r="I33" s="354"/>
    </row>
    <row r="34" spans="2:9">
      <c r="B34" s="354"/>
      <c r="C34" s="354"/>
      <c r="E34" s="354"/>
      <c r="F34" s="354"/>
      <c r="G34" s="354"/>
      <c r="H34" s="354"/>
      <c r="I34" s="354"/>
    </row>
  </sheetData>
  <mergeCells count="3">
    <mergeCell ref="A1:E1"/>
    <mergeCell ref="L1:N1"/>
    <mergeCell ref="P1:R1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21"/>
  <sheetViews>
    <sheetView showGridLines="0" tabSelected="1" zoomScaleNormal="100" zoomScaleSheetLayoutView="100" workbookViewId="0">
      <selection activeCell="Q5" sqref="Q5:Q6"/>
    </sheetView>
  </sheetViews>
  <sheetFormatPr baseColWidth="10" defaultColWidth="11.42578125" defaultRowHeight="12.75"/>
  <cols>
    <col min="1" max="1" width="31" style="16" customWidth="1"/>
    <col min="2" max="2" width="17.85546875" style="52" customWidth="1"/>
    <col min="3" max="4" width="14.140625" style="52" bestFit="1" customWidth="1"/>
    <col min="5" max="5" width="15.42578125" style="52" customWidth="1"/>
    <col min="6" max="6" width="14.7109375" style="52" bestFit="1" customWidth="1"/>
    <col min="7" max="7" width="14.140625" style="52" bestFit="1" customWidth="1"/>
    <col min="8" max="8" width="13.140625" style="52" bestFit="1" customWidth="1"/>
    <col min="9" max="10" width="14.140625" style="52" bestFit="1" customWidth="1"/>
    <col min="11" max="16" width="14.140625" style="52" customWidth="1"/>
    <col min="17" max="17" width="15" style="52" bestFit="1" customWidth="1"/>
    <col min="18" max="18" width="12.5703125" style="16" bestFit="1" customWidth="1"/>
    <col min="19" max="19" width="24.85546875" style="16" customWidth="1"/>
    <col min="20" max="20" width="14.5703125" style="16" customWidth="1"/>
    <col min="21" max="16384" width="11.42578125" style="16"/>
  </cols>
  <sheetData>
    <row r="1" spans="1:25">
      <c r="A1" s="403" t="s">
        <v>109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239"/>
      <c r="S1" s="239"/>
      <c r="T1" s="239"/>
      <c r="U1" s="239"/>
      <c r="V1" s="239"/>
      <c r="W1" s="239"/>
      <c r="X1" s="239"/>
      <c r="Y1" s="239"/>
    </row>
    <row r="2" spans="1:25">
      <c r="A2" s="403" t="s">
        <v>254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239"/>
      <c r="S2" s="239"/>
      <c r="T2" s="239"/>
      <c r="U2" s="239"/>
      <c r="V2" s="239"/>
      <c r="W2" s="239"/>
      <c r="X2" s="239"/>
      <c r="Y2" s="239"/>
    </row>
    <row r="3" spans="1:25" ht="13.5" thickBot="1">
      <c r="A3" s="403" t="s">
        <v>339</v>
      </c>
      <c r="B3" s="403"/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3"/>
      <c r="R3" s="239"/>
      <c r="S3" s="239"/>
      <c r="T3" s="239"/>
      <c r="U3" s="239"/>
      <c r="V3" s="239"/>
      <c r="W3" s="239"/>
      <c r="X3" s="239"/>
      <c r="Y3" s="239"/>
    </row>
    <row r="4" spans="1:25" ht="13.5" thickBot="1">
      <c r="A4" s="239" t="s">
        <v>154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411" t="s">
        <v>344</v>
      </c>
      <c r="M4" s="412"/>
      <c r="N4" s="412"/>
      <c r="O4" s="412"/>
      <c r="P4" s="413"/>
      <c r="Q4" s="239"/>
      <c r="R4" s="239"/>
      <c r="S4" s="239"/>
      <c r="T4" s="239"/>
      <c r="U4" s="239"/>
      <c r="V4" s="239"/>
      <c r="W4" s="239"/>
      <c r="X4" s="239"/>
      <c r="Y4" s="239"/>
    </row>
    <row r="5" spans="1:25" ht="12.75" customHeight="1" thickTop="1">
      <c r="A5" s="404" t="s">
        <v>0</v>
      </c>
      <c r="B5" s="406" t="s">
        <v>96</v>
      </c>
      <c r="C5" s="406" t="s">
        <v>125</v>
      </c>
      <c r="D5" s="406" t="s">
        <v>124</v>
      </c>
      <c r="E5" s="406" t="s">
        <v>97</v>
      </c>
      <c r="F5" s="406" t="s">
        <v>110</v>
      </c>
      <c r="G5" s="406" t="s">
        <v>122</v>
      </c>
      <c r="H5" s="406" t="s">
        <v>123</v>
      </c>
      <c r="I5" s="406" t="s">
        <v>150</v>
      </c>
      <c r="J5" s="406" t="s">
        <v>214</v>
      </c>
      <c r="K5" s="406" t="s">
        <v>215</v>
      </c>
      <c r="L5" s="406" t="s">
        <v>96</v>
      </c>
      <c r="M5" s="406" t="s">
        <v>125</v>
      </c>
      <c r="N5" s="406" t="s">
        <v>124</v>
      </c>
      <c r="O5" s="406" t="s">
        <v>97</v>
      </c>
      <c r="P5" s="408" t="s">
        <v>336</v>
      </c>
      <c r="Q5" s="409" t="s">
        <v>53</v>
      </c>
      <c r="R5" s="239"/>
      <c r="S5" s="239"/>
      <c r="T5" s="239"/>
      <c r="U5" s="239"/>
      <c r="V5" s="239"/>
      <c r="W5" s="239"/>
      <c r="X5" s="239"/>
      <c r="Y5" s="239"/>
    </row>
    <row r="6" spans="1:25" ht="13.5" thickBot="1">
      <c r="A6" s="405"/>
      <c r="B6" s="407"/>
      <c r="C6" s="407"/>
      <c r="D6" s="407"/>
      <c r="E6" s="407"/>
      <c r="F6" s="407"/>
      <c r="G6" s="407"/>
      <c r="H6" s="407"/>
      <c r="I6" s="407"/>
      <c r="J6" s="407"/>
      <c r="K6" s="407"/>
      <c r="L6" s="407"/>
      <c r="M6" s="407"/>
      <c r="N6" s="407"/>
      <c r="O6" s="407"/>
      <c r="P6" s="407"/>
      <c r="Q6" s="410"/>
    </row>
    <row r="7" spans="1:25">
      <c r="A7" s="148" t="s">
        <v>1</v>
      </c>
      <c r="B7" s="55">
        <f>ROUND(+'PART MES'!$E$4*+'CALCULO GARANTIA'!B6,2)</f>
        <v>666828.19999999995</v>
      </c>
      <c r="C7" s="55">
        <f>ROUND(+'PART MES'!$E$5*+'CALCULO GARANTIA'!D6,2)</f>
        <v>88694.66</v>
      </c>
      <c r="D7" s="55">
        <f>ROUND(+'Art.14 Frac.III '!P5,2)</f>
        <v>369836.69</v>
      </c>
      <c r="E7" s="55">
        <f>ROUND(+'PART MES'!$E$6*+'CALCULO GARANTIA'!F6,2)</f>
        <v>22446.1</v>
      </c>
      <c r="F7" s="55">
        <f>ROUND(+'PART MES'!$E$7*+'CALCULO GARANTIA'!H6,2)</f>
        <v>19369.13</v>
      </c>
      <c r="G7" s="55">
        <f>ROUND(+'CALCULO GARANTIA'!J6+'CALCULO GARANTIA'!Q6,2)</f>
        <v>25147.49</v>
      </c>
      <c r="H7" s="55">
        <f>ROUND(+'CALCULO GARANTIA'!K6+'CALCULO GARANTIA'!R6,2)</f>
        <v>4341.6099999999997</v>
      </c>
      <c r="I7" s="55">
        <f>ROUND(+'PART MES'!E$12*'COEF Art 14 F II ieps'!L8,2)</f>
        <v>8148.44</v>
      </c>
      <c r="J7" s="55">
        <f>+'ISR JUNIO '!D6</f>
        <v>165426</v>
      </c>
      <c r="K7" s="55">
        <f>+ISAI!D4</f>
        <v>1869.1741866805446</v>
      </c>
      <c r="L7" s="55">
        <f>ROUND('PART MES'!$N$4*'COEF Art 14 F I '!AF7,2)</f>
        <v>-15116</v>
      </c>
      <c r="M7" s="55">
        <f>ROUND('PART MES'!$N$5*'COEF Art 14 F I '!AF7,2)</f>
        <v>-7893.59</v>
      </c>
      <c r="N7" s="55">
        <f>ROUND('Art.14 Frac.III '!P75,2)</f>
        <v>-140864.22</v>
      </c>
      <c r="O7" s="55">
        <f>ROUND('PART MES'!$N$6*'COEF Art 14 F I '!AF7,2)</f>
        <v>-3748.69</v>
      </c>
      <c r="P7" s="55">
        <f>ROUND('PART MES'!$R$4*'COEF Art 14 F I '!AF7,2)</f>
        <v>-1666.1</v>
      </c>
      <c r="Q7" s="186">
        <f t="shared" ref="Q7:Q38" si="0">SUM(B7:P7)</f>
        <v>1202818.8941866804</v>
      </c>
    </row>
    <row r="8" spans="1:25">
      <c r="A8" s="149" t="s">
        <v>2</v>
      </c>
      <c r="B8" s="55">
        <f>ROUND(+'PART MES'!$E$4*+'CALCULO GARANTIA'!B7,2)</f>
        <v>1282944.98</v>
      </c>
      <c r="C8" s="55">
        <f>ROUND(+'PART MES'!$E$5*+'CALCULO GARANTIA'!D7,2)</f>
        <v>170644.21</v>
      </c>
      <c r="D8" s="55">
        <f>ROUND(+'Art.14 Frac.III '!P6,2)</f>
        <v>371820.48</v>
      </c>
      <c r="E8" s="55">
        <f>ROUND(+'PART MES'!$E$6*+'CALCULO GARANTIA'!F7,2)</f>
        <v>43185.21</v>
      </c>
      <c r="F8" s="55">
        <f>ROUND(+'PART MES'!$E$7*+'CALCULO GARANTIA'!H7,2)</f>
        <v>37265.25</v>
      </c>
      <c r="G8" s="55">
        <f>ROUND(+'CALCULO GARANTIA'!J7+'CALCULO GARANTIA'!Q7,2)</f>
        <v>47792.79</v>
      </c>
      <c r="H8" s="55">
        <f>ROUND(+'CALCULO GARANTIA'!K7+'CALCULO GARANTIA'!R7,2)</f>
        <v>8338.42</v>
      </c>
      <c r="I8" s="55">
        <f>ROUND(+'PART MES'!E$12*'COEF Art 14 F II ieps'!L9,2)</f>
        <v>10691.33</v>
      </c>
      <c r="J8" s="55">
        <f>+'ISR JUNIO '!D7</f>
        <v>113805</v>
      </c>
      <c r="K8" s="55">
        <f>+ISAI!D5</f>
        <v>1756.9388813724672</v>
      </c>
      <c r="L8" s="55">
        <f>ROUND('PART MES'!$N$4*'COEF Art 14 F I '!AF8,2)</f>
        <v>-27469.66</v>
      </c>
      <c r="M8" s="55">
        <f>ROUND('PART MES'!$N$5*'COEF Art 14 F I '!AF8,2)</f>
        <v>-14344.68</v>
      </c>
      <c r="N8" s="55">
        <f>ROUND('Art.14 Frac.III '!P76,2)</f>
        <v>-142009.45000000001</v>
      </c>
      <c r="O8" s="55">
        <f>ROUND('PART MES'!$N$6*'COEF Art 14 F I '!AF8,2)</f>
        <v>-6812.33</v>
      </c>
      <c r="P8" s="55">
        <f>ROUND('PART MES'!$R$4*'COEF Art 14 F I '!AF8,2)</f>
        <v>-3027.73</v>
      </c>
      <c r="Q8" s="186">
        <f t="shared" si="0"/>
        <v>1894580.7588813726</v>
      </c>
    </row>
    <row r="9" spans="1:25">
      <c r="A9" s="149" t="s">
        <v>3</v>
      </c>
      <c r="B9" s="55">
        <f>ROUND(+'PART MES'!$E$4*+'CALCULO GARANTIA'!B8,2)</f>
        <v>1346282.62</v>
      </c>
      <c r="C9" s="55">
        <f>ROUND(+'PART MES'!$E$5*+'CALCULO GARANTIA'!D8,2)</f>
        <v>179068.73</v>
      </c>
      <c r="D9" s="55">
        <f>ROUND(+'Art.14 Frac.III '!P7,2)</f>
        <v>173048</v>
      </c>
      <c r="E9" s="55">
        <f>ROUND(+'PART MES'!$E$6*+'CALCULO GARANTIA'!F8,2)</f>
        <v>45317.22</v>
      </c>
      <c r="F9" s="55">
        <f>ROUND(+'PART MES'!$E$7*+'CALCULO GARANTIA'!H8,2)</f>
        <v>39105</v>
      </c>
      <c r="G9" s="55">
        <f>ROUND(+'CALCULO GARANTIA'!J8+'CALCULO GARANTIA'!Q8,2)</f>
        <v>52003.98</v>
      </c>
      <c r="H9" s="55">
        <f>ROUND(+'CALCULO GARANTIA'!K8+'CALCULO GARANTIA'!R8,2)</f>
        <v>8795.99</v>
      </c>
      <c r="I9" s="55">
        <f>ROUND(+'PART MES'!E$12*'COEF Art 14 F II ieps'!L10,2)</f>
        <v>9358.0400000000009</v>
      </c>
      <c r="J9" s="55">
        <f>+'ISR JUNIO '!D8</f>
        <v>0</v>
      </c>
      <c r="K9" s="55">
        <f>+ISAI!D6</f>
        <v>100.51383595498253</v>
      </c>
      <c r="L9" s="55">
        <f>ROUND('PART MES'!$N$4*'COEF Art 14 F I '!AF9,2)</f>
        <v>-33889.550000000003</v>
      </c>
      <c r="M9" s="55">
        <f>ROUND('PART MES'!$N$5*'COEF Art 14 F I '!AF9,2)</f>
        <v>-17697.16</v>
      </c>
      <c r="N9" s="55">
        <f>ROUND('Art.14 Frac.III '!P77,2)</f>
        <v>-66457.72</v>
      </c>
      <c r="O9" s="55">
        <f>ROUND('PART MES'!$N$6*'COEF Art 14 F I '!AF9,2)</f>
        <v>-8404.43</v>
      </c>
      <c r="P9" s="55">
        <f>ROUND('PART MES'!$R$4*'COEF Art 14 F I '!AF9,2)</f>
        <v>-3735.34</v>
      </c>
      <c r="Q9" s="186">
        <f t="shared" si="0"/>
        <v>1722895.8938359551</v>
      </c>
    </row>
    <row r="10" spans="1:25">
      <c r="A10" s="149" t="s">
        <v>4</v>
      </c>
      <c r="B10" s="55">
        <f>ROUND(+'PART MES'!$E$4*+'CALCULO GARANTIA'!B9,2)</f>
        <v>3713944.09</v>
      </c>
      <c r="C10" s="55">
        <f>ROUND(+'PART MES'!$E$5*+'CALCULO GARANTIA'!D9,2)</f>
        <v>493990.82</v>
      </c>
      <c r="D10" s="55">
        <f>ROUND(+'Art.14 Frac.III '!P8,2)</f>
        <v>366413.48</v>
      </c>
      <c r="E10" s="55">
        <f>ROUND(+'PART MES'!$E$6*+'CALCULO GARANTIA'!F9,2)</f>
        <v>125015.07</v>
      </c>
      <c r="F10" s="55">
        <f>ROUND(+'PART MES'!$E$7*+'CALCULO GARANTIA'!H9,2)</f>
        <v>107877.63</v>
      </c>
      <c r="G10" s="55">
        <f>ROUND(+'CALCULO GARANTIA'!J9+'CALCULO GARANTIA'!Q9,2)</f>
        <v>157390.28</v>
      </c>
      <c r="H10" s="55">
        <f>ROUND(+'CALCULO GARANTIA'!K9+'CALCULO GARANTIA'!R9,2)</f>
        <v>24610.52</v>
      </c>
      <c r="I10" s="55">
        <f>ROUND(+'PART MES'!E$12*'COEF Art 14 F II ieps'!L11,2)</f>
        <v>90652.38</v>
      </c>
      <c r="J10" s="55">
        <f>+'ISR JUNIO '!D9</f>
        <v>701968</v>
      </c>
      <c r="K10" s="55">
        <f>+ISAI!D7</f>
        <v>130350.88498743089</v>
      </c>
      <c r="L10" s="55">
        <f>ROUND('PART MES'!$N$4*'COEF Art 14 F I '!AF10,2)</f>
        <v>-131579.76999999999</v>
      </c>
      <c r="M10" s="55">
        <f>ROUND('PART MES'!$N$5*'COEF Art 14 F I '!AF10,2)</f>
        <v>-68711.08</v>
      </c>
      <c r="N10" s="55">
        <f>ROUND('Art.14 Frac.III '!P78,2)</f>
        <v>-140891.34</v>
      </c>
      <c r="O10" s="55">
        <f>ROUND('PART MES'!$N$6*'COEF Art 14 F I '!AF10,2)</f>
        <v>-32631.09</v>
      </c>
      <c r="P10" s="55">
        <f>ROUND('PART MES'!$R$4*'COEF Art 14 F I '!AF10,2)</f>
        <v>-14502.85</v>
      </c>
      <c r="Q10" s="186">
        <f t="shared" si="0"/>
        <v>5523897.0249874322</v>
      </c>
    </row>
    <row r="11" spans="1:25">
      <c r="A11" s="149" t="s">
        <v>5</v>
      </c>
      <c r="B11" s="55">
        <f>ROUND(+'PART MES'!$E$4*+'CALCULO GARANTIA'!B10,2)</f>
        <v>4662314.8899999997</v>
      </c>
      <c r="C11" s="55">
        <f>ROUND(+'PART MES'!$E$5*+'CALCULO GARANTIA'!D10,2)</f>
        <v>620133.39</v>
      </c>
      <c r="D11" s="55">
        <f>ROUND(+'Art.14 Frac.III '!P9,2)</f>
        <v>106636.98</v>
      </c>
      <c r="E11" s="55">
        <f>ROUND(+'PART MES'!$E$6*+'CALCULO GARANTIA'!F10,2)</f>
        <v>156938.18</v>
      </c>
      <c r="F11" s="55">
        <f>ROUND(+'PART MES'!$E$7*+'CALCULO GARANTIA'!H10,2)</f>
        <v>135424.63</v>
      </c>
      <c r="G11" s="55">
        <f>ROUND(+'CALCULO GARANTIA'!J10+'CALCULO GARANTIA'!Q10,2)</f>
        <v>176605.62</v>
      </c>
      <c r="H11" s="55">
        <f>ROUND(+'CALCULO GARANTIA'!K10+'CALCULO GARANTIA'!R10,2)</f>
        <v>30374.89</v>
      </c>
      <c r="I11" s="55">
        <f>ROUND(+'PART MES'!E$12*'COEF Art 14 F II ieps'!L12,2)</f>
        <v>54743.46</v>
      </c>
      <c r="J11" s="55">
        <f>+'ISR JUNIO '!D10</f>
        <v>0</v>
      </c>
      <c r="K11" s="55">
        <f>+ISAI!D8</f>
        <v>19096.334436057994</v>
      </c>
      <c r="L11" s="55">
        <f>ROUND('PART MES'!$N$4*'COEF Art 14 F I '!AF11,2)</f>
        <v>-107820.53</v>
      </c>
      <c r="M11" s="55">
        <f>ROUND('PART MES'!$N$5*'COEF Art 14 F I '!AF11,2)</f>
        <v>-56303.98</v>
      </c>
      <c r="N11" s="55">
        <f>ROUND('Art.14 Frac.III '!P79,2)</f>
        <v>-41127.21</v>
      </c>
      <c r="O11" s="55">
        <f>ROUND('PART MES'!$N$6*'COEF Art 14 F I '!AF11,2)</f>
        <v>-26738.93</v>
      </c>
      <c r="P11" s="55">
        <f>ROUND('PART MES'!$R$4*'COEF Art 14 F I '!AF11,2)</f>
        <v>-11884.08</v>
      </c>
      <c r="Q11" s="186">
        <f t="shared" si="0"/>
        <v>5718393.6444360567</v>
      </c>
    </row>
    <row r="12" spans="1:25">
      <c r="A12" s="149" t="s">
        <v>6</v>
      </c>
      <c r="B12" s="55">
        <f>ROUND(+'PART MES'!$E$4*+'CALCULO GARANTIA'!B11,2)</f>
        <v>32013132.670000002</v>
      </c>
      <c r="C12" s="55">
        <f>ROUND(+'PART MES'!$E$5*+'CALCULO GARANTIA'!D11,2)</f>
        <v>4258059.13</v>
      </c>
      <c r="D12" s="55">
        <f>ROUND(+'Art.14 Frac.III '!P10,2)</f>
        <v>856208.91</v>
      </c>
      <c r="E12" s="55">
        <f>ROUND(+'PART MES'!$E$6*+'CALCULO GARANTIA'!F11,2)</f>
        <v>1077594.07</v>
      </c>
      <c r="F12" s="55">
        <f>ROUND(+'PART MES'!$E$7*+'CALCULO GARANTIA'!H11,2)</f>
        <v>929874.25</v>
      </c>
      <c r="G12" s="55">
        <f>ROUND(+'CALCULO GARANTIA'!J11+'CALCULO GARANTIA'!Q11,2)</f>
        <v>1600141.09</v>
      </c>
      <c r="H12" s="55">
        <f>ROUND(+'CALCULO GARANTIA'!K11+'CALCULO GARANTIA'!R11,2)</f>
        <v>218172.24</v>
      </c>
      <c r="I12" s="55">
        <f>ROUND(+'PART MES'!E$12*'COEF Art 14 F II ieps'!L13,2)</f>
        <v>1516345.37</v>
      </c>
      <c r="J12" s="55">
        <f>+'ISR JUNIO '!D11</f>
        <v>5148649</v>
      </c>
      <c r="K12" s="55">
        <f>+ISAI!D9</f>
        <v>1533686.6909937863</v>
      </c>
      <c r="L12" s="55">
        <f>ROUND('PART MES'!$N$4*'COEF Art 14 F I '!AF12,2)</f>
        <v>-1800013.9</v>
      </c>
      <c r="M12" s="55">
        <f>ROUND('PART MES'!$N$5*'COEF Art 14 F I '!AF12,2)</f>
        <v>-939968.96</v>
      </c>
      <c r="N12" s="55">
        <f>ROUND('Art.14 Frac.III '!P80,2)</f>
        <v>-331442.28999999998</v>
      </c>
      <c r="O12" s="55">
        <f>ROUND('PART MES'!$N$6*'COEF Art 14 F I '!AF12,2)</f>
        <v>-446394.02</v>
      </c>
      <c r="P12" s="55">
        <f>ROUND('PART MES'!$R$4*'COEF Art 14 F I '!AF12,2)</f>
        <v>-198399.3</v>
      </c>
      <c r="Q12" s="186">
        <f t="shared" si="0"/>
        <v>45435644.950993791</v>
      </c>
    </row>
    <row r="13" spans="1:25">
      <c r="A13" s="149" t="s">
        <v>7</v>
      </c>
      <c r="B13" s="55">
        <f>ROUND(+'PART MES'!$E$4*+'CALCULO GARANTIA'!B12,2)</f>
        <v>5322062.57</v>
      </c>
      <c r="C13" s="55">
        <f>ROUND(+'PART MES'!$E$5*+'CALCULO GARANTIA'!D12,2)</f>
        <v>707886.27</v>
      </c>
      <c r="D13" s="55">
        <f>ROUND(+'Art.14 Frac.III '!P11,2)</f>
        <v>252318.78</v>
      </c>
      <c r="E13" s="55">
        <f>ROUND(+'PART MES'!$E$6*+'CALCULO GARANTIA'!F12,2)</f>
        <v>179145.95</v>
      </c>
      <c r="F13" s="55">
        <f>ROUND(+'PART MES'!$E$7*+'CALCULO GARANTIA'!H12,2)</f>
        <v>154588.09</v>
      </c>
      <c r="G13" s="55">
        <f>ROUND(+'CALCULO GARANTIA'!J12+'CALCULO GARANTIA'!Q12,2)</f>
        <v>192758.77</v>
      </c>
      <c r="H13" s="55">
        <f>ROUND(+'CALCULO GARANTIA'!K12+'CALCULO GARANTIA'!R12,2)</f>
        <v>34454.019999999997</v>
      </c>
      <c r="I13" s="55">
        <f>ROUND(+'PART MES'!E$12*'COEF Art 14 F II ieps'!L14,2)</f>
        <v>48505.86</v>
      </c>
      <c r="J13" s="55">
        <f>+'ISR JUNIO '!D12</f>
        <v>0</v>
      </c>
      <c r="K13" s="55">
        <f>+ISAI!D10</f>
        <v>5764.7606956385134</v>
      </c>
      <c r="L13" s="55">
        <f>ROUND('PART MES'!$N$4*'COEF Art 14 F I '!AF13,2)</f>
        <v>-98910</v>
      </c>
      <c r="M13" s="55">
        <f>ROUND('PART MES'!$N$5*'COEF Art 14 F I '!AF13,2)</f>
        <v>-51650.89</v>
      </c>
      <c r="N13" s="55">
        <f>ROUND('Art.14 Frac.III '!P81,2)</f>
        <v>0</v>
      </c>
      <c r="O13" s="55">
        <f>ROUND('PART MES'!$N$6*'COEF Art 14 F I '!AF13,2)</f>
        <v>-24529.16</v>
      </c>
      <c r="P13" s="55">
        <f>ROUND('PART MES'!$R$4*'COEF Art 14 F I '!AF13,2)</f>
        <v>-10901.96</v>
      </c>
      <c r="Q13" s="186">
        <f t="shared" si="0"/>
        <v>6711493.0606956379</v>
      </c>
    </row>
    <row r="14" spans="1:25">
      <c r="A14" s="149" t="s">
        <v>8</v>
      </c>
      <c r="B14" s="55">
        <f>ROUND(+'PART MES'!$E$4*+'CALCULO GARANTIA'!B13,2)</f>
        <v>846236.15</v>
      </c>
      <c r="C14" s="55">
        <f>ROUND(+'PART MES'!$E$5*+'CALCULO GARANTIA'!D13,2)</f>
        <v>112557.67</v>
      </c>
      <c r="D14" s="55">
        <f>ROUND(+'Art.14 Frac.III '!P12,2)</f>
        <v>347049.97</v>
      </c>
      <c r="E14" s="55">
        <f>ROUND(+'PART MES'!$E$6*+'CALCULO GARANTIA'!F13,2)</f>
        <v>28485.16</v>
      </c>
      <c r="F14" s="55">
        <f>ROUND(+'PART MES'!$E$7*+'CALCULO GARANTIA'!H13,2)</f>
        <v>24580.33</v>
      </c>
      <c r="G14" s="55">
        <f>ROUND(+'CALCULO GARANTIA'!J13+'CALCULO GARANTIA'!Q13,2)</f>
        <v>35385.58</v>
      </c>
      <c r="H14" s="55">
        <f>ROUND(+'CALCULO GARANTIA'!K13+'CALCULO GARANTIA'!R13,2)</f>
        <v>5595.79</v>
      </c>
      <c r="I14" s="55">
        <f>ROUND(+'PART MES'!E$12*'COEF Art 14 F II ieps'!L15,2)</f>
        <v>12787.04</v>
      </c>
      <c r="J14" s="55">
        <f>+'ISR JUNIO '!D13</f>
        <v>460677</v>
      </c>
      <c r="K14" s="55">
        <f>+ISAI!D11</f>
        <v>920.09493382530763</v>
      </c>
      <c r="L14" s="55">
        <f>ROUND('PART MES'!$N$4*'COEF Art 14 F I '!AF14,2)</f>
        <v>-28678.21</v>
      </c>
      <c r="M14" s="55">
        <f>ROUND('PART MES'!$N$5*'COEF Art 14 F I '!AF14,2)</f>
        <v>-14975.79</v>
      </c>
      <c r="N14" s="55">
        <f>ROUND('Art.14 Frac.III '!P82,2)</f>
        <v>-132897.91</v>
      </c>
      <c r="O14" s="55">
        <f>ROUND('PART MES'!$N$6*'COEF Art 14 F I '!AF14,2)</f>
        <v>-7112.05</v>
      </c>
      <c r="P14" s="55">
        <f>ROUND('PART MES'!$R$4*'COEF Art 14 F I '!AF14,2)</f>
        <v>-3160.94</v>
      </c>
      <c r="Q14" s="186">
        <f t="shared" si="0"/>
        <v>1687449.8849338256</v>
      </c>
    </row>
    <row r="15" spans="1:25">
      <c r="A15" s="149" t="s">
        <v>9</v>
      </c>
      <c r="B15" s="55">
        <f>ROUND(+'PART MES'!$E$4*+'CALCULO GARANTIA'!B14,2)</f>
        <v>8411752.9399999995</v>
      </c>
      <c r="C15" s="55">
        <f>ROUND(+'PART MES'!$E$5*+'CALCULO GARANTIA'!D14,2)</f>
        <v>1118845.25</v>
      </c>
      <c r="D15" s="55">
        <f>ROUND(+'Art.14 Frac.III '!P13,2)</f>
        <v>402994.29</v>
      </c>
      <c r="E15" s="55">
        <f>ROUND(+'PART MES'!$E$6*+'CALCULO GARANTIA'!F14,2)</f>
        <v>283148.02</v>
      </c>
      <c r="F15" s="55">
        <f>ROUND(+'PART MES'!$E$7*+'CALCULO GARANTIA'!H14,2)</f>
        <v>244333.24</v>
      </c>
      <c r="G15" s="55">
        <f>ROUND(+'CALCULO GARANTIA'!J14+'CALCULO GARANTIA'!Q14,2)</f>
        <v>352994.05</v>
      </c>
      <c r="H15" s="55">
        <f>ROUND(+'CALCULO GARANTIA'!K14+'CALCULO GARANTIA'!R14,2)</f>
        <v>55654.34</v>
      </c>
      <c r="I15" s="55">
        <f>ROUND(+'PART MES'!E$12*'COEF Art 14 F II ieps'!L16,2)</f>
        <v>256140.83</v>
      </c>
      <c r="J15" s="55">
        <f>+'ISR JUNIO '!D14</f>
        <v>0</v>
      </c>
      <c r="K15" s="55">
        <f>+ISAI!D12</f>
        <v>98126.088634831511</v>
      </c>
      <c r="L15" s="55">
        <f>ROUND('PART MES'!$N$4*'COEF Art 14 F I '!AF15,2)</f>
        <v>-288497.42</v>
      </c>
      <c r="M15" s="55">
        <f>ROUND('PART MES'!$N$5*'COEF Art 14 F I '!AF15,2)</f>
        <v>-150653.62</v>
      </c>
      <c r="N15" s="55">
        <f>ROUND('Art.14 Frac.III '!P83,2)</f>
        <v>-154130.03</v>
      </c>
      <c r="O15" s="55">
        <f>ROUND('PART MES'!$N$6*'COEF Art 14 F I '!AF15,2)</f>
        <v>-71545.850000000006</v>
      </c>
      <c r="P15" s="55">
        <f>ROUND('PART MES'!$R$4*'COEF Art 14 F I '!AF15,2)</f>
        <v>-31798.47</v>
      </c>
      <c r="Q15" s="186">
        <f t="shared" si="0"/>
        <v>10527363.658634832</v>
      </c>
    </row>
    <row r="16" spans="1:25">
      <c r="A16" s="149" t="s">
        <v>10</v>
      </c>
      <c r="B16" s="55">
        <f>ROUND(+'PART MES'!$E$4*+'CALCULO GARANTIA'!B15,2)</f>
        <v>1456398.55</v>
      </c>
      <c r="C16" s="55">
        <f>ROUND(+'PART MES'!$E$5*+'CALCULO GARANTIA'!D15,2)</f>
        <v>193715.22</v>
      </c>
      <c r="D16" s="55">
        <f>ROUND(+'Art.14 Frac.III '!P14,2)</f>
        <v>160235.89000000001</v>
      </c>
      <c r="E16" s="55">
        <f>ROUND(+'PART MES'!$E$6*+'CALCULO GARANTIA'!F15,2)</f>
        <v>49023.83</v>
      </c>
      <c r="F16" s="55">
        <f>ROUND(+'PART MES'!$E$7*+'CALCULO GARANTIA'!H15,2)</f>
        <v>42303.5</v>
      </c>
      <c r="G16" s="55">
        <f>ROUND(+'CALCULO GARANTIA'!J15+'CALCULO GARANTIA'!Q15,2)</f>
        <v>116714.3</v>
      </c>
      <c r="H16" s="55">
        <f>ROUND(+'CALCULO GARANTIA'!K15+'CALCULO GARANTIA'!R15,2)</f>
        <v>11014.33</v>
      </c>
      <c r="I16" s="55">
        <f>ROUND(+'PART MES'!E$12*'COEF Art 14 F II ieps'!L17,2)</f>
        <v>172882.12</v>
      </c>
      <c r="J16" s="55">
        <f>+'ISR JUNIO '!D15</f>
        <v>0</v>
      </c>
      <c r="K16" s="55">
        <f>+ISAI!D13</f>
        <v>41837.538957097349</v>
      </c>
      <c r="L16" s="55">
        <f>ROUND('PART MES'!$N$4*'COEF Art 14 F I '!AF16,2)</f>
        <v>-201988.57</v>
      </c>
      <c r="M16" s="55">
        <f>ROUND('PART MES'!$N$5*'COEF Art 14 F I '!AF16,2)</f>
        <v>-105478.62</v>
      </c>
      <c r="N16" s="55">
        <f>ROUND('Art.14 Frac.III '!P84,2)</f>
        <v>-61267.27</v>
      </c>
      <c r="O16" s="55">
        <f>ROUND('PART MES'!$N$6*'COEF Art 14 F I '!AF16,2)</f>
        <v>-50092.11</v>
      </c>
      <c r="P16" s="55">
        <f>ROUND('PART MES'!$R$4*'COEF Art 14 F I '!AF16,2)</f>
        <v>-22263.38</v>
      </c>
      <c r="Q16" s="186">
        <f t="shared" si="0"/>
        <v>1803035.3289570978</v>
      </c>
    </row>
    <row r="17" spans="1:17">
      <c r="A17" s="149" t="s">
        <v>11</v>
      </c>
      <c r="B17" s="55">
        <f>ROUND(+'PART MES'!$E$4*+'CALCULO GARANTIA'!B16,2)</f>
        <v>2030509.38</v>
      </c>
      <c r="C17" s="55">
        <f>ROUND(+'PART MES'!$E$5*+'CALCULO GARANTIA'!D16,2)</f>
        <v>270077.57</v>
      </c>
      <c r="D17" s="55">
        <f>ROUND(+'Art.14 Frac.III '!P15,2)</f>
        <v>189209.57</v>
      </c>
      <c r="E17" s="55">
        <f>ROUND(+'PART MES'!$E$6*+'CALCULO GARANTIA'!F16,2)</f>
        <v>68348.98</v>
      </c>
      <c r="F17" s="55">
        <f>ROUND(+'PART MES'!$E$7*+'CALCULO GARANTIA'!H16,2)</f>
        <v>58979.49</v>
      </c>
      <c r="G17" s="55">
        <f>ROUND(+'CALCULO GARANTIA'!J16+'CALCULO GARANTIA'!Q16,2)</f>
        <v>87221.2</v>
      </c>
      <c r="H17" s="55">
        <f>ROUND(+'CALCULO GARANTIA'!K16+'CALCULO GARANTIA'!R16,2)</f>
        <v>13484.26</v>
      </c>
      <c r="I17" s="55">
        <f>ROUND(+'PART MES'!E$12*'COEF Art 14 F II ieps'!L18,2)</f>
        <v>28699.360000000001</v>
      </c>
      <c r="J17" s="55">
        <f>+'ISR JUNIO '!D16</f>
        <v>0</v>
      </c>
      <c r="K17" s="55">
        <f>+ISAI!D14</f>
        <v>3800.6072831828219</v>
      </c>
      <c r="L17" s="55">
        <f>ROUND('PART MES'!$N$4*'COEF Art 14 F I '!AF17,2)</f>
        <v>-75142.69</v>
      </c>
      <c r="M17" s="55">
        <f>ROUND('PART MES'!$N$5*'COEF Art 14 F I '!AF17,2)</f>
        <v>-39239.58</v>
      </c>
      <c r="N17" s="55">
        <f>ROUND('Art.14 Frac.III '!P85,2)</f>
        <v>-72960.039999999994</v>
      </c>
      <c r="O17" s="55">
        <f>ROUND('PART MES'!$N$6*'COEF Art 14 F I '!AF17,2)</f>
        <v>-18634.990000000002</v>
      </c>
      <c r="P17" s="55">
        <f>ROUND('PART MES'!$R$4*'COEF Art 14 F I '!AF17,2)</f>
        <v>-8282.2999999999993</v>
      </c>
      <c r="Q17" s="186">
        <f t="shared" si="0"/>
        <v>2536070.8172831824</v>
      </c>
    </row>
    <row r="18" spans="1:17">
      <c r="A18" s="149" t="s">
        <v>12</v>
      </c>
      <c r="B18" s="55">
        <f>ROUND(+'PART MES'!$E$4*+'CALCULO GARANTIA'!B17,2)</f>
        <v>4270458.33</v>
      </c>
      <c r="C18" s="55">
        <f>ROUND(+'PART MES'!$E$5*+'CALCULO GARANTIA'!D17,2)</f>
        <v>568012.64</v>
      </c>
      <c r="D18" s="55">
        <f>ROUND(+'Art.14 Frac.III '!P16,2)</f>
        <v>378360.06</v>
      </c>
      <c r="E18" s="55">
        <f>ROUND(+'PART MES'!$E$6*+'CALCULO GARANTIA'!F17,2)</f>
        <v>143747.9</v>
      </c>
      <c r="F18" s="55">
        <f>ROUND(+'PART MES'!$E$7*+'CALCULO GARANTIA'!H17,2)</f>
        <v>124042.51</v>
      </c>
      <c r="G18" s="55">
        <f>ROUND(+'CALCULO GARANTIA'!J17+'CALCULO GARANTIA'!Q17,2)</f>
        <v>161459.97</v>
      </c>
      <c r="H18" s="55">
        <f>ROUND(+'CALCULO GARANTIA'!K17+'CALCULO GARANTIA'!R17,2)</f>
        <v>27814.46</v>
      </c>
      <c r="I18" s="55">
        <f>ROUND(+'PART MES'!E$12*'COEF Art 14 F II ieps'!L19,2)</f>
        <v>38765.440000000002</v>
      </c>
      <c r="J18" s="55">
        <f>+'ISR JUNIO '!D17</f>
        <v>165434</v>
      </c>
      <c r="K18" s="55">
        <f>+ISAI!D15</f>
        <v>4062.1998556432359</v>
      </c>
      <c r="L18" s="55">
        <f>ROUND('PART MES'!$N$4*'COEF Art 14 F I '!AF18,2)</f>
        <v>-97931.61</v>
      </c>
      <c r="M18" s="55">
        <f>ROUND('PART MES'!$N$5*'COEF Art 14 F I '!AF18,2)</f>
        <v>-51139.98</v>
      </c>
      <c r="N18" s="55">
        <f>ROUND('Art.14 Frac.III '!P86,2)</f>
        <v>-144411.62</v>
      </c>
      <c r="O18" s="55">
        <f>ROUND('PART MES'!$N$6*'COEF Art 14 F I '!AF18,2)</f>
        <v>-24286.53</v>
      </c>
      <c r="P18" s="55">
        <f>ROUND('PART MES'!$R$4*'COEF Art 14 F I '!AF18,2)</f>
        <v>-10794.12</v>
      </c>
      <c r="Q18" s="186">
        <f t="shared" si="0"/>
        <v>5553593.6498556416</v>
      </c>
    </row>
    <row r="19" spans="1:17">
      <c r="A19" s="149" t="s">
        <v>13</v>
      </c>
      <c r="B19" s="55">
        <f>ROUND(+'PART MES'!$E$4*+'CALCULO GARANTIA'!B18,2)</f>
        <v>2189188.15</v>
      </c>
      <c r="C19" s="55">
        <f>ROUND(+'PART MES'!$E$5*+'CALCULO GARANTIA'!D18,2)</f>
        <v>291183.39</v>
      </c>
      <c r="D19" s="55">
        <f>ROUND(+'Art.14 Frac.III '!P17,2)</f>
        <v>224560.76</v>
      </c>
      <c r="E19" s="55">
        <f>ROUND(+'PART MES'!$E$6*+'CALCULO GARANTIA'!F18,2)</f>
        <v>73690.259999999995</v>
      </c>
      <c r="F19" s="55">
        <f>ROUND(+'PART MES'!$E$7*+'CALCULO GARANTIA'!H18,2)</f>
        <v>63588.58</v>
      </c>
      <c r="G19" s="55">
        <f>ROUND(+'CALCULO GARANTIA'!J18+'CALCULO GARANTIA'!Q18,2)</f>
        <v>119381.87</v>
      </c>
      <c r="H19" s="55">
        <f>ROUND(+'CALCULO GARANTIA'!K18+'CALCULO GARANTIA'!R18,2)</f>
        <v>15166.38</v>
      </c>
      <c r="I19" s="55">
        <f>ROUND(+'PART MES'!E$12*'COEF Art 14 F II ieps'!L20,2)</f>
        <v>134579.51999999999</v>
      </c>
      <c r="J19" s="55">
        <f>+'ISR JUNIO '!D18</f>
        <v>0</v>
      </c>
      <c r="K19" s="55">
        <f>+ISAI!D16</f>
        <v>248406.46490832543</v>
      </c>
      <c r="L19" s="55">
        <f>ROUND('PART MES'!$N$4*'COEF Art 14 F I '!AF19,2)</f>
        <v>-150322.98000000001</v>
      </c>
      <c r="M19" s="55">
        <f>ROUND('PART MES'!$N$5*'COEF Art 14 F I '!AF19,2)</f>
        <v>-78498.8</v>
      </c>
      <c r="N19" s="55">
        <f>ROUND('Art.14 Frac.III '!P87,2)</f>
        <v>-86234.37</v>
      </c>
      <c r="O19" s="55">
        <f>ROUND('PART MES'!$N$6*'COEF Art 14 F I '!AF19,2)</f>
        <v>-37279.31</v>
      </c>
      <c r="P19" s="55">
        <f>ROUND('PART MES'!$R$4*'COEF Art 14 F I '!AF19,2)</f>
        <v>-16568.75</v>
      </c>
      <c r="Q19" s="186">
        <f t="shared" si="0"/>
        <v>2990841.1649083253</v>
      </c>
    </row>
    <row r="20" spans="1:17">
      <c r="A20" s="149" t="s">
        <v>14</v>
      </c>
      <c r="B20" s="55">
        <f>ROUND(+'PART MES'!$E$4*+'CALCULO GARANTIA'!B19,2)</f>
        <v>11978771.85</v>
      </c>
      <c r="C20" s="55">
        <f>ROUND(+'PART MES'!$E$5*+'CALCULO GARANTIA'!D19,2)</f>
        <v>1593293.58</v>
      </c>
      <c r="D20" s="55">
        <f>ROUND(+'Art.14 Frac.III '!P18,2)</f>
        <v>181930.75</v>
      </c>
      <c r="E20" s="55">
        <f>ROUND(+'PART MES'!$E$6*+'CALCULO GARANTIA'!F19,2)</f>
        <v>403217.44</v>
      </c>
      <c r="F20" s="55">
        <f>ROUND(+'PART MES'!$E$7*+'CALCULO GARANTIA'!H19,2)</f>
        <v>347943.19</v>
      </c>
      <c r="G20" s="55">
        <f>ROUND(+'CALCULO GARANTIA'!J19+'CALCULO GARANTIA'!Q19,2)</f>
        <v>432524.99</v>
      </c>
      <c r="H20" s="55">
        <f>ROUND(+'CALCULO GARANTIA'!K19+'CALCULO GARANTIA'!R19,2)</f>
        <v>77515.28</v>
      </c>
      <c r="I20" s="55">
        <f>ROUND(+'PART MES'!E$12*'COEF Art 14 F II ieps'!L21,2)</f>
        <v>108432.55</v>
      </c>
      <c r="J20" s="55">
        <f>+'ISR JUNIO '!D19</f>
        <v>0</v>
      </c>
      <c r="K20" s="55">
        <f>+ISAI!D17</f>
        <v>850.89834534794829</v>
      </c>
      <c r="L20" s="55">
        <f>ROUND('PART MES'!$N$4*'COEF Art 14 F I '!AF20,2)</f>
        <v>-218982.12</v>
      </c>
      <c r="M20" s="55">
        <f>ROUND('PART MES'!$N$5*'COEF Art 14 F I '!AF20,2)</f>
        <v>-114352.67</v>
      </c>
      <c r="N20" s="55">
        <f>ROUND('Art.14 Frac.III '!P88,2)</f>
        <v>-69182.210000000006</v>
      </c>
      <c r="O20" s="55">
        <f>ROUND('PART MES'!$N$6*'COEF Art 14 F I '!AF20,2)</f>
        <v>-54306.42</v>
      </c>
      <c r="P20" s="55">
        <f>ROUND('PART MES'!$R$4*'COEF Art 14 F I '!AF20,2)</f>
        <v>-24136.42</v>
      </c>
      <c r="Q20" s="186">
        <f t="shared" si="0"/>
        <v>14643520.688345347</v>
      </c>
    </row>
    <row r="21" spans="1:17">
      <c r="A21" s="149" t="s">
        <v>15</v>
      </c>
      <c r="B21" s="55">
        <f>ROUND(+'PART MES'!$E$4*+'CALCULO GARANTIA'!B20,2)</f>
        <v>1519356.35</v>
      </c>
      <c r="C21" s="55">
        <f>ROUND(+'PART MES'!$E$5*+'CALCULO GARANTIA'!D20,2)</f>
        <v>202089.22</v>
      </c>
      <c r="D21" s="55">
        <f>ROUND(+'Art.14 Frac.III '!P19,2)</f>
        <v>184309.57</v>
      </c>
      <c r="E21" s="55">
        <f>ROUND(+'PART MES'!$E$6*+'CALCULO GARANTIA'!F20,2)</f>
        <v>51143.05</v>
      </c>
      <c r="F21" s="55">
        <f>ROUND(+'PART MES'!$E$7*+'CALCULO GARANTIA'!H20,2)</f>
        <v>44132.21</v>
      </c>
      <c r="G21" s="55">
        <f>ROUND(+'CALCULO GARANTIA'!J20+'CALCULO GARANTIA'!Q20,2)</f>
        <v>56300.82</v>
      </c>
      <c r="H21" s="55">
        <f>ROUND(+'CALCULO GARANTIA'!K20+'CALCULO GARANTIA'!R20,2)</f>
        <v>9867.5499999999993</v>
      </c>
      <c r="I21" s="55">
        <f>ROUND(+'PART MES'!E$12*'COEF Art 14 F II ieps'!L22,2)</f>
        <v>9176.9500000000007</v>
      </c>
      <c r="J21" s="55">
        <f>+'ISR JUNIO '!D20</f>
        <v>0</v>
      </c>
      <c r="K21" s="55">
        <f>+ISAI!D18</f>
        <v>176.80304467148679</v>
      </c>
      <c r="L21" s="55">
        <f>ROUND('PART MES'!$N$4*'COEF Art 14 F I '!AF21,2)</f>
        <v>-31714.3</v>
      </c>
      <c r="M21" s="55">
        <f>ROUND('PART MES'!$N$5*'COEF Art 14 F I '!AF21,2)</f>
        <v>-16561.240000000002</v>
      </c>
      <c r="N21" s="55">
        <f>ROUND('Art.14 Frac.III '!P89,2)</f>
        <v>-70593.710000000006</v>
      </c>
      <c r="O21" s="55">
        <f>ROUND('PART MES'!$N$6*'COEF Art 14 F I '!AF21,2)</f>
        <v>-7864.98</v>
      </c>
      <c r="P21" s="55">
        <f>ROUND('PART MES'!$R$4*'COEF Art 14 F I '!AF21,2)</f>
        <v>-3495.58</v>
      </c>
      <c r="Q21" s="186">
        <f t="shared" si="0"/>
        <v>1946322.7130446716</v>
      </c>
    </row>
    <row r="22" spans="1:17">
      <c r="A22" s="149" t="s">
        <v>16</v>
      </c>
      <c r="B22" s="55">
        <f>ROUND(+'PART MES'!$E$4*+'CALCULO GARANTIA'!B21,2)</f>
        <v>1064962.03</v>
      </c>
      <c r="C22" s="55">
        <f>ROUND(+'PART MES'!$E$5*+'CALCULO GARANTIA'!D21,2)</f>
        <v>141650.34</v>
      </c>
      <c r="D22" s="55">
        <f>ROUND(+'Art.14 Frac.III '!P20,2)</f>
        <v>608815.28</v>
      </c>
      <c r="E22" s="55">
        <f>ROUND(+'PART MES'!$E$6*+'CALCULO GARANTIA'!F21,2)</f>
        <v>35847.69</v>
      </c>
      <c r="F22" s="55">
        <f>ROUND(+'PART MES'!$E$7*+'CALCULO GARANTIA'!H21,2)</f>
        <v>30933.58</v>
      </c>
      <c r="G22" s="55">
        <f>ROUND(+'CALCULO GARANTIA'!J21+'CALCULO GARANTIA'!Q21,2)</f>
        <v>39706.839999999997</v>
      </c>
      <c r="H22" s="55">
        <f>ROUND(+'CALCULO GARANTIA'!K21+'CALCULO GARANTIA'!R21,2)</f>
        <v>6922.51</v>
      </c>
      <c r="I22" s="55">
        <f>ROUND(+'PART MES'!E$12*'COEF Art 14 F II ieps'!L23,2)</f>
        <v>10292.76</v>
      </c>
      <c r="J22" s="55">
        <f>+'ISR JUNIO '!D21</f>
        <v>107065</v>
      </c>
      <c r="K22" s="55">
        <f>+ISAI!D19</f>
        <v>3276.8504645045587</v>
      </c>
      <c r="L22" s="55">
        <f>ROUND('PART MES'!$N$4*'COEF Art 14 F I '!AF22,2)</f>
        <v>-22896.51</v>
      </c>
      <c r="M22" s="55">
        <f>ROUND('PART MES'!$N$5*'COEF Art 14 F I '!AF22,2)</f>
        <v>-11956.58</v>
      </c>
      <c r="N22" s="55">
        <f>ROUND('Art.14 Frac.III '!P90,2)</f>
        <v>-231803.11</v>
      </c>
      <c r="O22" s="55">
        <f>ROUND('PART MES'!$N$6*'COEF Art 14 F I '!AF22,2)</f>
        <v>-5678.22</v>
      </c>
      <c r="P22" s="55">
        <f>ROUND('PART MES'!$R$4*'COEF Art 14 F I '!AF22,2)</f>
        <v>-2523.6799999999998</v>
      </c>
      <c r="Q22" s="186">
        <f t="shared" si="0"/>
        <v>1774614.7804645048</v>
      </c>
    </row>
    <row r="23" spans="1:17">
      <c r="A23" s="149" t="s">
        <v>17</v>
      </c>
      <c r="B23" s="55">
        <f>ROUND(+'PART MES'!$E$4*+'CALCULO GARANTIA'!B22,2)</f>
        <v>9279144.3000000007</v>
      </c>
      <c r="C23" s="55">
        <f>ROUND(+'PART MES'!$E$5*+'CALCULO GARANTIA'!D22,2)</f>
        <v>1234216.77</v>
      </c>
      <c r="D23" s="55">
        <f>ROUND(+'Art.14 Frac.III '!P21,2)</f>
        <v>112017.15</v>
      </c>
      <c r="E23" s="55">
        <f>ROUND(+'PART MES'!$E$6*+'CALCULO GARANTIA'!F22,2)</f>
        <v>312345.28000000003</v>
      </c>
      <c r="F23" s="55">
        <f>ROUND(+'PART MES'!$E$7*+'CALCULO GARANTIA'!H22,2)</f>
        <v>269528.06</v>
      </c>
      <c r="G23" s="55">
        <f>ROUND(+'CALCULO GARANTIA'!J22+'CALCULO GARANTIA'!Q22,2)</f>
        <v>347772.48</v>
      </c>
      <c r="H23" s="55">
        <f>ROUND(+'CALCULO GARANTIA'!K22+'CALCULO GARANTIA'!R22,2)</f>
        <v>60361.32</v>
      </c>
      <c r="I23" s="55">
        <f>ROUND(+'PART MES'!E$12*'COEF Art 14 F II ieps'!L24,2)</f>
        <v>115952.13</v>
      </c>
      <c r="J23" s="55">
        <f>+'ISR JUNIO '!D22</f>
        <v>504462</v>
      </c>
      <c r="K23" s="55">
        <f>+ISAI!D20</f>
        <v>5007.5176446088053</v>
      </c>
      <c r="L23" s="55">
        <f>ROUND('PART MES'!$N$4*'COEF Art 14 F I '!AF23,2)</f>
        <v>-204427.81</v>
      </c>
      <c r="M23" s="55">
        <f>ROUND('PART MES'!$N$5*'COEF Art 14 F I '!AF23,2)</f>
        <v>-106752.39</v>
      </c>
      <c r="N23" s="55">
        <f>ROUND('Art.14 Frac.III '!P91,2)</f>
        <v>-42861.9</v>
      </c>
      <c r="O23" s="55">
        <f>ROUND('PART MES'!$N$6*'COEF Art 14 F I '!AF23,2)</f>
        <v>-50697.03</v>
      </c>
      <c r="P23" s="55">
        <f>ROUND('PART MES'!$R$4*'COEF Art 14 F I '!AF23,2)</f>
        <v>-22532.23</v>
      </c>
      <c r="Q23" s="186">
        <f t="shared" si="0"/>
        <v>11813535.647644609</v>
      </c>
    </row>
    <row r="24" spans="1:17">
      <c r="A24" s="149" t="s">
        <v>18</v>
      </c>
      <c r="B24" s="55">
        <f>ROUND(+'PART MES'!$E$4*+'CALCULO GARANTIA'!B23,2)</f>
        <v>11487639.359999999</v>
      </c>
      <c r="C24" s="55">
        <f>ROUND(+'PART MES'!$E$5*+'CALCULO GARANTIA'!D23,2)</f>
        <v>1527968.17</v>
      </c>
      <c r="D24" s="55">
        <f>ROUND(+'Art.14 Frac.III '!P22,2)</f>
        <v>380751.61</v>
      </c>
      <c r="E24" s="55">
        <f>ROUND(+'PART MES'!$E$6*+'CALCULO GARANTIA'!F23,2)</f>
        <v>386685.43</v>
      </c>
      <c r="F24" s="55">
        <f>ROUND(+'PART MES'!$E$7*+'CALCULO GARANTIA'!H23,2)</f>
        <v>333677.44</v>
      </c>
      <c r="G24" s="55">
        <f>ROUND(+'CALCULO GARANTIA'!J23+'CALCULO GARANTIA'!Q23,2)</f>
        <v>638038.92000000004</v>
      </c>
      <c r="H24" s="55">
        <f>ROUND(+'CALCULO GARANTIA'!K23+'CALCULO GARANTIA'!R23,2)</f>
        <v>79872.070000000007</v>
      </c>
      <c r="I24" s="55">
        <f>ROUND(+'PART MES'!E$12*'COEF Art 14 F II ieps'!L25,2)</f>
        <v>776476.77</v>
      </c>
      <c r="J24" s="55">
        <f>+'ISR JUNIO '!D23</f>
        <v>16640718</v>
      </c>
      <c r="K24" s="55">
        <f>+ISAI!D21</f>
        <v>1061285.0540866563</v>
      </c>
      <c r="L24" s="55">
        <f>ROUND('PART MES'!$N$4*'COEF Art 14 F I '!AF24,2)</f>
        <v>-820503.93</v>
      </c>
      <c r="M24" s="55">
        <f>ROUND('PART MES'!$N$5*'COEF Art 14 F I '!AF24,2)</f>
        <v>-428467.93</v>
      </c>
      <c r="N24" s="55">
        <f>ROUND('Art.14 Frac.III '!P92,2)</f>
        <v>-146697.87</v>
      </c>
      <c r="O24" s="55">
        <f>ROUND('PART MES'!$N$6*'COEF Art 14 F I '!AF24,2)</f>
        <v>-203480.68</v>
      </c>
      <c r="P24" s="55">
        <f>ROUND('PART MES'!$R$4*'COEF Art 14 F I '!AF24,2)</f>
        <v>-90436.75</v>
      </c>
      <c r="Q24" s="186">
        <f t="shared" si="0"/>
        <v>31623525.664086651</v>
      </c>
    </row>
    <row r="25" spans="1:17">
      <c r="A25" s="149" t="s">
        <v>19</v>
      </c>
      <c r="B25" s="55">
        <f>ROUND(+'PART MES'!$E$4*+'CALCULO GARANTIA'!B24,2)</f>
        <v>1783454.75</v>
      </c>
      <c r="C25" s="55">
        <f>ROUND(+'PART MES'!$E$5*+'CALCULO GARANTIA'!D24,2)</f>
        <v>237216.89</v>
      </c>
      <c r="D25" s="55">
        <f>ROUND(+'Art.14 Frac.III '!P23,2)</f>
        <v>2067648.62</v>
      </c>
      <c r="E25" s="55">
        <f>ROUND(+'PART MES'!$E$6*+'CALCULO GARANTIA'!F24,2)</f>
        <v>60032.87</v>
      </c>
      <c r="F25" s="55">
        <f>ROUND(+'PART MES'!$E$7*+'CALCULO GARANTIA'!H24,2)</f>
        <v>51803.39</v>
      </c>
      <c r="G25" s="55">
        <f>ROUND(+'CALCULO GARANTIA'!J24+'CALCULO GARANTIA'!Q24,2)</f>
        <v>78137.850000000006</v>
      </c>
      <c r="H25" s="55">
        <f>ROUND(+'CALCULO GARANTIA'!K24+'CALCULO GARANTIA'!R24,2)</f>
        <v>11881.52</v>
      </c>
      <c r="I25" s="55">
        <f>ROUND(+'PART MES'!E$12*'COEF Art 14 F II ieps'!L26,2)</f>
        <v>24250</v>
      </c>
      <c r="J25" s="55">
        <f>+'ISR JUNIO '!D24</f>
        <v>0</v>
      </c>
      <c r="K25" s="55">
        <f>+ISAI!D22</f>
        <v>1995.985752125385</v>
      </c>
      <c r="L25" s="55">
        <f>ROUND('PART MES'!$N$4*'COEF Art 14 F I '!AF25,2)</f>
        <v>-70181.13</v>
      </c>
      <c r="M25" s="55">
        <f>ROUND('PART MES'!$N$5*'COEF Art 14 F I '!AF25,2)</f>
        <v>-36648.65</v>
      </c>
      <c r="N25" s="55">
        <f>ROUND('Art.14 Frac.III '!P93,2)</f>
        <v>-783220.07</v>
      </c>
      <c r="O25" s="55">
        <f>ROUND('PART MES'!$N$6*'COEF Art 14 F I '!AF25,2)</f>
        <v>-17404.55</v>
      </c>
      <c r="P25" s="55">
        <f>ROUND('PART MES'!$R$4*'COEF Art 14 F I '!AF25,2)</f>
        <v>-7735.43</v>
      </c>
      <c r="Q25" s="186">
        <f t="shared" si="0"/>
        <v>3401232.0457521249</v>
      </c>
    </row>
    <row r="26" spans="1:17">
      <c r="A26" s="149" t="s">
        <v>20</v>
      </c>
      <c r="B26" s="55">
        <f>ROUND(+'PART MES'!$E$4*+'CALCULO GARANTIA'!B25,2)</f>
        <v>24378770.969999999</v>
      </c>
      <c r="C26" s="55">
        <f>ROUND(+'PART MES'!$E$5*+'CALCULO GARANTIA'!D25,2)</f>
        <v>3242614.5</v>
      </c>
      <c r="D26" s="55">
        <f>ROUND(+'Art.14 Frac.III '!P24,2)</f>
        <v>526262.84</v>
      </c>
      <c r="E26" s="55">
        <f>ROUND(+'PART MES'!$E$6*+'CALCULO GARANTIA'!F25,2)</f>
        <v>820613.82</v>
      </c>
      <c r="F26" s="55">
        <f>ROUND(+'PART MES'!$E$7*+'CALCULO GARANTIA'!H25,2)</f>
        <v>708121.62</v>
      </c>
      <c r="G26" s="55">
        <f>ROUND(+'CALCULO GARANTIA'!J25+'CALCULO GARANTIA'!Q25,2)</f>
        <v>1147602.08</v>
      </c>
      <c r="H26" s="55">
        <f>ROUND(+'CALCULO GARANTIA'!K25+'CALCULO GARANTIA'!R25,2)</f>
        <v>164384.51</v>
      </c>
      <c r="I26" s="55">
        <f>ROUND(+'PART MES'!E$12*'COEF Art 14 F II ieps'!L27,2)</f>
        <v>1063022.95</v>
      </c>
      <c r="J26" s="55">
        <f>+'ISR JUNIO '!D25</f>
        <v>3049327</v>
      </c>
      <c r="K26" s="55">
        <f>+ISAI!D23</f>
        <v>540492.25264196412</v>
      </c>
      <c r="L26" s="55">
        <f>ROUND('PART MES'!$N$4*'COEF Art 14 F I '!AF26,2)</f>
        <v>-1176748.47</v>
      </c>
      <c r="M26" s="55">
        <f>ROUND('PART MES'!$N$5*'COEF Art 14 F I '!AF26,2)</f>
        <v>-614499.16</v>
      </c>
      <c r="N26" s="55">
        <f>ROUND('Art.14 Frac.III '!P94,2)</f>
        <v>-202936.57</v>
      </c>
      <c r="O26" s="55">
        <f>ROUND('PART MES'!$N$6*'COEF Art 14 F I '!AF26,2)</f>
        <v>-291827.46000000002</v>
      </c>
      <c r="P26" s="55">
        <f>ROUND('PART MES'!$R$4*'COEF Art 14 F I '!AF26,2)</f>
        <v>-129702.37</v>
      </c>
      <c r="Q26" s="186">
        <f t="shared" si="0"/>
        <v>33225498.512641963</v>
      </c>
    </row>
    <row r="27" spans="1:17">
      <c r="A27" s="149" t="s">
        <v>21</v>
      </c>
      <c r="B27" s="55">
        <f>ROUND(+'PART MES'!$E$4*+'CALCULO GARANTIA'!B26,2)</f>
        <v>3599433.39</v>
      </c>
      <c r="C27" s="55">
        <f>ROUND(+'PART MES'!$E$5*+'CALCULO GARANTIA'!D26,2)</f>
        <v>478759.78</v>
      </c>
      <c r="D27" s="55">
        <f>ROUND(+'Art.14 Frac.III '!P25,2)</f>
        <v>351327.27</v>
      </c>
      <c r="E27" s="55">
        <f>ROUND(+'PART MES'!$E$6*+'CALCULO GARANTIA'!F26,2)</f>
        <v>121160.53</v>
      </c>
      <c r="F27" s="55">
        <f>ROUND(+'PART MES'!$E$7*+'CALCULO GARANTIA'!H26,2)</f>
        <v>104551.48</v>
      </c>
      <c r="G27" s="55">
        <f>ROUND(+'CALCULO GARANTIA'!J26+'CALCULO GARANTIA'!Q26,2)</f>
        <v>140512.06</v>
      </c>
      <c r="H27" s="55">
        <f>ROUND(+'CALCULO GARANTIA'!K26+'CALCULO GARANTIA'!R26,2)</f>
        <v>23553.57</v>
      </c>
      <c r="I27" s="55">
        <f>ROUND(+'PART MES'!E$12*'COEF Art 14 F II ieps'!L28,2)</f>
        <v>45532.75</v>
      </c>
      <c r="J27" s="55">
        <f>+'ISR JUNIO '!D26</f>
        <v>271779</v>
      </c>
      <c r="K27" s="55">
        <f>+ISAI!D24</f>
        <v>17351.596476509421</v>
      </c>
      <c r="L27" s="55">
        <f>ROUND('PART MES'!$N$4*'COEF Art 14 F I '!AF27,2)</f>
        <v>-94637.6</v>
      </c>
      <c r="M27" s="55">
        <f>ROUND('PART MES'!$N$5*'COEF Art 14 F I '!AF27,2)</f>
        <v>-49419.85</v>
      </c>
      <c r="N27" s="55">
        <f>ROUND('Art.14 Frac.III '!P95,2)</f>
        <v>-134283.5</v>
      </c>
      <c r="O27" s="55">
        <f>ROUND('PART MES'!$N$6*'COEF Art 14 F I '!AF27,2)</f>
        <v>-23469.63</v>
      </c>
      <c r="P27" s="55">
        <f>ROUND('PART MES'!$R$4*'COEF Art 14 F I '!AF27,2)</f>
        <v>-10431.049999999999</v>
      </c>
      <c r="Q27" s="186">
        <f t="shared" si="0"/>
        <v>4841719.7964765104</v>
      </c>
    </row>
    <row r="28" spans="1:17">
      <c r="A28" s="149" t="s">
        <v>22</v>
      </c>
      <c r="B28" s="55">
        <f>ROUND(+'PART MES'!$E$4*+'CALCULO GARANTIA'!B27,2)</f>
        <v>586077.43000000005</v>
      </c>
      <c r="C28" s="55">
        <f>ROUND(+'PART MES'!$E$5*+'CALCULO GARANTIA'!D27,2)</f>
        <v>77954.02</v>
      </c>
      <c r="D28" s="55">
        <f>ROUND(+'Art.14 Frac.III '!P26,2)</f>
        <v>236910.42</v>
      </c>
      <c r="E28" s="55">
        <f>ROUND(+'PART MES'!$E$6*+'CALCULO GARANTIA'!F27,2)</f>
        <v>19727.95</v>
      </c>
      <c r="F28" s="55">
        <f>ROUND(+'PART MES'!$E$7*+'CALCULO GARANTIA'!H27,2)</f>
        <v>17023.59</v>
      </c>
      <c r="G28" s="55">
        <f>ROUND(+'CALCULO GARANTIA'!J27+'CALCULO GARANTIA'!Q27,2)</f>
        <v>24027.58</v>
      </c>
      <c r="H28" s="55">
        <f>ROUND(+'CALCULO GARANTIA'!K27+'CALCULO GARANTIA'!R27,2)</f>
        <v>3863.59</v>
      </c>
      <c r="I28" s="55">
        <f>ROUND(+'PART MES'!E$12*'COEF Art 14 F II ieps'!L29,2)</f>
        <v>6327.52</v>
      </c>
      <c r="J28" s="55">
        <f>+'ISR JUNIO '!D27</f>
        <v>0</v>
      </c>
      <c r="K28" s="55">
        <f>+ISAI!D25</f>
        <v>167.32428195200202</v>
      </c>
      <c r="L28" s="55">
        <f>ROUND('PART MES'!$N$4*'COEF Art 14 F I '!AF28,2)</f>
        <v>-18550.669999999998</v>
      </c>
      <c r="M28" s="55">
        <f>ROUND('PART MES'!$N$5*'COEF Art 14 F I '!AF28,2)</f>
        <v>-9687.18</v>
      </c>
      <c r="N28" s="55">
        <f>ROUND('Art.14 Frac.III '!P96,2)</f>
        <v>-90765.23</v>
      </c>
      <c r="O28" s="55">
        <f>ROUND('PART MES'!$N$6*'COEF Art 14 F I '!AF28,2)</f>
        <v>-4600.47</v>
      </c>
      <c r="P28" s="55">
        <f>ROUND('PART MES'!$R$4*'COEF Art 14 F I '!AF28,2)</f>
        <v>-2044.67</v>
      </c>
      <c r="Q28" s="186">
        <f t="shared" si="0"/>
        <v>846431.20428195188</v>
      </c>
    </row>
    <row r="29" spans="1:17">
      <c r="A29" s="149" t="s">
        <v>23</v>
      </c>
      <c r="B29" s="55">
        <f>ROUND(+'PART MES'!$E$4*+'CALCULO GARANTIA'!B28,2)</f>
        <v>2677316.62</v>
      </c>
      <c r="C29" s="55">
        <f>ROUND(+'PART MES'!$E$5*+'CALCULO GARANTIA'!D28,2)</f>
        <v>356109.24</v>
      </c>
      <c r="D29" s="55">
        <f>ROUND(+'Art.14 Frac.III '!P27,2)</f>
        <v>153157.64000000001</v>
      </c>
      <c r="E29" s="55">
        <f>ROUND(+'PART MES'!$E$6*+'CALCULO GARANTIA'!F28,2)</f>
        <v>90121.16</v>
      </c>
      <c r="F29" s="55">
        <f>ROUND(+'PART MES'!$E$7*+'CALCULO GARANTIA'!H28,2)</f>
        <v>77767.08</v>
      </c>
      <c r="G29" s="55">
        <f>ROUND(+'CALCULO GARANTIA'!J28+'CALCULO GARANTIA'!Q28,2)</f>
        <v>98178.01</v>
      </c>
      <c r="H29" s="55">
        <f>ROUND(+'CALCULO GARANTIA'!K28+'CALCULO GARANTIA'!R28,2)</f>
        <v>17362.41</v>
      </c>
      <c r="I29" s="55">
        <f>ROUND(+'PART MES'!E$12*'COEF Art 14 F II ieps'!L30,2)</f>
        <v>21886.880000000001</v>
      </c>
      <c r="J29" s="55">
        <f>+'ISR JUNIO '!D28</f>
        <v>0</v>
      </c>
      <c r="K29" s="55">
        <f>+ISAI!D26</f>
        <v>15.497666198405556</v>
      </c>
      <c r="L29" s="55">
        <f>ROUND('PART MES'!$N$4*'COEF Art 14 F I '!AF29,2)</f>
        <v>-53063.27</v>
      </c>
      <c r="M29" s="55">
        <f>ROUND('PART MES'!$N$5*'COEF Art 14 F I '!AF29,2)</f>
        <v>-27709.69</v>
      </c>
      <c r="N29" s="55">
        <f>ROUND('Art.14 Frac.III '!P97,2)</f>
        <v>-58228.7</v>
      </c>
      <c r="O29" s="55">
        <f>ROUND('PART MES'!$N$6*'COEF Art 14 F I '!AF29,2)</f>
        <v>-13159.41</v>
      </c>
      <c r="P29" s="55">
        <f>ROUND('PART MES'!$R$4*'COEF Art 14 F I '!AF29,2)</f>
        <v>-5848.69</v>
      </c>
      <c r="Q29" s="186">
        <f t="shared" si="0"/>
        <v>3333904.7776661986</v>
      </c>
    </row>
    <row r="30" spans="1:17">
      <c r="A30" s="149" t="s">
        <v>24</v>
      </c>
      <c r="B30" s="55">
        <f>ROUND(+'PART MES'!$E$4*+'CALCULO GARANTIA'!B29,2)</f>
        <v>2662647.21</v>
      </c>
      <c r="C30" s="55">
        <f>ROUND(+'PART MES'!$E$5*+'CALCULO GARANTIA'!D29,2)</f>
        <v>354158.07</v>
      </c>
      <c r="D30" s="55">
        <f>ROUND(+'Art.14 Frac.III '!P28,2)</f>
        <v>312810.27</v>
      </c>
      <c r="E30" s="55">
        <f>ROUND(+'PART MES'!$E$6*+'CALCULO GARANTIA'!F29,2)</f>
        <v>89627.37</v>
      </c>
      <c r="F30" s="55">
        <f>ROUND(+'PART MES'!$E$7*+'CALCULO GARANTIA'!H29,2)</f>
        <v>77340.98</v>
      </c>
      <c r="G30" s="55">
        <f>ROUND(+'CALCULO GARANTIA'!J29+'CALCULO GARANTIA'!Q29,2)</f>
        <v>150180.18</v>
      </c>
      <c r="H30" s="55">
        <f>ROUND(+'CALCULO GARANTIA'!K29+'CALCULO GARANTIA'!R29,2)</f>
        <v>18569.89</v>
      </c>
      <c r="I30" s="55">
        <f>ROUND(+'PART MES'!E$12*'COEF Art 14 F II ieps'!L31,2)</f>
        <v>209812.87</v>
      </c>
      <c r="J30" s="55">
        <f>+'ISR JUNIO '!D29</f>
        <v>0</v>
      </c>
      <c r="K30" s="55">
        <f>+ISAI!D27</f>
        <v>24425.42013021652</v>
      </c>
      <c r="L30" s="55">
        <f>ROUND('PART MES'!$N$4*'COEF Art 14 F I '!AF30,2)</f>
        <v>-196450.42</v>
      </c>
      <c r="M30" s="55">
        <f>ROUND('PART MES'!$N$5*'COEF Art 14 F I '!AF30,2)</f>
        <v>-102586.59</v>
      </c>
      <c r="N30" s="55">
        <f>ROUND('Art.14 Frac.III '!P98,2)</f>
        <v>-119023.42</v>
      </c>
      <c r="O30" s="55">
        <f>ROUND('PART MES'!$N$6*'COEF Art 14 F I '!AF30,2)</f>
        <v>-48718.67</v>
      </c>
      <c r="P30" s="55">
        <f>ROUND('PART MES'!$R$4*'COEF Art 14 F I '!AF30,2)</f>
        <v>-21652.959999999999</v>
      </c>
      <c r="Q30" s="186">
        <f t="shared" si="0"/>
        <v>3411140.2001302172</v>
      </c>
    </row>
    <row r="31" spans="1:17">
      <c r="A31" s="149" t="s">
        <v>25</v>
      </c>
      <c r="B31" s="55">
        <f>ROUND(+'PART MES'!$E$4*+'CALCULO GARANTIA'!B30,2)</f>
        <v>41695368.479999997</v>
      </c>
      <c r="C31" s="55">
        <f>ROUND(+'PART MES'!$E$5*+'CALCULO GARANTIA'!D30,2)</f>
        <v>5545891</v>
      </c>
      <c r="D31" s="55">
        <f>ROUND(+'Art.14 Frac.III '!P29,2)</f>
        <v>549098.81999999995</v>
      </c>
      <c r="E31" s="55">
        <f>ROUND(+'PART MES'!$E$6*+'CALCULO GARANTIA'!F30,2)</f>
        <v>1403507.81</v>
      </c>
      <c r="F31" s="55">
        <f>ROUND(+'PART MES'!$E$7*+'CALCULO GARANTIA'!H30,2)</f>
        <v>1211110.77</v>
      </c>
      <c r="G31" s="55">
        <f>ROUND(+'CALCULO GARANTIA'!J30+'CALCULO GARANTIA'!Q30,2)</f>
        <v>1734222.37</v>
      </c>
      <c r="H31" s="55">
        <f>ROUND(+'CALCULO GARANTIA'!K30+'CALCULO GARANTIA'!R30,2)</f>
        <v>275483.13</v>
      </c>
      <c r="I31" s="55">
        <f>ROUND(+'PART MES'!E$12*'COEF Art 14 F II ieps'!L32,2)</f>
        <v>1456477.73</v>
      </c>
      <c r="J31" s="55">
        <f>+'ISR JUNIO '!D30</f>
        <v>21469999</v>
      </c>
      <c r="K31" s="55">
        <f>+ISAI!D28</f>
        <v>643324.3057324104</v>
      </c>
      <c r="L31" s="55">
        <f>ROUND('PART MES'!$N$4*'COEF Art 14 F I '!AF31,2)</f>
        <v>-1387641.88</v>
      </c>
      <c r="M31" s="55">
        <f>ROUND('PART MES'!$N$5*'COEF Art 14 F I '!AF31,2)</f>
        <v>-724627.9</v>
      </c>
      <c r="N31" s="55">
        <f>ROUND('Art.14 Frac.III '!P99,2)</f>
        <v>-212893.99</v>
      </c>
      <c r="O31" s="55">
        <f>ROUND('PART MES'!$N$6*'COEF Art 14 F I '!AF31,2)</f>
        <v>-344127.92</v>
      </c>
      <c r="P31" s="55">
        <f>ROUND('PART MES'!$R$4*'COEF Art 14 F I '!AF31,2)</f>
        <v>-152947.25</v>
      </c>
      <c r="Q31" s="186">
        <f t="shared" si="0"/>
        <v>73162244.475732416</v>
      </c>
    </row>
    <row r="32" spans="1:17">
      <c r="A32" s="149" t="s">
        <v>26</v>
      </c>
      <c r="B32" s="55">
        <f>ROUND(+'PART MES'!$E$4*+'CALCULO GARANTIA'!B31,2)</f>
        <v>1073638.6200000001</v>
      </c>
      <c r="C32" s="55">
        <f>ROUND(+'PART MES'!$E$5*+'CALCULO GARANTIA'!D31,2)</f>
        <v>142804.42000000001</v>
      </c>
      <c r="D32" s="55">
        <f>ROUND(+'Art.14 Frac.III '!P30,2)</f>
        <v>179947.45</v>
      </c>
      <c r="E32" s="55">
        <f>ROUND(+'PART MES'!$E$6*+'CALCULO GARANTIA'!F31,2)</f>
        <v>36139.75</v>
      </c>
      <c r="F32" s="55">
        <f>ROUND(+'PART MES'!$E$7*+'CALCULO GARANTIA'!H31,2)</f>
        <v>31185.599999999999</v>
      </c>
      <c r="G32" s="55">
        <f>ROUND(+'CALCULO GARANTIA'!J31+'CALCULO GARANTIA'!Q31,2)</f>
        <v>38659.800000000003</v>
      </c>
      <c r="H32" s="55">
        <f>ROUND(+'CALCULO GARANTIA'!K31+'CALCULO GARANTIA'!R31,2)</f>
        <v>6944.93</v>
      </c>
      <c r="I32" s="55">
        <f>ROUND(+'PART MES'!E$12*'COEF Art 14 F II ieps'!L33,2)</f>
        <v>7331.44</v>
      </c>
      <c r="J32" s="55">
        <f>+'ISR JUNIO '!D31</f>
        <v>0</v>
      </c>
      <c r="K32" s="55">
        <f>+ISAI!D29</f>
        <v>123.36394858884712</v>
      </c>
      <c r="L32" s="55">
        <f>ROUND('PART MES'!$N$4*'COEF Art 14 F I '!AF32,2)</f>
        <v>-19335.12</v>
      </c>
      <c r="M32" s="55">
        <f>ROUND('PART MES'!$N$5*'COEF Art 14 F I '!AF32,2)</f>
        <v>-10096.82</v>
      </c>
      <c r="N32" s="55">
        <f>ROUND('Art.14 Frac.III '!P100,2)</f>
        <v>-69240.38</v>
      </c>
      <c r="O32" s="55">
        <f>ROUND('PART MES'!$N$6*'COEF Art 14 F I '!AF32,2)</f>
        <v>-4795.01</v>
      </c>
      <c r="P32" s="55">
        <f>ROUND('PART MES'!$R$4*'COEF Art 14 F I '!AF32,2)</f>
        <v>-2131.14</v>
      </c>
      <c r="Q32" s="186">
        <f t="shared" si="0"/>
        <v>1411176.9039485888</v>
      </c>
    </row>
    <row r="33" spans="1:17">
      <c r="A33" s="149" t="s">
        <v>27</v>
      </c>
      <c r="B33" s="55">
        <f>ROUND(+'PART MES'!$E$4*+'CALCULO GARANTIA'!B32,2)</f>
        <v>1848102.86</v>
      </c>
      <c r="C33" s="55">
        <f>ROUND(+'PART MES'!$E$5*+'CALCULO GARANTIA'!D32,2)</f>
        <v>245815.72</v>
      </c>
      <c r="D33" s="55">
        <f>ROUND(+'Art.14 Frac.III '!P31,2)</f>
        <v>153348.82</v>
      </c>
      <c r="E33" s="55">
        <f>ROUND(+'PART MES'!$E$6*+'CALCULO GARANTIA'!F32,2)</f>
        <v>62208.99</v>
      </c>
      <c r="F33" s="55">
        <f>ROUND(+'PART MES'!$E$7*+'CALCULO GARANTIA'!H32,2)</f>
        <v>53681.2</v>
      </c>
      <c r="G33" s="55">
        <f>ROUND(+'CALCULO GARANTIA'!J32+'CALCULO GARANTIA'!Q32,2)</f>
        <v>67801.7</v>
      </c>
      <c r="H33" s="55">
        <f>ROUND(+'CALCULO GARANTIA'!K32+'CALCULO GARANTIA'!R32,2)</f>
        <v>11985.73</v>
      </c>
      <c r="I33" s="55">
        <f>ROUND(+'PART MES'!E$12*'COEF Art 14 F II ieps'!L34,2)</f>
        <v>35141.480000000003</v>
      </c>
      <c r="J33" s="55">
        <f>+'ISR JUNIO '!D32</f>
        <v>449585</v>
      </c>
      <c r="K33" s="55">
        <f>+ISAI!D30</f>
        <v>718.63965541702078</v>
      </c>
      <c r="L33" s="55">
        <f>ROUND('PART MES'!$N$4*'COEF Art 14 F I '!AF33,2)</f>
        <v>-36713.96</v>
      </c>
      <c r="M33" s="55">
        <f>ROUND('PART MES'!$N$5*'COEF Art 14 F I '!AF33,2)</f>
        <v>-19172.060000000001</v>
      </c>
      <c r="N33" s="55">
        <f>ROUND('Art.14 Frac.III '!P101,2)</f>
        <v>-58945.23</v>
      </c>
      <c r="O33" s="55">
        <f>ROUND('PART MES'!$N$6*'COEF Art 14 F I '!AF33,2)</f>
        <v>-9104.8700000000008</v>
      </c>
      <c r="P33" s="55">
        <f>ROUND('PART MES'!$R$4*'COEF Art 14 F I '!AF33,2)</f>
        <v>-4046.65</v>
      </c>
      <c r="Q33" s="186">
        <f t="shared" si="0"/>
        <v>2800407.3696554173</v>
      </c>
    </row>
    <row r="34" spans="1:17">
      <c r="A34" s="149" t="s">
        <v>28</v>
      </c>
      <c r="B34" s="55">
        <f>ROUND(+'PART MES'!$E$4*+'CALCULO GARANTIA'!B33,2)</f>
        <v>1060670.3400000001</v>
      </c>
      <c r="C34" s="55">
        <f>ROUND(+'PART MES'!$E$5*+'CALCULO GARANTIA'!D33,2)</f>
        <v>141079.51</v>
      </c>
      <c r="D34" s="55">
        <f>ROUND(+'Art.14 Frac.III '!P32,2)</f>
        <v>474453.51</v>
      </c>
      <c r="E34" s="55">
        <f>ROUND(+'PART MES'!$E$6*+'CALCULO GARANTIA'!F33,2)</f>
        <v>35703.22</v>
      </c>
      <c r="F34" s="55">
        <f>ROUND(+'PART MES'!$E$7*+'CALCULO GARANTIA'!H33,2)</f>
        <v>30808.92</v>
      </c>
      <c r="G34" s="55">
        <f>ROUND(+'CALCULO GARANTIA'!J33+'CALCULO GARANTIA'!Q33,2)</f>
        <v>41349.339999999997</v>
      </c>
      <c r="H34" s="55">
        <f>ROUND(+'CALCULO GARANTIA'!K33+'CALCULO GARANTIA'!R33,2)</f>
        <v>6939.3</v>
      </c>
      <c r="I34" s="55">
        <f>ROUND(+'PART MES'!E$12*'COEF Art 14 F II ieps'!L35,2)</f>
        <v>8275.5</v>
      </c>
      <c r="J34" s="55">
        <f>+'ISR JUNIO '!D33</f>
        <v>60027</v>
      </c>
      <c r="K34" s="55">
        <f>+ISAI!D31</f>
        <v>971.51179143200352</v>
      </c>
      <c r="L34" s="55">
        <f>ROUND('PART MES'!$N$4*'COEF Art 14 F I '!AF34,2)</f>
        <v>-27733.46</v>
      </c>
      <c r="M34" s="55">
        <f>ROUND('PART MES'!$N$5*'COEF Art 14 F I '!AF34,2)</f>
        <v>-14482.44</v>
      </c>
      <c r="N34" s="55">
        <f>ROUND('Art.14 Frac.III '!P102,2)</f>
        <v>-181811.84</v>
      </c>
      <c r="O34" s="55">
        <f>ROUND('PART MES'!$N$6*'COEF Art 14 F I '!AF34,2)</f>
        <v>-6877.75</v>
      </c>
      <c r="P34" s="55">
        <f>ROUND('PART MES'!$R$4*'COEF Art 14 F I '!AF34,2)</f>
        <v>-3056.81</v>
      </c>
      <c r="Q34" s="186">
        <f t="shared" si="0"/>
        <v>1626315.8517914321</v>
      </c>
    </row>
    <row r="35" spans="1:17">
      <c r="A35" s="149" t="s">
        <v>29</v>
      </c>
      <c r="B35" s="55">
        <f>ROUND(+'PART MES'!$E$4*+'CALCULO GARANTIA'!B34,2)</f>
        <v>1479518.02</v>
      </c>
      <c r="C35" s="55">
        <f>ROUND(+'PART MES'!$E$5*+'CALCULO GARANTIA'!D34,2)</f>
        <v>196790.34</v>
      </c>
      <c r="D35" s="55">
        <f>ROUND(+'Art.14 Frac.III '!P33,2)</f>
        <v>207347.94</v>
      </c>
      <c r="E35" s="55">
        <f>ROUND(+'PART MES'!$E$6*+'CALCULO GARANTIA'!F34,2)</f>
        <v>49802.06</v>
      </c>
      <c r="F35" s="55">
        <f>ROUND(+'PART MES'!$E$7*+'CALCULO GARANTIA'!H34,2)</f>
        <v>42975.040000000001</v>
      </c>
      <c r="G35" s="55">
        <f>ROUND(+'CALCULO GARANTIA'!J34+'CALCULO GARANTIA'!Q34,2)</f>
        <v>55385.26</v>
      </c>
      <c r="H35" s="55">
        <f>ROUND(+'CALCULO GARANTIA'!K34+'CALCULO GARANTIA'!R34,2)</f>
        <v>9622.7199999999993</v>
      </c>
      <c r="I35" s="55">
        <f>ROUND(+'PART MES'!E$12*'COEF Art 14 F II ieps'!L36,2)</f>
        <v>19392.88</v>
      </c>
      <c r="J35" s="55">
        <f>+'ISR JUNIO '!D34</f>
        <v>42309</v>
      </c>
      <c r="K35" s="55">
        <f>+ISAI!D32</f>
        <v>4396.7313276283385</v>
      </c>
      <c r="L35" s="55">
        <f>ROUND('PART MES'!$N$4*'COEF Art 14 F I '!AF35,2)</f>
        <v>-32415.96</v>
      </c>
      <c r="M35" s="55">
        <f>ROUND('PART MES'!$N$5*'COEF Art 14 F I '!AF35,2)</f>
        <v>-16927.64</v>
      </c>
      <c r="N35" s="55">
        <f>ROUND('Art.14 Frac.III '!P103,2)</f>
        <v>-79751.23</v>
      </c>
      <c r="O35" s="55">
        <f>ROUND('PART MES'!$N$6*'COEF Art 14 F I '!AF35,2)</f>
        <v>-8038.99</v>
      </c>
      <c r="P35" s="55">
        <f>ROUND('PART MES'!$R$4*'COEF Art 14 F I '!AF35,2)</f>
        <v>-3572.92</v>
      </c>
      <c r="Q35" s="186">
        <f t="shared" si="0"/>
        <v>1966833.2513276283</v>
      </c>
    </row>
    <row r="36" spans="1:17">
      <c r="A36" s="149" t="s">
        <v>30</v>
      </c>
      <c r="B36" s="55">
        <f>ROUND(+'PART MES'!$E$4*+'CALCULO GARANTIA'!B35,2)</f>
        <v>1409999.6</v>
      </c>
      <c r="C36" s="55">
        <f>ROUND(+'PART MES'!$E$5*+'CALCULO GARANTIA'!D35,2)</f>
        <v>187543.71</v>
      </c>
      <c r="D36" s="55">
        <f>ROUND(+'Art.14 Frac.III '!P34,2)</f>
        <v>196378.87</v>
      </c>
      <c r="E36" s="55">
        <f>ROUND(+'PART MES'!$E$6*+'CALCULO GARANTIA'!F35,2)</f>
        <v>47462</v>
      </c>
      <c r="F36" s="55">
        <f>ROUND(+'PART MES'!$E$7*+'CALCULO GARANTIA'!H35,2)</f>
        <v>40955.760000000002</v>
      </c>
      <c r="G36" s="55">
        <f>ROUND(+'CALCULO GARANTIA'!J35+'CALCULO GARANTIA'!Q35,2)</f>
        <v>53852.77</v>
      </c>
      <c r="H36" s="55">
        <f>ROUND(+'CALCULO GARANTIA'!K35+'CALCULO GARANTIA'!R35,2)</f>
        <v>9197.1</v>
      </c>
      <c r="I36" s="55">
        <f>ROUND(+'PART MES'!E$12*'COEF Art 14 F II ieps'!L37,2)</f>
        <v>13144.29</v>
      </c>
      <c r="J36" s="55">
        <f>+'ISR JUNIO '!D35</f>
        <v>33869</v>
      </c>
      <c r="K36" s="55">
        <f>+ISAI!D33</f>
        <v>85.145960080103677</v>
      </c>
      <c r="L36" s="55">
        <f>ROUND('PART MES'!$N$4*'COEF Art 14 F I '!AF36,2)</f>
        <v>-33818.629999999997</v>
      </c>
      <c r="M36" s="55">
        <f>ROUND('PART MES'!$N$5*'COEF Art 14 F I '!AF36,2)</f>
        <v>-17660.12</v>
      </c>
      <c r="N36" s="55">
        <f>ROUND('Art.14 Frac.III '!P104,2)</f>
        <v>-75065.23</v>
      </c>
      <c r="O36" s="55">
        <f>ROUND('PART MES'!$N$6*'COEF Art 14 F I '!AF36,2)</f>
        <v>-8386.84</v>
      </c>
      <c r="P36" s="55">
        <f>ROUND('PART MES'!$R$4*'COEF Art 14 F I '!AF36,2)</f>
        <v>-3727.52</v>
      </c>
      <c r="Q36" s="186">
        <f t="shared" si="0"/>
        <v>1853829.9059600804</v>
      </c>
    </row>
    <row r="37" spans="1:17">
      <c r="A37" s="149" t="s">
        <v>31</v>
      </c>
      <c r="B37" s="55">
        <f>ROUND(+'PART MES'!$E$4*+'CALCULO GARANTIA'!B36,2)</f>
        <v>13076287.18</v>
      </c>
      <c r="C37" s="55">
        <f>ROUND(+'PART MES'!$E$5*+'CALCULO GARANTIA'!D36,2)</f>
        <v>1739273.84</v>
      </c>
      <c r="D37" s="55">
        <f>ROUND(+'Art.14 Frac.III '!P35,2)</f>
        <v>385578.28</v>
      </c>
      <c r="E37" s="55">
        <f>ROUND(+'PART MES'!$E$6*+'CALCULO GARANTIA'!F36,2)</f>
        <v>440160.91</v>
      </c>
      <c r="F37" s="55">
        <f>ROUND(+'PART MES'!$E$7*+'CALCULO GARANTIA'!H36,2)</f>
        <v>379822.33</v>
      </c>
      <c r="G37" s="55">
        <f>ROUND(+'CALCULO GARANTIA'!J36+'CALCULO GARANTIA'!Q36,2)</f>
        <v>754183.2</v>
      </c>
      <c r="H37" s="55">
        <f>ROUND(+'CALCULO GARANTIA'!K36+'CALCULO GARANTIA'!R36,2)</f>
        <v>91609.66</v>
      </c>
      <c r="I37" s="55">
        <f>ROUND(+'PART MES'!E$12*'COEF Art 14 F II ieps'!L38,2)</f>
        <v>963329.04</v>
      </c>
      <c r="J37" s="55">
        <f>+'ISR JUNIO '!D36</f>
        <v>0</v>
      </c>
      <c r="K37" s="55">
        <f>+ISAI!D34</f>
        <v>339255.50581448118</v>
      </c>
      <c r="L37" s="55">
        <f>ROUND('PART MES'!$N$4*'COEF Art 14 F I '!AF37,2)</f>
        <v>-1010292.89</v>
      </c>
      <c r="M37" s="55">
        <f>ROUND('PART MES'!$N$5*'COEF Art 14 F I '!AF37,2)</f>
        <v>-527575.9</v>
      </c>
      <c r="N37" s="55">
        <f>ROUND('Art.14 Frac.III '!P105,2)</f>
        <v>0</v>
      </c>
      <c r="O37" s="55">
        <f>ROUND('PART MES'!$N$6*'COEF Art 14 F I '!AF37,2)</f>
        <v>-250547.35</v>
      </c>
      <c r="P37" s="55">
        <f>ROUND('PART MES'!$R$4*'COEF Art 14 F I '!AF37,2)</f>
        <v>-111355.48</v>
      </c>
      <c r="Q37" s="186">
        <f t="shared" si="0"/>
        <v>16269728.325814478</v>
      </c>
    </row>
    <row r="38" spans="1:17">
      <c r="A38" s="149" t="s">
        <v>32</v>
      </c>
      <c r="B38" s="55">
        <f>ROUND(+'PART MES'!$E$4*+'CALCULO GARANTIA'!B37,2)</f>
        <v>2520976.31</v>
      </c>
      <c r="C38" s="55">
        <f>ROUND(+'PART MES'!$E$5*+'CALCULO GARANTIA'!D37,2)</f>
        <v>335314.46000000002</v>
      </c>
      <c r="D38" s="55">
        <f>ROUND(+'Art.14 Frac.III '!P36,2)</f>
        <v>176598.01</v>
      </c>
      <c r="E38" s="55">
        <f>ROUND(+'PART MES'!$E$6*+'CALCULO GARANTIA'!F37,2)</f>
        <v>84858.58</v>
      </c>
      <c r="F38" s="55">
        <f>ROUND(+'PART MES'!$E$7*+'CALCULO GARANTIA'!H37,2)</f>
        <v>73225.919999999998</v>
      </c>
      <c r="G38" s="55">
        <f>ROUND(+'CALCULO GARANTIA'!J37+'CALCULO GARANTIA'!Q37,2)</f>
        <v>103581.6</v>
      </c>
      <c r="H38" s="55">
        <f>ROUND(+'CALCULO GARANTIA'!K37+'CALCULO GARANTIA'!R37,2)</f>
        <v>16624.650000000001</v>
      </c>
      <c r="I38" s="55">
        <f>ROUND(+'PART MES'!E$12*'COEF Art 14 F II ieps'!L39,2)</f>
        <v>25868.55</v>
      </c>
      <c r="J38" s="55">
        <f>+'ISR JUNIO '!D37</f>
        <v>0</v>
      </c>
      <c r="K38" s="55">
        <f>+ISAI!D35</f>
        <v>9205.3401448979857</v>
      </c>
      <c r="L38" s="55">
        <f>ROUND('PART MES'!$N$4*'COEF Art 14 F I '!AF38,2)</f>
        <v>-80419.27</v>
      </c>
      <c r="M38" s="55">
        <f>ROUND('PART MES'!$N$5*'COEF Art 14 F I '!AF38,2)</f>
        <v>-41995.02</v>
      </c>
      <c r="N38" s="55">
        <f>ROUND('Art.14 Frac.III '!P106,2)</f>
        <v>-68097.990000000005</v>
      </c>
      <c r="O38" s="55">
        <f>ROUND('PART MES'!$N$6*'COEF Art 14 F I '!AF38,2)</f>
        <v>-19943.560000000001</v>
      </c>
      <c r="P38" s="55">
        <f>ROUND('PART MES'!$R$4*'COEF Art 14 F I '!AF38,2)</f>
        <v>-8863.89</v>
      </c>
      <c r="Q38" s="186">
        <f t="shared" si="0"/>
        <v>3126933.6901448974</v>
      </c>
    </row>
    <row r="39" spans="1:17">
      <c r="A39" s="149" t="s">
        <v>33</v>
      </c>
      <c r="B39" s="55">
        <f>ROUND(+'PART MES'!$E$4*+'CALCULO GARANTIA'!B38,2)</f>
        <v>9242926.0299999993</v>
      </c>
      <c r="C39" s="55">
        <f>ROUND(+'PART MES'!$E$5*+'CALCULO GARANTIA'!D38,2)</f>
        <v>1229399.3799999999</v>
      </c>
      <c r="D39" s="55">
        <f>ROUND(+'Art.14 Frac.III '!P37,2)</f>
        <v>280398.67</v>
      </c>
      <c r="E39" s="55">
        <f>ROUND(+'PART MES'!$E$6*+'CALCULO GARANTIA'!F38,2)</f>
        <v>311126.14</v>
      </c>
      <c r="F39" s="55">
        <f>ROUND(+'PART MES'!$E$7*+'CALCULO GARANTIA'!H38,2)</f>
        <v>268476.03999999998</v>
      </c>
      <c r="G39" s="55">
        <f>ROUND(+'CALCULO GARANTIA'!J38+'CALCULO GARANTIA'!Q38,2)</f>
        <v>354261.56</v>
      </c>
      <c r="H39" s="55">
        <f>ROUND(+'CALCULO GARANTIA'!K38+'CALCULO GARANTIA'!R38,2)</f>
        <v>60320.26</v>
      </c>
      <c r="I39" s="55">
        <f>ROUND(+'PART MES'!E$12*'COEF Art 14 F II ieps'!L40,2)</f>
        <v>196372.4</v>
      </c>
      <c r="J39" s="55">
        <f>+'ISR JUNIO '!D38</f>
        <v>953993</v>
      </c>
      <c r="K39" s="55">
        <f>+ISAI!D36</f>
        <v>35690.538742979523</v>
      </c>
      <c r="L39" s="55">
        <f>ROUND('PART MES'!$N$4*'COEF Art 14 F I '!AF39,2)</f>
        <v>-225087.2</v>
      </c>
      <c r="M39" s="55">
        <f>ROUND('PART MES'!$N$5*'COEF Art 14 F I '!AF39,2)</f>
        <v>-117540.75</v>
      </c>
      <c r="N39" s="55">
        <f>ROUND('Art.14 Frac.III '!P107,2)</f>
        <v>-107400.92</v>
      </c>
      <c r="O39" s="55">
        <f>ROUND('PART MES'!$N$6*'COEF Art 14 F I '!AF39,2)</f>
        <v>-55820.45</v>
      </c>
      <c r="P39" s="55">
        <f>ROUND('PART MES'!$R$4*'COEF Art 14 F I '!AF39,2)</f>
        <v>-24809.33</v>
      </c>
      <c r="Q39" s="186">
        <f t="shared" ref="Q39:Q57" si="1">SUM(B39:P39)</f>
        <v>12402305.368742982</v>
      </c>
    </row>
    <row r="40" spans="1:17">
      <c r="A40" s="149" t="s">
        <v>34</v>
      </c>
      <c r="B40" s="55">
        <f>ROUND(+'PART MES'!$E$4*+'CALCULO GARANTIA'!B39,2)</f>
        <v>1972128.48</v>
      </c>
      <c r="C40" s="55">
        <f>ROUND(+'PART MES'!$E$5*+'CALCULO GARANTIA'!D39,2)</f>
        <v>262312.34000000003</v>
      </c>
      <c r="D40" s="55">
        <f>ROUND(+'Art.14 Frac.III '!P38,2)</f>
        <v>257053.83</v>
      </c>
      <c r="E40" s="55">
        <f>ROUND(+'PART MES'!$E$6*+'CALCULO GARANTIA'!F39,2)</f>
        <v>66383.820000000007</v>
      </c>
      <c r="F40" s="55">
        <f>ROUND(+'PART MES'!$E$7*+'CALCULO GARANTIA'!H39,2)</f>
        <v>57283.73</v>
      </c>
      <c r="G40" s="55">
        <f>ROUND(+'CALCULO GARANTIA'!J39+'CALCULO GARANTIA'!Q39,2)</f>
        <v>73000.460000000006</v>
      </c>
      <c r="H40" s="55">
        <f>ROUND(+'CALCULO GARANTIA'!K39+'CALCULO GARANTIA'!R39,2)</f>
        <v>12806.17</v>
      </c>
      <c r="I40" s="55">
        <f>ROUND(+'PART MES'!E$12*'COEF Art 14 F II ieps'!L41,2)</f>
        <v>18084.21</v>
      </c>
      <c r="J40" s="55">
        <f>+'ISR JUNIO '!D39</f>
        <v>72262</v>
      </c>
      <c r="K40" s="55">
        <f>+ISAI!D37</f>
        <v>10491.716140277225</v>
      </c>
      <c r="L40" s="55">
        <f>ROUND('PART MES'!$N$4*'COEF Art 14 F I '!AF40,2)</f>
        <v>-40951.519999999997</v>
      </c>
      <c r="M40" s="55">
        <f>ROUND('PART MES'!$N$5*'COEF Art 14 F I '!AF40,2)</f>
        <v>-21384.92</v>
      </c>
      <c r="N40" s="55">
        <f>ROUND('Art.14 Frac.III '!P108,2)</f>
        <v>-99084.29</v>
      </c>
      <c r="O40" s="55">
        <f>ROUND('PART MES'!$N$6*'COEF Art 14 F I '!AF40,2)</f>
        <v>-10155.76</v>
      </c>
      <c r="P40" s="55">
        <f>ROUND('PART MES'!$R$4*'COEF Art 14 F I '!AF40,2)</f>
        <v>-4513.72</v>
      </c>
      <c r="Q40" s="186">
        <f t="shared" si="1"/>
        <v>2625716.5461402768</v>
      </c>
    </row>
    <row r="41" spans="1:17">
      <c r="A41" s="149" t="s">
        <v>35</v>
      </c>
      <c r="B41" s="55">
        <f>ROUND(+'PART MES'!$E$4*+'CALCULO GARANTIA'!B40,2)</f>
        <v>1895616.44</v>
      </c>
      <c r="C41" s="55">
        <f>ROUND(+'PART MES'!$E$5*+'CALCULO GARANTIA'!D40,2)</f>
        <v>252135.49</v>
      </c>
      <c r="D41" s="55">
        <f>ROUND(+'Art.14 Frac.III '!P39,2)</f>
        <v>224218.01</v>
      </c>
      <c r="E41" s="55">
        <f>ROUND(+'PART MES'!$E$6*+'CALCULO GARANTIA'!F40,2)</f>
        <v>63808.35</v>
      </c>
      <c r="F41" s="55">
        <f>ROUND(+'PART MES'!$E$7*+'CALCULO GARANTIA'!H40,2)</f>
        <v>55061.31</v>
      </c>
      <c r="G41" s="55">
        <f>ROUND(+'CALCULO GARANTIA'!J40+'CALCULO GARANTIA'!Q40,2)</f>
        <v>58518.03</v>
      </c>
      <c r="H41" s="55">
        <f>ROUND(+'CALCULO GARANTIA'!K40+'CALCULO GARANTIA'!R40,2)</f>
        <v>12020.49</v>
      </c>
      <c r="I41" s="55">
        <f>ROUND(+'PART MES'!E$12*'COEF Art 14 F II ieps'!L42,2)</f>
        <v>3731.26</v>
      </c>
      <c r="J41" s="55">
        <f>+'ISR JUNIO '!D40</f>
        <v>67908</v>
      </c>
      <c r="K41" s="55">
        <f>+ISAI!D38</f>
        <v>371.48596923354728</v>
      </c>
      <c r="L41" s="55">
        <f>ROUND('PART MES'!$N$4*'COEF Art 14 F I '!AF41,2)</f>
        <v>-7503.57</v>
      </c>
      <c r="M41" s="55">
        <f>ROUND('PART MES'!$N$5*'COEF Art 14 F I '!AF41,2)</f>
        <v>-3918.37</v>
      </c>
      <c r="N41" s="55">
        <f>ROUND('Art.14 Frac.III '!P109,2)</f>
        <v>-86454.06</v>
      </c>
      <c r="O41" s="55">
        <f>ROUND('PART MES'!$N$6*'COEF Art 14 F I '!AF41,2)</f>
        <v>-1860.85</v>
      </c>
      <c r="P41" s="55">
        <f>ROUND('PART MES'!$R$4*'COEF Art 14 F I '!AF41,2)</f>
        <v>-827.05</v>
      </c>
      <c r="Q41" s="186">
        <f t="shared" si="1"/>
        <v>2532824.9659692328</v>
      </c>
    </row>
    <row r="42" spans="1:17">
      <c r="A42" s="149" t="s">
        <v>36</v>
      </c>
      <c r="B42" s="55">
        <f>ROUND(+'PART MES'!$E$4*+'CALCULO GARANTIA'!B41,2)</f>
        <v>2039882.47</v>
      </c>
      <c r="C42" s="55">
        <f>ROUND(+'PART MES'!$E$5*+'CALCULO GARANTIA'!D41,2)</f>
        <v>271324.28000000003</v>
      </c>
      <c r="D42" s="55">
        <f>ROUND(+'Art.14 Frac.III '!P40,2)</f>
        <v>363915.02</v>
      </c>
      <c r="E42" s="55">
        <f>ROUND(+'PART MES'!$E$6*+'CALCULO GARANTIA'!F41,2)</f>
        <v>68664.479999999996</v>
      </c>
      <c r="F42" s="55">
        <f>ROUND(+'PART MES'!$E$7*+'CALCULO GARANTIA'!H41,2)</f>
        <v>59251.75</v>
      </c>
      <c r="G42" s="55">
        <f>ROUND(+'CALCULO GARANTIA'!J41+'CALCULO GARANTIA'!Q41,2)</f>
        <v>81387.899999999994</v>
      </c>
      <c r="H42" s="55">
        <f>ROUND(+'CALCULO GARANTIA'!K41+'CALCULO GARANTIA'!R41,2)</f>
        <v>13391.9</v>
      </c>
      <c r="I42" s="55">
        <f>ROUND(+'PART MES'!E$12*'COEF Art 14 F II ieps'!L43,2)</f>
        <v>25008.36</v>
      </c>
      <c r="J42" s="55">
        <f>+'ISR JUNIO '!D41</f>
        <v>0</v>
      </c>
      <c r="K42" s="55">
        <f>+ISAI!D39</f>
        <v>6.6087829601168107</v>
      </c>
      <c r="L42" s="55">
        <f>ROUND('PART MES'!$N$4*'COEF Art 14 F I '!AF42,2)</f>
        <v>-58436.57</v>
      </c>
      <c r="M42" s="55">
        <f>ROUND('PART MES'!$N$5*'COEF Art 14 F I '!AF42,2)</f>
        <v>-30515.63</v>
      </c>
      <c r="N42" s="55">
        <f>ROUND('Art.14 Frac.III '!P110,2)</f>
        <v>-137752.62</v>
      </c>
      <c r="O42" s="55">
        <f>ROUND('PART MES'!$N$6*'COEF Art 14 F I '!AF42,2)</f>
        <v>-14491.96</v>
      </c>
      <c r="P42" s="55">
        <f>ROUND('PART MES'!$R$4*'COEF Art 14 F I '!AF42,2)</f>
        <v>-6440.94</v>
      </c>
      <c r="Q42" s="186">
        <f t="shared" si="1"/>
        <v>2675195.04878296</v>
      </c>
    </row>
    <row r="43" spans="1:17">
      <c r="A43" s="149" t="s">
        <v>37</v>
      </c>
      <c r="B43" s="55">
        <f>ROUND(+'PART MES'!$E$4*+'CALCULO GARANTIA'!B42,2)</f>
        <v>2803528.42</v>
      </c>
      <c r="C43" s="55">
        <f>ROUND(+'PART MES'!$E$5*+'CALCULO GARANTIA'!D42,2)</f>
        <v>372896.65</v>
      </c>
      <c r="D43" s="55">
        <f>ROUND(+'Art.14 Frac.III '!P41,2)</f>
        <v>115061.94</v>
      </c>
      <c r="E43" s="55">
        <f>ROUND(+'PART MES'!$E$6*+'CALCULO GARANTIA'!F42,2)</f>
        <v>94369.57</v>
      </c>
      <c r="F43" s="55">
        <f>ROUND(+'PART MES'!$E$7*+'CALCULO GARANTIA'!H42,2)</f>
        <v>81433.11</v>
      </c>
      <c r="G43" s="55">
        <f>ROUND(+'CALCULO GARANTIA'!J42+'CALCULO GARANTIA'!Q42,2)</f>
        <v>110389.77</v>
      </c>
      <c r="H43" s="55">
        <f>ROUND(+'CALCULO GARANTIA'!K42+'CALCULO GARANTIA'!R42,2)</f>
        <v>18368.91</v>
      </c>
      <c r="I43" s="55">
        <f>ROUND(+'PART MES'!E$12*'COEF Art 14 F II ieps'!L44,2)</f>
        <v>25699.8</v>
      </c>
      <c r="J43" s="55">
        <f>+'ISR JUNIO '!D42</f>
        <v>184144</v>
      </c>
      <c r="K43" s="55">
        <f>+ISAI!D40</f>
        <v>2766.8315306300078</v>
      </c>
      <c r="L43" s="55">
        <f>ROUND('PART MES'!$N$4*'COEF Art 14 F I '!AF43,2)</f>
        <v>-76302.91</v>
      </c>
      <c r="M43" s="55">
        <f>ROUND('PART MES'!$N$5*'COEF Art 14 F I '!AF43,2)</f>
        <v>-39845.449999999997</v>
      </c>
      <c r="N43" s="55">
        <f>ROUND('Art.14 Frac.III '!P111,2)</f>
        <v>-44369.99</v>
      </c>
      <c r="O43" s="55">
        <f>ROUND('PART MES'!$N$6*'COEF Art 14 F I '!AF43,2)</f>
        <v>-18922.72</v>
      </c>
      <c r="P43" s="55">
        <f>ROUND('PART MES'!$R$4*'COEF Art 14 F I '!AF43,2)</f>
        <v>-8410.18</v>
      </c>
      <c r="Q43" s="186">
        <f t="shared" si="1"/>
        <v>3620807.7515306287</v>
      </c>
    </row>
    <row r="44" spans="1:17">
      <c r="A44" s="149" t="s">
        <v>38</v>
      </c>
      <c r="B44" s="55">
        <f>ROUND(+'PART MES'!$E$4*+'CALCULO GARANTIA'!B43,2)</f>
        <v>6577336.5700000003</v>
      </c>
      <c r="C44" s="55">
        <f>ROUND(+'PART MES'!$E$5*+'CALCULO GARANTIA'!D43,2)</f>
        <v>874849.97</v>
      </c>
      <c r="D44" s="55">
        <f>ROUND(+'Art.14 Frac.III '!P42,2)</f>
        <v>348023.29</v>
      </c>
      <c r="E44" s="55">
        <f>ROUND(+'PART MES'!$E$6*+'CALCULO GARANTIA'!F43,2)</f>
        <v>221399.73</v>
      </c>
      <c r="F44" s="55">
        <f>ROUND(+'PART MES'!$E$7*+'CALCULO GARANTIA'!H43,2)</f>
        <v>191049.59</v>
      </c>
      <c r="G44" s="55">
        <f>ROUND(+'CALCULO GARANTIA'!J43+'CALCULO GARANTIA'!Q43,2)</f>
        <v>257422.55</v>
      </c>
      <c r="H44" s="55">
        <f>ROUND(+'CALCULO GARANTIA'!K43+'CALCULO GARANTIA'!R43,2)</f>
        <v>43056.43</v>
      </c>
      <c r="I44" s="55">
        <f>ROUND(+'PART MES'!E$12*'COEF Art 14 F II ieps'!L45,2)</f>
        <v>152905.29999999999</v>
      </c>
      <c r="J44" s="55">
        <f>+'ISR JUNIO '!D43</f>
        <v>1698078.1665334995</v>
      </c>
      <c r="K44" s="55">
        <f>+ISAI!D41</f>
        <v>141873.89034321145</v>
      </c>
      <c r="L44" s="55">
        <f>ROUND('PART MES'!$N$4*'COEF Art 14 F I '!AF44,2)</f>
        <v>-174742.04</v>
      </c>
      <c r="M44" s="55">
        <f>ROUND('PART MES'!$N$5*'COEF Art 14 F I '!AF44,2)</f>
        <v>-91250.46</v>
      </c>
      <c r="N44" s="55">
        <f>ROUND('Art.14 Frac.III '!P112,2)</f>
        <v>-133234.60999999999</v>
      </c>
      <c r="O44" s="55">
        <f>ROUND('PART MES'!$N$6*'COEF Art 14 F I '!AF44,2)</f>
        <v>-43335.11</v>
      </c>
      <c r="P44" s="55">
        <f>ROUND('PART MES'!$R$4*'COEF Art 14 F I '!AF44,2)</f>
        <v>-19260.240000000002</v>
      </c>
      <c r="Q44" s="186">
        <f t="shared" si="1"/>
        <v>10044173.026876714</v>
      </c>
    </row>
    <row r="45" spans="1:17">
      <c r="A45" s="149" t="s">
        <v>39</v>
      </c>
      <c r="B45" s="55">
        <f>ROUND(+'PART MES'!$E$4*+'CALCULO GARANTIA'!B44,2)</f>
        <v>136119365.78999999</v>
      </c>
      <c r="C45" s="55">
        <f>ROUND(+'PART MES'!$E$5*+'CALCULO GARANTIA'!D44,2)</f>
        <v>18105204.329999998</v>
      </c>
      <c r="D45" s="55">
        <f>ROUND(+'Art.14 Frac.III '!P43,2)</f>
        <v>0</v>
      </c>
      <c r="E45" s="55">
        <f>ROUND(+'PART MES'!$E$6*+'CALCULO GARANTIA'!F44,2)</f>
        <v>4581914.01</v>
      </c>
      <c r="F45" s="55">
        <f>ROUND(+'PART MES'!$E$7*+'CALCULO GARANTIA'!H44,2)</f>
        <v>3953811.55</v>
      </c>
      <c r="G45" s="55">
        <f>ROUND(+'CALCULO GARANTIA'!J44+'CALCULO GARANTIA'!Q44,2)</f>
        <v>6187930.8799999999</v>
      </c>
      <c r="H45" s="55">
        <f>ROUND(+'CALCULO GARANTIA'!K44+'CALCULO GARANTIA'!R44,2)</f>
        <v>912396.59</v>
      </c>
      <c r="I45" s="55">
        <f>ROUND(+'PART MES'!E$12*'COEF Art 14 F II ieps'!L46,2)</f>
        <v>3174102.39</v>
      </c>
      <c r="J45" s="55">
        <f>+'ISR JUNIO '!D44</f>
        <v>24199623</v>
      </c>
      <c r="K45" s="55">
        <f>+ISAI!D42</f>
        <v>2940238.8324807528</v>
      </c>
      <c r="L45" s="55">
        <f>ROUND('PART MES'!$N$4*'COEF Art 14 F I '!AF45,2)</f>
        <v>-5969521.5300000003</v>
      </c>
      <c r="M45" s="55">
        <f>ROUND('PART MES'!$N$5*'COEF Art 14 F I '!AF45,2)</f>
        <v>-3117289.79</v>
      </c>
      <c r="N45" s="55">
        <f>ROUND('Art.14 Frac.III '!P113,2)</f>
        <v>0</v>
      </c>
      <c r="O45" s="55">
        <f>ROUND('PART MES'!$N$6*'COEF Art 14 F I '!AF45,2)</f>
        <v>-1480410.08</v>
      </c>
      <c r="P45" s="55">
        <f>ROUND('PART MES'!$R$4*'COEF Art 14 F I '!AF45,2)</f>
        <v>-657966.54</v>
      </c>
      <c r="Q45" s="186">
        <f t="shared" si="1"/>
        <v>188949399.43248075</v>
      </c>
    </row>
    <row r="46" spans="1:17">
      <c r="A46" s="149" t="s">
        <v>40</v>
      </c>
      <c r="B46" s="55">
        <f>ROUND(+'PART MES'!$E$4*+'CALCULO GARANTIA'!B45,2)</f>
        <v>723035.46</v>
      </c>
      <c r="C46" s="55">
        <f>ROUND(+'PART MES'!$E$5*+'CALCULO GARANTIA'!D45,2)</f>
        <v>96170.77</v>
      </c>
      <c r="D46" s="55">
        <f>ROUND(+'Art.14 Frac.III '!P44,2)</f>
        <v>157704.14000000001</v>
      </c>
      <c r="E46" s="55">
        <f>ROUND(+'PART MES'!$E$6*+'CALCULO GARANTIA'!F45,2)</f>
        <v>24338.1</v>
      </c>
      <c r="F46" s="55">
        <f>ROUND(+'PART MES'!$E$7*+'CALCULO GARANTIA'!H45,2)</f>
        <v>21001.759999999998</v>
      </c>
      <c r="G46" s="55">
        <f>ROUND(+'CALCULO GARANTIA'!J45+'CALCULO GARANTIA'!Q45,2)</f>
        <v>35303.47</v>
      </c>
      <c r="H46" s="55">
        <f>ROUND(+'CALCULO GARANTIA'!K45+'CALCULO GARANTIA'!R45,2)</f>
        <v>4906.8100000000004</v>
      </c>
      <c r="I46" s="55">
        <f>ROUND(+'PART MES'!E$12*'COEF Art 14 F II ieps'!L47,2)</f>
        <v>9440.73</v>
      </c>
      <c r="J46" s="55">
        <f>+'ISR JUNIO '!D45</f>
        <v>28551</v>
      </c>
      <c r="K46" s="55">
        <f>+ISAI!D43</f>
        <v>585.65603391149796</v>
      </c>
      <c r="L46" s="55">
        <f>ROUND('PART MES'!$N$4*'COEF Art 14 F I '!AF46,2)</f>
        <v>-38366.43</v>
      </c>
      <c r="M46" s="55">
        <f>ROUND('PART MES'!$N$5*'COEF Art 14 F I '!AF46,2)</f>
        <v>-20034.98</v>
      </c>
      <c r="N46" s="55">
        <f>ROUND('Art.14 Frac.III '!P114,2)</f>
        <v>-60808.57</v>
      </c>
      <c r="O46" s="55">
        <f>ROUND('PART MES'!$N$6*'COEF Art 14 F I '!AF46,2)</f>
        <v>-9514.67</v>
      </c>
      <c r="P46" s="55">
        <f>ROUND('PART MES'!$R$4*'COEF Art 14 F I '!AF46,2)</f>
        <v>-4228.79</v>
      </c>
      <c r="Q46" s="186">
        <f t="shared" si="1"/>
        <v>968084.45603391156</v>
      </c>
    </row>
    <row r="47" spans="1:17">
      <c r="A47" s="149" t="s">
        <v>41</v>
      </c>
      <c r="B47" s="55">
        <f>ROUND(+'PART MES'!$E$4*+'CALCULO GARANTIA'!B46,2)</f>
        <v>3016916.41</v>
      </c>
      <c r="C47" s="55">
        <f>ROUND(+'PART MES'!$E$5*+'CALCULO GARANTIA'!D46,2)</f>
        <v>401279.33</v>
      </c>
      <c r="D47" s="55">
        <f>ROUND(+'Art.14 Frac.III '!P45,2)</f>
        <v>276226.87</v>
      </c>
      <c r="E47" s="55">
        <f>ROUND(+'PART MES'!$E$6*+'CALCULO GARANTIA'!F46,2)</f>
        <v>101552.42</v>
      </c>
      <c r="F47" s="55">
        <f>ROUND(+'PART MES'!$E$7*+'CALCULO GARANTIA'!H46,2)</f>
        <v>87631.31</v>
      </c>
      <c r="G47" s="55">
        <f>ROUND(+'CALCULO GARANTIA'!J46+'CALCULO GARANTIA'!Q46,2)</f>
        <v>191577.28</v>
      </c>
      <c r="H47" s="55">
        <f>ROUND(+'CALCULO GARANTIA'!K46+'CALCULO GARANTIA'!R46,2)</f>
        <v>21571.59</v>
      </c>
      <c r="I47" s="55">
        <f>ROUND(+'PART MES'!E$12*'COEF Art 14 F II ieps'!L48,2)</f>
        <v>284632.09999999998</v>
      </c>
      <c r="J47" s="55">
        <f>+'ISR JUNIO '!D46</f>
        <v>952</v>
      </c>
      <c r="K47" s="55">
        <f>+ISAI!D44</f>
        <v>109119.63548302125</v>
      </c>
      <c r="L47" s="55">
        <f>ROUND('PART MES'!$N$4*'COEF Art 14 F I '!AF47,2)</f>
        <v>-281151.7</v>
      </c>
      <c r="M47" s="55">
        <f>ROUND('PART MES'!$N$5*'COEF Art 14 F I '!AF47,2)</f>
        <v>-146817.68</v>
      </c>
      <c r="N47" s="55">
        <f>ROUND('Art.14 Frac.III '!P115,2)</f>
        <v>-105489.84</v>
      </c>
      <c r="O47" s="55">
        <f>ROUND('PART MES'!$N$6*'COEF Art 14 F I '!AF47,2)</f>
        <v>-69724.149999999994</v>
      </c>
      <c r="P47" s="55">
        <f>ROUND('PART MES'!$R$4*'COEF Art 14 F I '!AF47,2)</f>
        <v>-30988.82</v>
      </c>
      <c r="Q47" s="186">
        <f t="shared" si="1"/>
        <v>3857286.7554830206</v>
      </c>
    </row>
    <row r="48" spans="1:17">
      <c r="A48" s="149" t="s">
        <v>42</v>
      </c>
      <c r="B48" s="55">
        <f>ROUND(+'PART MES'!$E$4*+'CALCULO GARANTIA'!B47,2)</f>
        <v>1491046.69</v>
      </c>
      <c r="C48" s="55">
        <f>ROUND(+'PART MES'!$E$5*+'CALCULO GARANTIA'!D47,2)</f>
        <v>198323.76</v>
      </c>
      <c r="D48" s="55">
        <f>ROUND(+'Art.14 Frac.III '!P46,2)</f>
        <v>173951.58</v>
      </c>
      <c r="E48" s="55">
        <f>ROUND(+'PART MES'!$E$6*+'CALCULO GARANTIA'!F47,2)</f>
        <v>50190.12</v>
      </c>
      <c r="F48" s="55">
        <f>ROUND(+'PART MES'!$E$7*+'CALCULO GARANTIA'!H47,2)</f>
        <v>43309.91</v>
      </c>
      <c r="G48" s="55">
        <f>ROUND(+'CALCULO GARANTIA'!J47+'CALCULO GARANTIA'!Q47,2)</f>
        <v>59587.74</v>
      </c>
      <c r="H48" s="55">
        <f>ROUND(+'CALCULO GARANTIA'!K47+'CALCULO GARANTIA'!R47,2)</f>
        <v>9791.19</v>
      </c>
      <c r="I48" s="55">
        <f>ROUND(+'PART MES'!E$12*'COEF Art 14 F II ieps'!L49,2)</f>
        <v>17826.240000000002</v>
      </c>
      <c r="J48" s="55">
        <f>+'ISR JUNIO '!D47</f>
        <v>0</v>
      </c>
      <c r="K48" s="55">
        <f>+ISAI!D45</f>
        <v>9544.5265643756084</v>
      </c>
      <c r="L48" s="55">
        <f>ROUND('PART MES'!$N$4*'COEF Art 14 F I '!AF48,2)</f>
        <v>-42980.6</v>
      </c>
      <c r="M48" s="55">
        <f>ROUND('PART MES'!$N$5*'COEF Art 14 F I '!AF48,2)</f>
        <v>-22444.51</v>
      </c>
      <c r="N48" s="55">
        <f>ROUND('Art.14 Frac.III '!P116,2)</f>
        <v>-66361.45</v>
      </c>
      <c r="O48" s="55">
        <f>ROUND('PART MES'!$N$6*'COEF Art 14 F I '!AF48,2)</f>
        <v>-10658.96</v>
      </c>
      <c r="P48" s="55">
        <f>ROUND('PART MES'!$R$4*'COEF Art 14 F I '!AF48,2)</f>
        <v>-4737.3599999999997</v>
      </c>
      <c r="Q48" s="186">
        <f t="shared" si="1"/>
        <v>1906388.8765643754</v>
      </c>
    </row>
    <row r="49" spans="1:18">
      <c r="A49" s="149" t="s">
        <v>43</v>
      </c>
      <c r="B49" s="55">
        <f>ROUND(+'PART MES'!$E$4*+'CALCULO GARANTIA'!B48,2)</f>
        <v>1670828.66</v>
      </c>
      <c r="C49" s="55">
        <f>ROUND(+'PART MES'!$E$5*+'CALCULO GARANTIA'!D48,2)</f>
        <v>222236.52</v>
      </c>
      <c r="D49" s="55">
        <f>ROUND(+'Art.14 Frac.III '!P47,2)</f>
        <v>312328.45</v>
      </c>
      <c r="E49" s="55">
        <f>ROUND(+'PART MES'!$E$6*+'CALCULO GARANTIA'!F48,2)</f>
        <v>56241.760000000002</v>
      </c>
      <c r="F49" s="55">
        <f>ROUND(+'PART MES'!$E$7*+'CALCULO GARANTIA'!H48,2)</f>
        <v>48531.97</v>
      </c>
      <c r="G49" s="55">
        <f>ROUND(+'CALCULO GARANTIA'!J48+'CALCULO GARANTIA'!Q48,2)</f>
        <v>63664.5</v>
      </c>
      <c r="H49" s="55">
        <f>ROUND(+'CALCULO GARANTIA'!K48+'CALCULO GARANTIA'!R48,2)</f>
        <v>10894.7</v>
      </c>
      <c r="I49" s="55">
        <f>ROUND(+'PART MES'!E$12*'COEF Art 14 F II ieps'!L50,2)</f>
        <v>12656.9</v>
      </c>
      <c r="J49" s="55">
        <f>+'ISR JUNIO '!D48</f>
        <v>137627</v>
      </c>
      <c r="K49" s="55">
        <f>+ISAI!D46</f>
        <v>444.77603927954164</v>
      </c>
      <c r="L49" s="55">
        <f>ROUND('PART MES'!$N$4*'COEF Art 14 F I '!AF49,2)</f>
        <v>-39663.760000000002</v>
      </c>
      <c r="M49" s="55">
        <f>ROUND('PART MES'!$N$5*'COEF Art 14 F I '!AF49,2)</f>
        <v>-20712.45</v>
      </c>
      <c r="N49" s="55">
        <f>ROUND('Art.14 Frac.III '!P117,2)</f>
        <v>-119031.52</v>
      </c>
      <c r="O49" s="55">
        <f>ROUND('PART MES'!$N$6*'COEF Art 14 F I '!AF49,2)</f>
        <v>-9836.4</v>
      </c>
      <c r="P49" s="55">
        <f>ROUND('PART MES'!$R$4*'COEF Art 14 F I '!AF49,2)</f>
        <v>-4371.78</v>
      </c>
      <c r="Q49" s="186">
        <f t="shared" si="1"/>
        <v>2341839.3260392798</v>
      </c>
    </row>
    <row r="50" spans="1:18">
      <c r="A50" s="149" t="s">
        <v>44</v>
      </c>
      <c r="B50" s="55">
        <f>ROUND(+'PART MES'!$E$4*+'CALCULO GARANTIA'!B49,2)</f>
        <v>4807236.04</v>
      </c>
      <c r="C50" s="55">
        <f>ROUND(+'PART MES'!$E$5*+'CALCULO GARANTIA'!D49,2)</f>
        <v>639409.31999999995</v>
      </c>
      <c r="D50" s="55">
        <f>ROUND(+'Art.14 Frac.III '!P48,2)</f>
        <v>260900.47</v>
      </c>
      <c r="E50" s="55">
        <f>ROUND(+'PART MES'!$E$6*+'CALCULO GARANTIA'!F49,2)</f>
        <v>161816.37</v>
      </c>
      <c r="F50" s="55">
        <f>ROUND(+'PART MES'!$E$7*+'CALCULO GARANTIA'!H49,2)</f>
        <v>139634.1</v>
      </c>
      <c r="G50" s="55">
        <f>ROUND(+'CALCULO GARANTIA'!J49+'CALCULO GARANTIA'!Q49,2)</f>
        <v>179776.03</v>
      </c>
      <c r="H50" s="55">
        <f>ROUND(+'CALCULO GARANTIA'!K49+'CALCULO GARANTIA'!R49,2)</f>
        <v>31261.55</v>
      </c>
      <c r="I50" s="55">
        <f>ROUND(+'PART MES'!E$12*'COEF Art 14 F II ieps'!L51,2)</f>
        <v>85410.61</v>
      </c>
      <c r="J50" s="55">
        <f>+'ISR JUNIO '!D49</f>
        <v>783532</v>
      </c>
      <c r="K50" s="55">
        <f>+ISAI!D47</f>
        <v>13673.630981539651</v>
      </c>
      <c r="L50" s="55">
        <f>ROUND('PART MES'!$N$4*'COEF Art 14 F I '!AF50,2)</f>
        <v>-104830.06</v>
      </c>
      <c r="M50" s="55">
        <f>ROUND('PART MES'!$N$5*'COEF Art 14 F I '!AF50,2)</f>
        <v>-54742.35</v>
      </c>
      <c r="N50" s="55">
        <f>ROUND('Art.14 Frac.III '!P118,2)</f>
        <v>-100625.03</v>
      </c>
      <c r="O50" s="55">
        <f>ROUND('PART MES'!$N$6*'COEF Art 14 F I '!AF50,2)</f>
        <v>-25997.31</v>
      </c>
      <c r="P50" s="55">
        <f>ROUND('PART MES'!$R$4*'COEF Art 14 F I '!AF50,2)</f>
        <v>-11554.47</v>
      </c>
      <c r="Q50" s="186">
        <f t="shared" si="1"/>
        <v>6804900.9009815408</v>
      </c>
    </row>
    <row r="51" spans="1:18">
      <c r="A51" s="149" t="s">
        <v>45</v>
      </c>
      <c r="B51" s="55">
        <f>ROUND(+'PART MES'!$E$4*+'CALCULO GARANTIA'!B50,2)</f>
        <v>4162361.03</v>
      </c>
      <c r="C51" s="55">
        <f>ROUND(+'PART MES'!$E$5*+'CALCULO GARANTIA'!D50,2)</f>
        <v>553634.65</v>
      </c>
      <c r="D51" s="55">
        <f>ROUND(+'Art.14 Frac.III '!P49,2)</f>
        <v>279326.38</v>
      </c>
      <c r="E51" s="55">
        <f>ROUND(+'PART MES'!$E$6*+'CALCULO GARANTIA'!F50,2)</f>
        <v>140109.24</v>
      </c>
      <c r="F51" s="55">
        <f>ROUND(+'PART MES'!$E$7*+'CALCULO GARANTIA'!H50,2)</f>
        <v>120902.64</v>
      </c>
      <c r="G51" s="55">
        <f>ROUND(+'CALCULO GARANTIA'!J50+'CALCULO GARANTIA'!Q50,2)</f>
        <v>201200.49</v>
      </c>
      <c r="H51" s="55">
        <f>ROUND(+'CALCULO GARANTIA'!K50+'CALCULO GARANTIA'!R50,2)</f>
        <v>28197</v>
      </c>
      <c r="I51" s="55">
        <f>ROUND(+'PART MES'!E$12*'COEF Art 14 F II ieps'!L52,2)</f>
        <v>173030.47</v>
      </c>
      <c r="J51" s="55">
        <f>+'ISR JUNIO '!D50</f>
        <v>5859</v>
      </c>
      <c r="K51" s="55">
        <f>+ISAI!D48</f>
        <v>157507.45420143494</v>
      </c>
      <c r="L51" s="55">
        <f>ROUND('PART MES'!$N$4*'COEF Art 14 F I '!AF51,2)</f>
        <v>-215304.88</v>
      </c>
      <c r="M51" s="55">
        <f>ROUND('PART MES'!$N$5*'COEF Art 14 F I '!AF51,2)</f>
        <v>-112432.41</v>
      </c>
      <c r="N51" s="55">
        <f>ROUND('Art.14 Frac.III '!P119,2)</f>
        <v>-106669.15</v>
      </c>
      <c r="O51" s="55">
        <f>ROUND('PART MES'!$N$6*'COEF Art 14 F I '!AF51,2)</f>
        <v>-53394.48</v>
      </c>
      <c r="P51" s="55">
        <f>ROUND('PART MES'!$R$4*'COEF Art 14 F I '!AF51,2)</f>
        <v>-23731.119999999999</v>
      </c>
      <c r="Q51" s="186">
        <f t="shared" si="1"/>
        <v>5310596.3142014332</v>
      </c>
    </row>
    <row r="52" spans="1:18">
      <c r="A52" s="149" t="s">
        <v>46</v>
      </c>
      <c r="B52" s="55">
        <f>ROUND(+'PART MES'!$E$4*+'CALCULO GARANTIA'!B51,2)</f>
        <v>37432754.100000001</v>
      </c>
      <c r="C52" s="55">
        <f>ROUND(+'PART MES'!$E$5*+'CALCULO GARANTIA'!D51,2)</f>
        <v>4978921.68</v>
      </c>
      <c r="D52" s="55">
        <f>ROUND(+'Art.14 Frac.III '!P50,2)</f>
        <v>839375.81</v>
      </c>
      <c r="E52" s="55">
        <f>ROUND(+'PART MES'!$E$6*+'CALCULO GARANTIA'!F51,2)</f>
        <v>1260023.94</v>
      </c>
      <c r="F52" s="55">
        <f>ROUND(+'PART MES'!$E$7*+'CALCULO GARANTIA'!H51,2)</f>
        <v>1087296.1000000001</v>
      </c>
      <c r="G52" s="55">
        <f>ROUND(+'CALCULO GARANTIA'!J51+'CALCULO GARANTIA'!Q51,2)</f>
        <v>1620333.39</v>
      </c>
      <c r="H52" s="55">
        <f>ROUND(+'CALCULO GARANTIA'!K51+'CALCULO GARANTIA'!R51,2)</f>
        <v>248891.83</v>
      </c>
      <c r="I52" s="55">
        <f>ROUND(+'PART MES'!E$12*'COEF Art 14 F II ieps'!L53,2)</f>
        <v>1055213.6399999999</v>
      </c>
      <c r="J52" s="55">
        <f>+'ISR JUNIO '!D51</f>
        <v>450451</v>
      </c>
      <c r="K52" s="55">
        <f>+ISAI!D49</f>
        <v>398005.52792554535</v>
      </c>
      <c r="L52" s="55">
        <f>ROUND('PART MES'!$N$4*'COEF Art 14 F I '!AF52,2)</f>
        <v>-1419168.33</v>
      </c>
      <c r="M52" s="55">
        <f>ROUND('PART MES'!$N$5*'COEF Art 14 F I '!AF52,2)</f>
        <v>-741091.04</v>
      </c>
      <c r="N52" s="55">
        <f>ROUND('Art.14 Frac.III '!P120,2)</f>
        <v>-325125.51</v>
      </c>
      <c r="O52" s="55">
        <f>ROUND('PART MES'!$N$6*'COEF Art 14 F I '!AF52,2)</f>
        <v>-351946.31</v>
      </c>
      <c r="P52" s="55">
        <f>ROUND('PART MES'!$R$4*'COEF Art 14 F I '!AF52,2)</f>
        <v>-156422.13</v>
      </c>
      <c r="Q52" s="186">
        <f t="shared" si="1"/>
        <v>46377513.697925545</v>
      </c>
    </row>
    <row r="53" spans="1:18">
      <c r="A53" s="149" t="s">
        <v>47</v>
      </c>
      <c r="B53" s="55">
        <f>ROUND(+'PART MES'!$E$4*+'CALCULO GARANTIA'!B52,2)</f>
        <v>72329620.730000004</v>
      </c>
      <c r="C53" s="55">
        <f>ROUND(+'PART MES'!$E$5*+'CALCULO GARANTIA'!D52,2)</f>
        <v>9620545.5800000001</v>
      </c>
      <c r="D53" s="55">
        <f>ROUND(+'Art.14 Frac.III '!P51,2)</f>
        <v>1490174.49</v>
      </c>
      <c r="E53" s="55">
        <f>ROUND(+'PART MES'!$E$6*+'CALCULO GARANTIA'!F52,2)</f>
        <v>2434687.38</v>
      </c>
      <c r="F53" s="55">
        <f>ROUND(+'PART MES'!$E$7*+'CALCULO GARANTIA'!H52,2)</f>
        <v>2100933.16</v>
      </c>
      <c r="G53" s="55">
        <f>ROUND(+'CALCULO GARANTIA'!J52+'CALCULO GARANTIA'!Q52,2)</f>
        <v>3118003.68</v>
      </c>
      <c r="H53" s="55">
        <f>ROUND(+'CALCULO GARANTIA'!K52+'CALCULO GARANTIA'!R52,2)</f>
        <v>480602.78</v>
      </c>
      <c r="I53" s="55">
        <f>ROUND(+'PART MES'!E$12*'COEF Art 14 F II ieps'!L54,2)</f>
        <v>778748.42</v>
      </c>
      <c r="J53" s="55">
        <f>+'ISR JUNIO '!D52</f>
        <v>10537518</v>
      </c>
      <c r="K53" s="55">
        <f>+ISAI!D50</f>
        <v>1669978.6001796443</v>
      </c>
      <c r="L53" s="55">
        <f>ROUND('PART MES'!$N$4*'COEF Art 14 F I '!AF53,2)</f>
        <v>-2706936.26</v>
      </c>
      <c r="M53" s="55">
        <f>ROUND('PART MES'!$N$5*'COEF Art 14 F I '!AF53,2)</f>
        <v>-1413564.67</v>
      </c>
      <c r="N53" s="55">
        <f>ROUND('Art.14 Frac.III '!P121,2)</f>
        <v>-578251.92000000004</v>
      </c>
      <c r="O53" s="55">
        <f>ROUND('PART MES'!$N$6*'COEF Art 14 F I '!AF53,2)</f>
        <v>-671306.02</v>
      </c>
      <c r="P53" s="55">
        <f>ROUND('PART MES'!$R$4*'COEF Art 14 F I '!AF53,2)</f>
        <v>-298361.18</v>
      </c>
      <c r="Q53" s="186">
        <f t="shared" si="1"/>
        <v>98892392.770179629</v>
      </c>
    </row>
    <row r="54" spans="1:18">
      <c r="A54" s="149" t="s">
        <v>48</v>
      </c>
      <c r="B54" s="55">
        <f>ROUND(+'PART MES'!$E$4*+'CALCULO GARANTIA'!B53,2)</f>
        <v>19490288.359999999</v>
      </c>
      <c r="C54" s="55">
        <f>ROUND(+'PART MES'!$E$5*+'CALCULO GARANTIA'!D53,2)</f>
        <v>2592398.6</v>
      </c>
      <c r="D54" s="55">
        <f>ROUND(+'Art.14 Frac.III '!P52,2)</f>
        <v>500047.34</v>
      </c>
      <c r="E54" s="55">
        <f>ROUND(+'PART MES'!$E$6*+'CALCULO GARANTIA'!F53,2)</f>
        <v>656062.6</v>
      </c>
      <c r="F54" s="55">
        <f>ROUND(+'PART MES'!$E$7*+'CALCULO GARANTIA'!H53,2)</f>
        <v>566127.57999999996</v>
      </c>
      <c r="G54" s="55">
        <f>ROUND(+'CALCULO GARANTIA'!J53+'CALCULO GARANTIA'!Q53,2)</f>
        <v>851248.31</v>
      </c>
      <c r="H54" s="55">
        <f>ROUND(+'CALCULO GARANTIA'!K53+'CALCULO GARANTIA'!R53,2)</f>
        <v>129779.65</v>
      </c>
      <c r="I54" s="55">
        <f>ROUND(+'PART MES'!E$12*'COEF Art 14 F II ieps'!L55,2)</f>
        <v>700178.2</v>
      </c>
      <c r="J54" s="55">
        <f>+'ISR JUNIO '!D53</f>
        <v>3394940</v>
      </c>
      <c r="K54" s="55">
        <f>+ISAI!D51</f>
        <v>599928.943158051</v>
      </c>
      <c r="L54" s="55">
        <f>ROUND('PART MES'!$N$4*'COEF Art 14 F I '!AF54,2)</f>
        <v>-759658.21</v>
      </c>
      <c r="M54" s="55">
        <f>ROUND('PART MES'!$N$5*'COEF Art 14 F I '!AF54,2)</f>
        <v>-396694.24</v>
      </c>
      <c r="N54" s="55">
        <f>ROUND('Art.14 Frac.III '!P122,2)</f>
        <v>-192913.22</v>
      </c>
      <c r="O54" s="55">
        <f>ROUND('PART MES'!$N$6*'COEF Art 14 F I '!AF54,2)</f>
        <v>-188391.26</v>
      </c>
      <c r="P54" s="55">
        <f>ROUND('PART MES'!$R$4*'COEF Art 14 F I '!AF54,2)</f>
        <v>-83730.28</v>
      </c>
      <c r="Q54" s="186">
        <f t="shared" si="1"/>
        <v>27859612.373158045</v>
      </c>
    </row>
    <row r="55" spans="1:18">
      <c r="A55" s="149" t="s">
        <v>49</v>
      </c>
      <c r="B55" s="55">
        <f>ROUND(+'PART MES'!$E$4*+'CALCULO GARANTIA'!B54,2)</f>
        <v>6304769.9800000004</v>
      </c>
      <c r="C55" s="55">
        <f>ROUND(+'PART MES'!$E$5*+'CALCULO GARANTIA'!D54,2)</f>
        <v>838595.95</v>
      </c>
      <c r="D55" s="55">
        <f>ROUND(+'Art.14 Frac.III '!P53,2)</f>
        <v>464094.03</v>
      </c>
      <c r="E55" s="55">
        <f>ROUND(+'PART MES'!$E$6*+'CALCULO GARANTIA'!F54,2)</f>
        <v>212224.86</v>
      </c>
      <c r="F55" s="55">
        <f>ROUND(+'PART MES'!$E$7*+'CALCULO GARANTIA'!H54,2)</f>
        <v>183132.45</v>
      </c>
      <c r="G55" s="55">
        <f>ROUND(+'CALCULO GARANTIA'!J54+'CALCULO GARANTIA'!Q54,2)</f>
        <v>308653.87</v>
      </c>
      <c r="H55" s="55">
        <f>ROUND(+'CALCULO GARANTIA'!K54+'CALCULO GARANTIA'!R54,2)</f>
        <v>42806.81</v>
      </c>
      <c r="I55" s="55">
        <f>ROUND(+'PART MES'!E$12*'COEF Art 14 F II ieps'!L56,2)</f>
        <v>149352.75</v>
      </c>
      <c r="J55" s="55">
        <f>+'ISR JUNIO '!D54</f>
        <v>122920</v>
      </c>
      <c r="K55" s="55">
        <f>+ISAI!D52</f>
        <v>576683.24501752353</v>
      </c>
      <c r="L55" s="55">
        <f>ROUND('PART MES'!$N$4*'COEF Art 14 F I '!AF55,2)</f>
        <v>-336771.67</v>
      </c>
      <c r="M55" s="55">
        <f>ROUND('PART MES'!$N$5*'COEF Art 14 F I '!AF55,2)</f>
        <v>-175862.49</v>
      </c>
      <c r="N55" s="55">
        <f>ROUND('Art.14 Frac.III '!P123,2)</f>
        <v>-178973.81</v>
      </c>
      <c r="O55" s="55">
        <f>ROUND('PART MES'!$N$6*'COEF Art 14 F I '!AF55,2)</f>
        <v>-83517.61</v>
      </c>
      <c r="P55" s="55">
        <f>ROUND('PART MES'!$R$4*'COEF Art 14 F I '!AF55,2)</f>
        <v>-37119.31</v>
      </c>
      <c r="Q55" s="186">
        <f t="shared" si="1"/>
        <v>8390989.0550175235</v>
      </c>
    </row>
    <row r="56" spans="1:18">
      <c r="A56" s="149" t="s">
        <v>50</v>
      </c>
      <c r="B56" s="55">
        <f>ROUND(+'PART MES'!$E$4*+'CALCULO GARANTIA'!B55,2)</f>
        <v>1269756.5</v>
      </c>
      <c r="C56" s="55">
        <f>ROUND(+'PART MES'!$E$5*+'CALCULO GARANTIA'!D55,2)</f>
        <v>168890.01</v>
      </c>
      <c r="D56" s="55">
        <f>ROUND(+'Art.14 Frac.III '!P54,2)</f>
        <v>152620.25</v>
      </c>
      <c r="E56" s="55">
        <f>ROUND(+'PART MES'!$E$6*+'CALCULO GARANTIA'!F55,2)</f>
        <v>42741.27</v>
      </c>
      <c r="F56" s="55">
        <f>ROUND(+'PART MES'!$E$7*+'CALCULO GARANTIA'!H55,2)</f>
        <v>36882.17</v>
      </c>
      <c r="G56" s="55">
        <f>ROUND(+'CALCULO GARANTIA'!J55+'CALCULO GARANTIA'!Q55,2)</f>
        <v>59187.73</v>
      </c>
      <c r="H56" s="55">
        <f>ROUND(+'CALCULO GARANTIA'!K55+'CALCULO GARANTIA'!R55,2)</f>
        <v>8547.39</v>
      </c>
      <c r="I56" s="55">
        <f>ROUND(+'PART MES'!E$12*'COEF Art 14 F II ieps'!L57,2)</f>
        <v>15039.93</v>
      </c>
      <c r="J56" s="55">
        <f>+'ISR JUNIO '!D55</f>
        <v>0</v>
      </c>
      <c r="K56" s="55">
        <f>+ISAI!D53</f>
        <v>2541.307689077667</v>
      </c>
      <c r="L56" s="55">
        <f>ROUND('PART MES'!$N$4*'COEF Art 14 F I '!AF56,2)</f>
        <v>-59691.78</v>
      </c>
      <c r="M56" s="55">
        <f>ROUND('PART MES'!$N$5*'COEF Art 14 F I '!AF56,2)</f>
        <v>-31171.11</v>
      </c>
      <c r="N56" s="55">
        <f>ROUND('Art.14 Frac.III '!P124,2)</f>
        <v>-58852.82</v>
      </c>
      <c r="O56" s="55">
        <f>ROUND('PART MES'!$N$6*'COEF Art 14 F I '!AF56,2)</f>
        <v>-14803.25</v>
      </c>
      <c r="P56" s="55">
        <f>ROUND('PART MES'!$R$4*'COEF Art 14 F I '!AF56,2)</f>
        <v>-6579.29</v>
      </c>
      <c r="Q56" s="186">
        <f t="shared" si="1"/>
        <v>1585108.3076890772</v>
      </c>
    </row>
    <row r="57" spans="1:18" ht="13.5" thickBot="1">
      <c r="A57" s="150" t="s">
        <v>51</v>
      </c>
      <c r="B57" s="55">
        <f>ROUND(+'PART MES'!$E$4*+'CALCULO GARANTIA'!B56,2)</f>
        <v>1719722.46</v>
      </c>
      <c r="C57" s="55">
        <f>ROUND(+'PART MES'!$E$5*+'CALCULO GARANTIA'!D56,2)</f>
        <v>228739.87</v>
      </c>
      <c r="D57" s="55">
        <f>ROUND(+'Art.14 Frac.III '!P55,2)</f>
        <v>125914.23</v>
      </c>
      <c r="E57" s="55">
        <f>ROUND(+'PART MES'!$E$6*+'CALCULO GARANTIA'!F56,2)</f>
        <v>57887.58</v>
      </c>
      <c r="F57" s="55">
        <f>ROUND(+'PART MES'!$E$7*+'CALCULO GARANTIA'!H56,2)</f>
        <v>49952.18</v>
      </c>
      <c r="G57" s="55">
        <f>ROUND(+'CALCULO GARANTIA'!J56+'CALCULO GARANTIA'!Q56,2)</f>
        <v>69243.520000000004</v>
      </c>
      <c r="H57" s="55">
        <f>ROUND(+'CALCULO GARANTIA'!K56+'CALCULO GARANTIA'!R56,2)</f>
        <v>11305.65</v>
      </c>
      <c r="I57" s="55">
        <f>ROUND(+'PART MES'!E$12*'COEF Art 14 F II ieps'!L58,2)</f>
        <v>17344.87</v>
      </c>
      <c r="J57" s="55">
        <f>+'ISR JUNIO '!D56</f>
        <v>55537</v>
      </c>
      <c r="K57" s="55">
        <f>+ISAI!D54</f>
        <v>2018.5552370327055</v>
      </c>
      <c r="L57" s="55">
        <f>ROUND('PART MES'!$N$4*'COEF Art 14 F I '!AF57,2)</f>
        <v>-50986.31</v>
      </c>
      <c r="M57" s="55">
        <f>ROUND('PART MES'!$N$5*'COEF Art 14 F I '!AF57,2)</f>
        <v>-26625.1</v>
      </c>
      <c r="N57" s="55">
        <f>ROUND('Art.14 Frac.III '!P125,2)</f>
        <v>-48549.03</v>
      </c>
      <c r="O57" s="55">
        <f>ROUND('PART MES'!$N$6*'COEF Art 14 F I '!AF57,2)</f>
        <v>-12644.34</v>
      </c>
      <c r="P57" s="55">
        <f>ROUND('PART MES'!$R$4*'COEF Art 14 F I '!AF57,2)</f>
        <v>-5619.76</v>
      </c>
      <c r="Q57" s="186">
        <f t="shared" si="1"/>
        <v>2193241.3752370332</v>
      </c>
    </row>
    <row r="58" spans="1:18" ht="13.5" thickBot="1">
      <c r="A58" s="144" t="s">
        <v>52</v>
      </c>
      <c r="B58" s="145">
        <f t="shared" ref="B58:F58" si="2">SUM(B7:B57)</f>
        <v>518463309.81000006</v>
      </c>
      <c r="C58" s="145">
        <f t="shared" si="2"/>
        <v>68960681.010000005</v>
      </c>
      <c r="D58" s="146">
        <f t="shared" si="2"/>
        <v>18258721.779999997</v>
      </c>
      <c r="E58" s="145">
        <f t="shared" si="2"/>
        <v>17451993.599999998</v>
      </c>
      <c r="F58" s="145">
        <f t="shared" si="2"/>
        <v>15059622.200000001</v>
      </c>
      <c r="G58" s="145">
        <f t="shared" ref="G58:Q58" si="3">SUM(G7:G57)</f>
        <v>23007705.999999996</v>
      </c>
      <c r="H58" s="145">
        <f t="shared" si="3"/>
        <v>3461296.3899999997</v>
      </c>
      <c r="I58" s="145">
        <f t="shared" si="3"/>
        <v>14197202.809999999</v>
      </c>
      <c r="J58" s="145">
        <f t="shared" si="3"/>
        <v>92078994.1665335</v>
      </c>
      <c r="K58" s="145">
        <f t="shared" si="3"/>
        <v>11414375.800000001</v>
      </c>
      <c r="L58" s="146">
        <f t="shared" si="3"/>
        <v>-21201943.619999994</v>
      </c>
      <c r="M58" s="146">
        <f t="shared" si="3"/>
        <v>-11071674.959999999</v>
      </c>
      <c r="N58" s="146">
        <f t="shared" si="3"/>
        <v>-6760044.0099999998</v>
      </c>
      <c r="O58" s="146">
        <f t="shared" si="3"/>
        <v>-5257970.9899999993</v>
      </c>
      <c r="P58" s="146">
        <f t="shared" si="3"/>
        <v>-2336899.1</v>
      </c>
      <c r="Q58" s="147">
        <f t="shared" si="3"/>
        <v>735725370.8865335</v>
      </c>
      <c r="R58" s="16" t="s">
        <v>154</v>
      </c>
    </row>
    <row r="59" spans="1:18">
      <c r="A59" s="338" t="s">
        <v>327</v>
      </c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 t="s">
        <v>154</v>
      </c>
    </row>
    <row r="60" spans="1:18" ht="16.5" customHeight="1">
      <c r="A60" s="15" t="s">
        <v>108</v>
      </c>
      <c r="B60" s="51"/>
      <c r="C60" s="51"/>
      <c r="D60" s="51"/>
      <c r="E60" s="51"/>
    </row>
    <row r="61" spans="1:18">
      <c r="A61" s="17"/>
    </row>
    <row r="62" spans="1:18">
      <c r="A62" s="17"/>
    </row>
    <row r="63" spans="1:18" ht="16.5" customHeight="1">
      <c r="A63" s="399"/>
      <c r="B63" s="399"/>
      <c r="C63" s="399"/>
      <c r="D63" s="399"/>
      <c r="E63" s="399"/>
      <c r="F63" s="399"/>
    </row>
    <row r="64" spans="1:18">
      <c r="A64" s="399"/>
      <c r="B64" s="399"/>
      <c r="C64" s="399"/>
      <c r="D64" s="399"/>
      <c r="E64" s="399"/>
      <c r="F64" s="399"/>
    </row>
    <row r="65" spans="1:6">
      <c r="A65" s="399"/>
      <c r="B65" s="399"/>
      <c r="C65" s="399"/>
      <c r="D65" s="399"/>
      <c r="E65" s="399"/>
      <c r="F65" s="399"/>
    </row>
    <row r="66" spans="1:6">
      <c r="A66" s="400"/>
      <c r="B66" s="401"/>
      <c r="C66" s="401"/>
      <c r="D66" s="401"/>
      <c r="E66" s="401"/>
      <c r="F66" s="402"/>
    </row>
    <row r="67" spans="1:6">
      <c r="A67" s="400"/>
      <c r="B67" s="401"/>
      <c r="C67" s="401"/>
      <c r="D67" s="401"/>
      <c r="E67" s="401"/>
      <c r="F67" s="402"/>
    </row>
    <row r="68" spans="1:6">
      <c r="A68" s="370"/>
      <c r="B68" s="55"/>
      <c r="C68" s="55"/>
      <c r="D68" s="55"/>
      <c r="E68" s="55"/>
      <c r="F68" s="371"/>
    </row>
    <row r="69" spans="1:6">
      <c r="A69" s="370"/>
      <c r="B69" s="55"/>
      <c r="C69" s="55"/>
      <c r="D69" s="55"/>
      <c r="E69" s="55"/>
      <c r="F69" s="371"/>
    </row>
    <row r="70" spans="1:6">
      <c r="A70" s="370"/>
      <c r="B70" s="55"/>
      <c r="C70" s="55"/>
      <c r="D70" s="55"/>
      <c r="E70" s="55"/>
      <c r="F70" s="371"/>
    </row>
    <row r="71" spans="1:6">
      <c r="A71" s="370"/>
      <c r="B71" s="55"/>
      <c r="C71" s="55"/>
      <c r="D71" s="55"/>
      <c r="E71" s="55"/>
      <c r="F71" s="371"/>
    </row>
    <row r="72" spans="1:6">
      <c r="A72" s="370"/>
      <c r="B72" s="55"/>
      <c r="C72" s="55"/>
      <c r="D72" s="55"/>
      <c r="E72" s="55"/>
      <c r="F72" s="371"/>
    </row>
    <row r="73" spans="1:6">
      <c r="A73" s="370"/>
      <c r="B73" s="55"/>
      <c r="C73" s="55"/>
      <c r="D73" s="55"/>
      <c r="E73" s="55"/>
      <c r="F73" s="371"/>
    </row>
    <row r="74" spans="1:6">
      <c r="A74" s="370"/>
      <c r="B74" s="55"/>
      <c r="C74" s="55"/>
      <c r="D74" s="55"/>
      <c r="E74" s="55"/>
      <c r="F74" s="371"/>
    </row>
    <row r="75" spans="1:6">
      <c r="A75" s="370"/>
      <c r="B75" s="55"/>
      <c r="C75" s="55"/>
      <c r="D75" s="55"/>
      <c r="E75" s="55"/>
      <c r="F75" s="371"/>
    </row>
    <row r="76" spans="1:6">
      <c r="A76" s="370"/>
      <c r="B76" s="55"/>
      <c r="C76" s="55"/>
      <c r="D76" s="55"/>
      <c r="E76" s="55"/>
      <c r="F76" s="371"/>
    </row>
    <row r="77" spans="1:6">
      <c r="A77" s="370"/>
      <c r="B77" s="55"/>
      <c r="C77" s="55"/>
      <c r="D77" s="55"/>
      <c r="E77" s="55"/>
      <c r="F77" s="371"/>
    </row>
    <row r="78" spans="1:6">
      <c r="A78" s="370"/>
      <c r="B78" s="55"/>
      <c r="C78" s="55"/>
      <c r="D78" s="55"/>
      <c r="E78" s="55"/>
      <c r="F78" s="371"/>
    </row>
    <row r="79" spans="1:6">
      <c r="A79" s="370"/>
      <c r="B79" s="55"/>
      <c r="C79" s="55"/>
      <c r="D79" s="55"/>
      <c r="E79" s="55"/>
      <c r="F79" s="371"/>
    </row>
    <row r="80" spans="1:6">
      <c r="A80" s="370"/>
      <c r="B80" s="55"/>
      <c r="C80" s="55"/>
      <c r="D80" s="55"/>
      <c r="E80" s="55"/>
      <c r="F80" s="371"/>
    </row>
    <row r="81" spans="1:6">
      <c r="A81" s="370"/>
      <c r="B81" s="55"/>
      <c r="C81" s="55"/>
      <c r="D81" s="55"/>
      <c r="E81" s="55"/>
      <c r="F81" s="371"/>
    </row>
    <row r="82" spans="1:6">
      <c r="A82" s="370"/>
      <c r="B82" s="55"/>
      <c r="C82" s="55"/>
      <c r="D82" s="55"/>
      <c r="E82" s="55"/>
      <c r="F82" s="371"/>
    </row>
    <row r="83" spans="1:6">
      <c r="A83" s="370"/>
      <c r="B83" s="55"/>
      <c r="C83" s="55"/>
      <c r="D83" s="55"/>
      <c r="E83" s="55"/>
      <c r="F83" s="371"/>
    </row>
    <row r="84" spans="1:6">
      <c r="A84" s="370"/>
      <c r="B84" s="55"/>
      <c r="C84" s="55"/>
      <c r="D84" s="55"/>
      <c r="E84" s="55"/>
      <c r="F84" s="371"/>
    </row>
    <row r="85" spans="1:6">
      <c r="A85" s="370"/>
      <c r="B85" s="55"/>
      <c r="C85" s="55"/>
      <c r="D85" s="55"/>
      <c r="E85" s="55"/>
      <c r="F85" s="371"/>
    </row>
    <row r="86" spans="1:6">
      <c r="A86" s="370"/>
      <c r="B86" s="55"/>
      <c r="C86" s="55"/>
      <c r="D86" s="55"/>
      <c r="E86" s="55"/>
      <c r="F86" s="371"/>
    </row>
    <row r="87" spans="1:6">
      <c r="A87" s="370"/>
      <c r="B87" s="55"/>
      <c r="C87" s="55"/>
      <c r="D87" s="55"/>
      <c r="E87" s="55"/>
      <c r="F87" s="371"/>
    </row>
    <row r="88" spans="1:6">
      <c r="A88" s="370"/>
      <c r="B88" s="55"/>
      <c r="C88" s="55"/>
      <c r="D88" s="55"/>
      <c r="E88" s="55"/>
      <c r="F88" s="371"/>
    </row>
    <row r="89" spans="1:6">
      <c r="A89" s="370"/>
      <c r="B89" s="55"/>
      <c r="C89" s="55"/>
      <c r="D89" s="55"/>
      <c r="E89" s="55"/>
      <c r="F89" s="371"/>
    </row>
    <row r="90" spans="1:6">
      <c r="A90" s="370"/>
      <c r="B90" s="55"/>
      <c r="C90" s="55"/>
      <c r="D90" s="55"/>
      <c r="E90" s="55"/>
      <c r="F90" s="371"/>
    </row>
    <row r="91" spans="1:6">
      <c r="A91" s="370"/>
      <c r="B91" s="55"/>
      <c r="C91" s="55"/>
      <c r="D91" s="55"/>
      <c r="E91" s="55"/>
      <c r="F91" s="371"/>
    </row>
    <row r="92" spans="1:6">
      <c r="A92" s="370"/>
      <c r="B92" s="55"/>
      <c r="C92" s="55"/>
      <c r="D92" s="55"/>
      <c r="E92" s="55"/>
      <c r="F92" s="371"/>
    </row>
    <row r="93" spans="1:6">
      <c r="A93" s="370"/>
      <c r="B93" s="55"/>
      <c r="C93" s="55"/>
      <c r="D93" s="55"/>
      <c r="E93" s="55"/>
      <c r="F93" s="371"/>
    </row>
    <row r="94" spans="1:6">
      <c r="A94" s="370"/>
      <c r="B94" s="55"/>
      <c r="C94" s="55"/>
      <c r="D94" s="55"/>
      <c r="E94" s="55"/>
      <c r="F94" s="371"/>
    </row>
    <row r="95" spans="1:6">
      <c r="A95" s="370"/>
      <c r="B95" s="55"/>
      <c r="C95" s="55"/>
      <c r="D95" s="55"/>
      <c r="E95" s="55"/>
      <c r="F95" s="371"/>
    </row>
    <row r="96" spans="1:6">
      <c r="A96" s="370"/>
      <c r="B96" s="55"/>
      <c r="C96" s="55"/>
      <c r="D96" s="55"/>
      <c r="E96" s="55"/>
      <c r="F96" s="371"/>
    </row>
    <row r="97" spans="1:6">
      <c r="A97" s="370"/>
      <c r="B97" s="55"/>
      <c r="C97" s="55"/>
      <c r="D97" s="55"/>
      <c r="E97" s="55"/>
      <c r="F97" s="371"/>
    </row>
    <row r="98" spans="1:6">
      <c r="A98" s="370"/>
      <c r="B98" s="55"/>
      <c r="C98" s="55"/>
      <c r="D98" s="55"/>
      <c r="E98" s="55"/>
      <c r="F98" s="371"/>
    </row>
    <row r="99" spans="1:6">
      <c r="A99" s="370"/>
      <c r="B99" s="55"/>
      <c r="C99" s="55"/>
      <c r="D99" s="55"/>
      <c r="E99" s="55"/>
      <c r="F99" s="371"/>
    </row>
    <row r="100" spans="1:6">
      <c r="A100" s="370"/>
      <c r="B100" s="55"/>
      <c r="C100" s="55"/>
      <c r="D100" s="55"/>
      <c r="E100" s="55"/>
      <c r="F100" s="371"/>
    </row>
    <row r="101" spans="1:6">
      <c r="A101" s="370"/>
      <c r="B101" s="55"/>
      <c r="C101" s="55"/>
      <c r="D101" s="55"/>
      <c r="E101" s="55"/>
      <c r="F101" s="371"/>
    </row>
    <row r="102" spans="1:6">
      <c r="A102" s="370"/>
      <c r="B102" s="55"/>
      <c r="C102" s="55"/>
      <c r="D102" s="55"/>
      <c r="E102" s="55"/>
      <c r="F102" s="371"/>
    </row>
    <row r="103" spans="1:6">
      <c r="A103" s="370"/>
      <c r="B103" s="55"/>
      <c r="C103" s="55"/>
      <c r="D103" s="55"/>
      <c r="E103" s="55"/>
      <c r="F103" s="371"/>
    </row>
    <row r="104" spans="1:6">
      <c r="A104" s="370"/>
      <c r="B104" s="55"/>
      <c r="C104" s="55"/>
      <c r="D104" s="55"/>
      <c r="E104" s="55"/>
      <c r="F104" s="371"/>
    </row>
    <row r="105" spans="1:6">
      <c r="A105" s="370"/>
      <c r="B105" s="55"/>
      <c r="C105" s="55"/>
      <c r="D105" s="55"/>
      <c r="E105" s="55"/>
      <c r="F105" s="371"/>
    </row>
    <row r="106" spans="1:6">
      <c r="A106" s="370"/>
      <c r="B106" s="55"/>
      <c r="C106" s="55"/>
      <c r="D106" s="55"/>
      <c r="E106" s="55"/>
      <c r="F106" s="371"/>
    </row>
    <row r="107" spans="1:6">
      <c r="A107" s="370"/>
      <c r="B107" s="55"/>
      <c r="C107" s="55"/>
      <c r="D107" s="55"/>
      <c r="E107" s="55"/>
      <c r="F107" s="371"/>
    </row>
    <row r="108" spans="1:6">
      <c r="A108" s="370"/>
      <c r="B108" s="55"/>
      <c r="C108" s="55"/>
      <c r="D108" s="55"/>
      <c r="E108" s="55"/>
      <c r="F108" s="371"/>
    </row>
    <row r="109" spans="1:6">
      <c r="A109" s="370"/>
      <c r="B109" s="55"/>
      <c r="C109" s="55"/>
      <c r="D109" s="55"/>
      <c r="E109" s="55"/>
      <c r="F109" s="371"/>
    </row>
    <row r="110" spans="1:6">
      <c r="A110" s="370"/>
      <c r="B110" s="55"/>
      <c r="C110" s="55"/>
      <c r="D110" s="55"/>
      <c r="E110" s="55"/>
      <c r="F110" s="371"/>
    </row>
    <row r="111" spans="1:6">
      <c r="A111" s="370"/>
      <c r="B111" s="55"/>
      <c r="C111" s="55"/>
      <c r="D111" s="55"/>
      <c r="E111" s="55"/>
      <c r="F111" s="371"/>
    </row>
    <row r="112" spans="1:6">
      <c r="A112" s="370"/>
      <c r="B112" s="55"/>
      <c r="C112" s="55"/>
      <c r="D112" s="55"/>
      <c r="E112" s="55"/>
      <c r="F112" s="371"/>
    </row>
    <row r="113" spans="1:6">
      <c r="A113" s="370"/>
      <c r="B113" s="55"/>
      <c r="C113" s="55"/>
      <c r="D113" s="55"/>
      <c r="E113" s="55"/>
      <c r="F113" s="371"/>
    </row>
    <row r="114" spans="1:6">
      <c r="A114" s="370"/>
      <c r="B114" s="55"/>
      <c r="C114" s="55"/>
      <c r="D114" s="55"/>
      <c r="E114" s="55"/>
      <c r="F114" s="371"/>
    </row>
    <row r="115" spans="1:6">
      <c r="A115" s="370"/>
      <c r="B115" s="55"/>
      <c r="C115" s="55"/>
      <c r="D115" s="55"/>
      <c r="E115" s="55"/>
      <c r="F115" s="371"/>
    </row>
    <row r="116" spans="1:6">
      <c r="A116" s="370"/>
      <c r="B116" s="55"/>
      <c r="C116" s="55"/>
      <c r="D116" s="55"/>
      <c r="E116" s="55"/>
      <c r="F116" s="371"/>
    </row>
    <row r="117" spans="1:6">
      <c r="A117" s="370"/>
      <c r="B117" s="55"/>
      <c r="C117" s="55"/>
      <c r="D117" s="55"/>
      <c r="E117" s="55"/>
      <c r="F117" s="371"/>
    </row>
    <row r="118" spans="1:6">
      <c r="A118" s="370"/>
      <c r="B118" s="55"/>
      <c r="C118" s="55"/>
      <c r="D118" s="55"/>
      <c r="E118" s="55"/>
      <c r="F118" s="371"/>
    </row>
    <row r="119" spans="1:6">
      <c r="A119" s="370"/>
      <c r="B119" s="371"/>
      <c r="C119" s="371"/>
      <c r="D119" s="371"/>
      <c r="E119" s="371"/>
      <c r="F119" s="371"/>
    </row>
    <row r="120" spans="1:6">
      <c r="A120" s="372"/>
      <c r="B120" s="50"/>
      <c r="C120" s="50"/>
      <c r="D120" s="50"/>
      <c r="E120" s="50"/>
      <c r="F120" s="50"/>
    </row>
    <row r="121" spans="1:6">
      <c r="A121" s="373"/>
      <c r="B121" s="374"/>
      <c r="C121" s="374"/>
      <c r="D121" s="374"/>
      <c r="E121" s="375"/>
      <c r="F121" s="375"/>
    </row>
  </sheetData>
  <mergeCells count="30">
    <mergeCell ref="A3:Q3"/>
    <mergeCell ref="P5:P6"/>
    <mergeCell ref="Q5:Q6"/>
    <mergeCell ref="L4:P4"/>
    <mergeCell ref="N5:N6"/>
    <mergeCell ref="A1:Q1"/>
    <mergeCell ref="A2:Q2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O5:O6"/>
    <mergeCell ref="A63:F63"/>
    <mergeCell ref="A64:F64"/>
    <mergeCell ref="A65:F65"/>
    <mergeCell ref="A66:A67"/>
    <mergeCell ref="B66:B67"/>
    <mergeCell ref="C66:C67"/>
    <mergeCell ref="D66:D67"/>
    <mergeCell ref="E66:E67"/>
    <mergeCell ref="F66:F67"/>
  </mergeCells>
  <printOptions horizontalCentered="1"/>
  <pageMargins left="0.39370078740157483" right="0.39370078740157483" top="0.15748031496062992" bottom="0.15748031496062992" header="0.15748031496062992" footer="0.15748031496062992"/>
  <pageSetup scale="69" orientation="landscape" r:id="rId1"/>
  <headerFooter alignWithMargins="0">
    <oddFooter>&amp;R&amp;D
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7"/>
  <sheetViews>
    <sheetView showGridLines="0" topLeftCell="A4" zoomScaleNormal="100" workbookViewId="0">
      <pane xSplit="2" ySplit="1" topLeftCell="C5" activePane="bottomRight" state="frozen"/>
      <selection activeCell="A4" sqref="A4"/>
      <selection pane="topRight" activeCell="B4" sqref="B4"/>
      <selection pane="bottomLeft" activeCell="A6" sqref="A6"/>
      <selection pane="bottomRight" activeCell="AB5" sqref="AB5"/>
    </sheetView>
  </sheetViews>
  <sheetFormatPr baseColWidth="10" defaultColWidth="9.7109375" defaultRowHeight="12.75"/>
  <cols>
    <col min="1" max="1" width="2.5703125" style="2" customWidth="1"/>
    <col min="2" max="2" width="28.85546875" style="2" customWidth="1"/>
    <col min="3" max="7" width="15.7109375" style="2" customWidth="1"/>
    <col min="8" max="8" width="12.42578125" style="2" customWidth="1"/>
    <col min="9" max="9" width="15.42578125" style="2" customWidth="1"/>
    <col min="10" max="10" width="12.5703125" style="5" customWidth="1"/>
    <col min="11" max="11" width="12.28515625" style="2" customWidth="1"/>
    <col min="12" max="12" width="15.5703125" style="2" customWidth="1"/>
    <col min="13" max="13" width="12" style="5" customWidth="1"/>
    <col min="14" max="14" width="17.7109375" style="6" customWidth="1"/>
    <col min="15" max="15" width="18" style="2" customWidth="1"/>
    <col min="16" max="16" width="16.140625" style="2" customWidth="1"/>
    <col min="17" max="17" width="14.140625" style="2" customWidth="1"/>
    <col min="18" max="18" width="15.5703125" style="2" customWidth="1"/>
    <col min="19" max="19" width="16.140625" style="2" customWidth="1"/>
    <col min="20" max="20" width="15" style="2" customWidth="1"/>
    <col min="21" max="21" width="14" style="2" customWidth="1"/>
    <col min="22" max="22" width="12.85546875" style="2" customWidth="1"/>
    <col min="23" max="23" width="14.42578125" style="2" customWidth="1"/>
    <col min="24" max="24" width="16.85546875" style="2" customWidth="1"/>
    <col min="25" max="25" width="14.140625" style="5" customWidth="1"/>
    <col min="26" max="26" width="18.42578125" style="2" bestFit="1" customWidth="1"/>
    <col min="27" max="27" width="3.7109375" style="1" customWidth="1"/>
    <col min="28" max="30" width="18.42578125" style="2" customWidth="1"/>
    <col min="31" max="31" width="20.140625" style="2" customWidth="1"/>
    <col min="32" max="32" width="16.140625" style="2" bestFit="1" customWidth="1"/>
    <col min="33" max="16384" width="9.7109375" style="2"/>
  </cols>
  <sheetData>
    <row r="1" spans="1:32" ht="33" customHeigh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ht="26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ht="18.75" thickBot="1">
      <c r="C3" s="415" t="s">
        <v>99</v>
      </c>
      <c r="D3" s="415"/>
      <c r="E3" s="415"/>
      <c r="F3" s="415"/>
      <c r="G3" s="415"/>
      <c r="H3" s="414" t="s">
        <v>60</v>
      </c>
      <c r="I3" s="414"/>
      <c r="J3" s="414"/>
      <c r="K3" s="414"/>
      <c r="L3" s="414"/>
      <c r="M3" s="414"/>
      <c r="N3" s="414"/>
      <c r="O3" s="414" t="s">
        <v>87</v>
      </c>
      <c r="P3" s="414"/>
      <c r="Q3" s="414"/>
      <c r="R3" s="414"/>
      <c r="S3" s="414"/>
      <c r="T3" s="414"/>
      <c r="U3" s="414"/>
      <c r="V3" s="414"/>
      <c r="W3" s="10"/>
      <c r="X3" s="414"/>
      <c r="Y3" s="414"/>
      <c r="Z3" s="240" t="s">
        <v>87</v>
      </c>
      <c r="AB3" s="415" t="s">
        <v>113</v>
      </c>
      <c r="AC3" s="415"/>
      <c r="AD3" s="415"/>
      <c r="AE3" s="415"/>
      <c r="AF3" s="415"/>
    </row>
    <row r="4" spans="1:32" ht="64.5" thickBot="1">
      <c r="B4" s="192" t="s">
        <v>0</v>
      </c>
      <c r="C4" s="192" t="s">
        <v>329</v>
      </c>
      <c r="D4" s="192" t="s">
        <v>330</v>
      </c>
      <c r="E4" s="248" t="s">
        <v>111</v>
      </c>
      <c r="F4" s="249" t="s">
        <v>112</v>
      </c>
      <c r="G4" s="250" t="s">
        <v>77</v>
      </c>
      <c r="H4" s="192" t="s">
        <v>218</v>
      </c>
      <c r="I4" s="248" t="s">
        <v>73</v>
      </c>
      <c r="J4" s="251">
        <v>0.85</v>
      </c>
      <c r="K4" s="192" t="s">
        <v>58</v>
      </c>
      <c r="L4" s="248" t="s">
        <v>74</v>
      </c>
      <c r="M4" s="251">
        <v>0.15</v>
      </c>
      <c r="N4" s="252" t="s">
        <v>75</v>
      </c>
      <c r="O4" s="188" t="s">
        <v>255</v>
      </c>
      <c r="P4" s="188" t="s">
        <v>256</v>
      </c>
      <c r="Q4" s="188" t="s">
        <v>348</v>
      </c>
      <c r="R4" s="192" t="s">
        <v>349</v>
      </c>
      <c r="S4" s="242" t="s">
        <v>311</v>
      </c>
      <c r="T4" s="242" t="s">
        <v>312</v>
      </c>
      <c r="U4" s="192" t="s">
        <v>313</v>
      </c>
      <c r="V4" s="188" t="s">
        <v>314</v>
      </c>
      <c r="W4" s="245" t="s">
        <v>315</v>
      </c>
      <c r="X4" s="242" t="s">
        <v>316</v>
      </c>
      <c r="Y4" s="192" t="s">
        <v>89</v>
      </c>
      <c r="Z4" s="253" t="s">
        <v>76</v>
      </c>
      <c r="AB4" s="254" t="s">
        <v>90</v>
      </c>
      <c r="AC4" s="254" t="s">
        <v>88</v>
      </c>
      <c r="AD4" s="254" t="s">
        <v>89</v>
      </c>
      <c r="AE4" s="254" t="s">
        <v>119</v>
      </c>
      <c r="AF4" s="254" t="s">
        <v>78</v>
      </c>
    </row>
    <row r="5" spans="1:32" s="3" customFormat="1" ht="22.5">
      <c r="B5" s="244"/>
      <c r="C5" s="255" t="s">
        <v>151</v>
      </c>
      <c r="D5" s="246" t="s">
        <v>152</v>
      </c>
      <c r="E5" s="246" t="s">
        <v>54</v>
      </c>
      <c r="F5" s="246" t="s">
        <v>55</v>
      </c>
      <c r="G5" s="256" t="s">
        <v>68</v>
      </c>
      <c r="H5" s="244" t="s">
        <v>57</v>
      </c>
      <c r="I5" s="246" t="s">
        <v>66</v>
      </c>
      <c r="J5" s="257" t="s">
        <v>69</v>
      </c>
      <c r="K5" s="243" t="s">
        <v>59</v>
      </c>
      <c r="L5" s="246" t="s">
        <v>70</v>
      </c>
      <c r="M5" s="257" t="s">
        <v>71</v>
      </c>
      <c r="N5" s="258" t="s">
        <v>61</v>
      </c>
      <c r="O5" s="243" t="s">
        <v>317</v>
      </c>
      <c r="P5" s="243" t="s">
        <v>318</v>
      </c>
      <c r="Q5" s="243" t="s">
        <v>319</v>
      </c>
      <c r="R5" s="243" t="s">
        <v>320</v>
      </c>
      <c r="S5" s="244" t="s">
        <v>321</v>
      </c>
      <c r="T5" s="244" t="s">
        <v>257</v>
      </c>
      <c r="U5" s="243" t="s">
        <v>322</v>
      </c>
      <c r="V5" s="243" t="s">
        <v>323</v>
      </c>
      <c r="W5" s="243" t="s">
        <v>258</v>
      </c>
      <c r="X5" s="243" t="s">
        <v>324</v>
      </c>
      <c r="Y5" s="246" t="s">
        <v>325</v>
      </c>
      <c r="Z5" s="247" t="s">
        <v>326</v>
      </c>
      <c r="AA5" s="259"/>
      <c r="AB5" s="243">
        <f>+AE5*0.5</f>
        <v>428748290.78999978</v>
      </c>
      <c r="AC5" s="243">
        <f>+AE5*0.25</f>
        <v>214374145.39499989</v>
      </c>
      <c r="AD5" s="243">
        <f>+AE5*0.25</f>
        <v>214374145.39499989</v>
      </c>
      <c r="AE5" s="243">
        <f>+'PART PEF2022 '!F10</f>
        <v>857496581.57999957</v>
      </c>
    </row>
    <row r="6" spans="1:32" s="4" customFormat="1" ht="23.25" customHeight="1" thickBot="1">
      <c r="B6" s="260"/>
      <c r="C6" s="261"/>
      <c r="D6" s="261"/>
      <c r="E6" s="261"/>
      <c r="F6" s="261"/>
      <c r="G6" s="262"/>
      <c r="H6" s="260"/>
      <c r="I6" s="261"/>
      <c r="J6" s="263"/>
      <c r="K6" s="261"/>
      <c r="L6" s="261"/>
      <c r="M6" s="263"/>
      <c r="N6" s="264"/>
      <c r="O6" s="265"/>
      <c r="P6" s="265"/>
      <c r="Q6" s="265"/>
      <c r="R6" s="265"/>
      <c r="S6" s="266"/>
      <c r="T6" s="266"/>
      <c r="U6" s="265"/>
      <c r="V6" s="265"/>
      <c r="W6" s="265"/>
      <c r="X6" s="267"/>
      <c r="Y6" s="1"/>
      <c r="Z6" s="268"/>
      <c r="AA6" s="261"/>
      <c r="AB6" s="243" t="s">
        <v>100</v>
      </c>
      <c r="AC6" s="243" t="s">
        <v>101</v>
      </c>
      <c r="AD6" s="243" t="s">
        <v>65</v>
      </c>
      <c r="AE6" s="269" t="s">
        <v>102</v>
      </c>
      <c r="AF6" s="269" t="s">
        <v>63</v>
      </c>
    </row>
    <row r="7" spans="1:32" ht="13.5" thickTop="1">
      <c r="A7" s="18" t="s">
        <v>259</v>
      </c>
      <c r="B7" s="195" t="s">
        <v>1</v>
      </c>
      <c r="C7" s="270">
        <v>626624</v>
      </c>
      <c r="D7" s="270">
        <v>200922.61</v>
      </c>
      <c r="E7" s="271">
        <f t="shared" ref="E7:E58" si="0">+D7/C7</f>
        <v>0.32064301718414867</v>
      </c>
      <c r="F7" s="272">
        <f>+E7*D7</f>
        <v>64424.431890913998</v>
      </c>
      <c r="G7" s="279">
        <f t="shared" ref="G7:G57" si="1">+F7/F$58</f>
        <v>3.4038473246129935E-5</v>
      </c>
      <c r="H7" s="273">
        <v>2974</v>
      </c>
      <c r="I7" s="274">
        <f t="shared" ref="I7:I57" si="2">+H7/$H$58</f>
        <v>5.141377508841821E-4</v>
      </c>
      <c r="J7" s="274">
        <f>+I7*J$4</f>
        <v>4.3701708825155477E-4</v>
      </c>
      <c r="K7" s="270">
        <v>46.9</v>
      </c>
      <c r="L7" s="318">
        <f t="shared" ref="L7:L58" si="3">+K7/$K$58</f>
        <v>7.3102605507790314E-4</v>
      </c>
      <c r="M7" s="275">
        <f>+L7*M$4</f>
        <v>1.0965390826168547E-4</v>
      </c>
      <c r="N7" s="279">
        <f>+M7+J7</f>
        <v>5.4667099651324028E-4</v>
      </c>
      <c r="O7" s="276">
        <v>296</v>
      </c>
      <c r="P7" s="276">
        <v>291</v>
      </c>
      <c r="Q7" s="277">
        <v>1.7570912812999999</v>
      </c>
      <c r="R7" s="278">
        <f>+P7/P$58</f>
        <v>2.7055597858981759E-4</v>
      </c>
      <c r="S7" s="277">
        <f t="shared" ref="S7:S57" si="4">+Q7*R7</f>
        <v>4.7539155108375792E-4</v>
      </c>
      <c r="T7" s="277">
        <f>+S7/S$58</f>
        <v>2.4656536212427173E-4</v>
      </c>
      <c r="U7" s="276">
        <f>+AD$5*0.85*T7</f>
        <v>44928.652970989511</v>
      </c>
      <c r="V7" s="278">
        <f t="shared" ref="V7:V57" si="5">+O7/P7</f>
        <v>1.0171821305841924</v>
      </c>
      <c r="W7" s="278">
        <f>+V7/V$58</f>
        <v>1.351657209931304E-2</v>
      </c>
      <c r="X7" s="276">
        <f>AD$5*0.15*W7</f>
        <v>434640.53886901983</v>
      </c>
      <c r="Y7" s="270">
        <f t="shared" ref="Y7:Y57" si="6">+X7+U7</f>
        <v>479569.19184000936</v>
      </c>
      <c r="Z7" s="279">
        <f>+Y7/Y$58</f>
        <v>2.2370663727025869E-3</v>
      </c>
      <c r="AB7" s="280">
        <f t="shared" ref="AB7:AB57" si="7">+G7*AB$5</f>
        <v>14593.937225379344</v>
      </c>
      <c r="AC7" s="281">
        <f t="shared" ref="AC7:AC57" si="8">+N7*AC$5</f>
        <v>117192.12768975885</v>
      </c>
      <c r="AD7" s="281">
        <f>+Z7*AD$5</f>
        <v>479569.19184000936</v>
      </c>
      <c r="AE7" s="281">
        <f>SUM(AB7:AD7)</f>
        <v>611355.25675514759</v>
      </c>
      <c r="AF7" s="315">
        <f>+AE7/AE$58</f>
        <v>7.1295357892702178E-4</v>
      </c>
    </row>
    <row r="8" spans="1:32">
      <c r="A8" s="18" t="s">
        <v>260</v>
      </c>
      <c r="B8" s="200" t="s">
        <v>2</v>
      </c>
      <c r="C8" s="282">
        <v>2597546</v>
      </c>
      <c r="D8" s="282">
        <v>996274</v>
      </c>
      <c r="E8" s="283">
        <f t="shared" si="0"/>
        <v>0.38354431451839543</v>
      </c>
      <c r="F8" s="284">
        <f t="shared" ref="F8:F57" si="9">+E8*D8</f>
        <v>382115.22840249987</v>
      </c>
      <c r="G8" s="291">
        <f t="shared" si="1"/>
        <v>2.0188954092665722E-4</v>
      </c>
      <c r="H8" s="285">
        <v>3382</v>
      </c>
      <c r="I8" s="286">
        <f t="shared" si="2"/>
        <v>5.8467177992276519E-4</v>
      </c>
      <c r="J8" s="286">
        <f t="shared" ref="J8:J57" si="10">+I8*J$4</f>
        <v>4.9697101293435045E-4</v>
      </c>
      <c r="K8" s="282">
        <v>980.9</v>
      </c>
      <c r="L8" s="319">
        <f t="shared" si="3"/>
        <v>1.528919951867623E-2</v>
      </c>
      <c r="M8" s="287">
        <f t="shared" ref="M8:M57" si="11">+L8*M$4</f>
        <v>2.2933799278014345E-3</v>
      </c>
      <c r="N8" s="291">
        <f t="shared" ref="N8:N57" si="12">+M8+J8</f>
        <v>2.7903509407357849E-3</v>
      </c>
      <c r="O8" s="288">
        <v>250</v>
      </c>
      <c r="P8" s="288">
        <v>278</v>
      </c>
      <c r="Q8" s="289">
        <v>1.7189329948000001</v>
      </c>
      <c r="R8" s="290">
        <f t="shared" ref="R8:R57" si="13">+P8/P$58</f>
        <v>2.5846928538821062E-4</v>
      </c>
      <c r="S8" s="289">
        <f t="shared" si="4"/>
        <v>4.4429138279617278E-4</v>
      </c>
      <c r="T8" s="289">
        <f t="shared" ref="T8:T57" si="14">+S8/S$58</f>
        <v>2.3043502863712235E-4</v>
      </c>
      <c r="U8" s="288">
        <f t="shared" ref="U8:U57" si="15">+AD$5*0.85*T8</f>
        <v>41989.415483182114</v>
      </c>
      <c r="V8" s="290">
        <f t="shared" si="5"/>
        <v>0.89928057553956831</v>
      </c>
      <c r="W8" s="290">
        <f t="shared" ref="W8:W57" si="16">+V8/V$58</f>
        <v>1.1949866568941082E-2</v>
      </c>
      <c r="X8" s="288">
        <f t="shared" ref="X8:X57" si="17">AD$5*0.15*W8</f>
        <v>384261.36499515356</v>
      </c>
      <c r="Y8" s="282">
        <f t="shared" si="6"/>
        <v>426250.78047833568</v>
      </c>
      <c r="Z8" s="291">
        <f t="shared" ref="Z8:Z57" si="18">+Y8/Y$58</f>
        <v>1.9883497596827164E-3</v>
      </c>
      <c r="AB8" s="292">
        <f t="shared" si="7"/>
        <v>86559.795600681988</v>
      </c>
      <c r="AC8" s="293">
        <f t="shared" si="8"/>
        <v>598179.09827236785</v>
      </c>
      <c r="AD8" s="293">
        <f t="shared" ref="AD8:AD57" si="19">+Z8*AD$5</f>
        <v>426250.78047833574</v>
      </c>
      <c r="AE8" s="293">
        <f t="shared" ref="AE8:AE57" si="20">SUM(AB8:AD8)</f>
        <v>1110989.6743513856</v>
      </c>
      <c r="AF8" s="316">
        <f t="shared" ref="AF8:AF57" si="21">+AE8/AE$58</f>
        <v>1.2956199455679538E-3</v>
      </c>
    </row>
    <row r="9" spans="1:32">
      <c r="A9" s="18" t="s">
        <v>261</v>
      </c>
      <c r="B9" s="200" t="s">
        <v>211</v>
      </c>
      <c r="C9" s="282">
        <v>1129316</v>
      </c>
      <c r="D9" s="282">
        <v>288767</v>
      </c>
      <c r="E9" s="283">
        <f t="shared" si="0"/>
        <v>0.25570079587998401</v>
      </c>
      <c r="F9" s="284">
        <f t="shared" si="9"/>
        <v>73837.951723875347</v>
      </c>
      <c r="G9" s="291">
        <f t="shared" si="1"/>
        <v>3.90120808291773E-5</v>
      </c>
      <c r="H9" s="285">
        <v>1407</v>
      </c>
      <c r="I9" s="286">
        <f t="shared" si="2"/>
        <v>2.4323867366981983E-4</v>
      </c>
      <c r="J9" s="286">
        <f t="shared" si="10"/>
        <v>2.0675287261934686E-4</v>
      </c>
      <c r="K9" s="282">
        <v>694.5</v>
      </c>
      <c r="L9" s="319">
        <f t="shared" si="3"/>
        <v>1.0825108640759142E-2</v>
      </c>
      <c r="M9" s="287">
        <f t="shared" si="11"/>
        <v>1.6237662961138713E-3</v>
      </c>
      <c r="N9" s="291">
        <f t="shared" si="12"/>
        <v>1.8305191687332182E-3</v>
      </c>
      <c r="O9" s="288">
        <v>366</v>
      </c>
      <c r="P9" s="288">
        <v>167</v>
      </c>
      <c r="Q9" s="289">
        <v>1.7050555638</v>
      </c>
      <c r="R9" s="290">
        <f t="shared" si="13"/>
        <v>1.5526752035910496E-4</v>
      </c>
      <c r="S9" s="289">
        <f t="shared" si="4"/>
        <v>2.6473974946572169E-4</v>
      </c>
      <c r="T9" s="289">
        <f t="shared" si="14"/>
        <v>1.3730923918798022E-4</v>
      </c>
      <c r="U9" s="288">
        <f t="shared" si="15"/>
        <v>25020.218184896756</v>
      </c>
      <c r="V9" s="290">
        <f t="shared" si="5"/>
        <v>2.191616766467066</v>
      </c>
      <c r="W9" s="290">
        <f t="shared" si="16"/>
        <v>2.9122755057643529E-2</v>
      </c>
      <c r="X9" s="288">
        <f t="shared" si="17"/>
        <v>936474.85905453633</v>
      </c>
      <c r="Y9" s="282">
        <f t="shared" si="6"/>
        <v>961495.07723943307</v>
      </c>
      <c r="Z9" s="291">
        <f t="shared" si="18"/>
        <v>4.485126111956313E-3</v>
      </c>
      <c r="AB9" s="292">
        <f t="shared" si="7"/>
        <v>16726.362975671083</v>
      </c>
      <c r="AC9" s="293">
        <f t="shared" si="8"/>
        <v>392415.98242634925</v>
      </c>
      <c r="AD9" s="293">
        <f t="shared" si="19"/>
        <v>961495.07723943319</v>
      </c>
      <c r="AE9" s="293">
        <f t="shared" si="20"/>
        <v>1370637.4226414536</v>
      </c>
      <c r="AF9" s="316">
        <f t="shared" si="21"/>
        <v>1.5984173605869715E-3</v>
      </c>
    </row>
    <row r="10" spans="1:32" ht="13.5" customHeight="1">
      <c r="A10" s="18" t="s">
        <v>262</v>
      </c>
      <c r="B10" s="200" t="s">
        <v>4</v>
      </c>
      <c r="C10" s="282">
        <v>54890194.010000005</v>
      </c>
      <c r="D10" s="282">
        <v>25832482</v>
      </c>
      <c r="E10" s="283">
        <f t="shared" si="0"/>
        <v>0.47062107296056899</v>
      </c>
      <c r="F10" s="284">
        <f t="shared" si="9"/>
        <v>12157310.396074586</v>
      </c>
      <c r="G10" s="291">
        <f t="shared" si="1"/>
        <v>6.4232818593165444E-3</v>
      </c>
      <c r="H10" s="285">
        <v>35289</v>
      </c>
      <c r="I10" s="286">
        <f t="shared" si="2"/>
        <v>6.1006748792709828E-3</v>
      </c>
      <c r="J10" s="286">
        <f t="shared" si="10"/>
        <v>5.1855736473803348E-3</v>
      </c>
      <c r="K10" s="282">
        <v>190.5</v>
      </c>
      <c r="L10" s="319">
        <f t="shared" si="3"/>
        <v>2.9693062578324213E-3</v>
      </c>
      <c r="M10" s="287">
        <f t="shared" si="11"/>
        <v>4.4539593867486317E-4</v>
      </c>
      <c r="N10" s="291">
        <f t="shared" si="12"/>
        <v>5.6309695860551979E-3</v>
      </c>
      <c r="O10" s="288">
        <v>6372</v>
      </c>
      <c r="P10" s="288">
        <v>6876</v>
      </c>
      <c r="Q10" s="289">
        <v>1.5964581414000001</v>
      </c>
      <c r="R10" s="290">
        <f t="shared" si="13"/>
        <v>6.3929309580191959E-3</v>
      </c>
      <c r="S10" s="289">
        <f t="shared" si="4"/>
        <v>1.0206046675337848E-2</v>
      </c>
      <c r="T10" s="289">
        <f t="shared" si="14"/>
        <v>5.2934419819306551E-3</v>
      </c>
      <c r="U10" s="288">
        <f t="shared" si="15"/>
        <v>964560.53591323877</v>
      </c>
      <c r="V10" s="290">
        <f t="shared" si="5"/>
        <v>0.92670157068062831</v>
      </c>
      <c r="W10" s="290">
        <f t="shared" si="16"/>
        <v>1.2314243652174133E-2</v>
      </c>
      <c r="X10" s="288">
        <f t="shared" si="17"/>
        <v>395978.31886809482</v>
      </c>
      <c r="Y10" s="282">
        <f t="shared" si="6"/>
        <v>1360538.8547813336</v>
      </c>
      <c r="Z10" s="291">
        <f t="shared" si="18"/>
        <v>6.3465622324671775E-3</v>
      </c>
      <c r="AB10" s="292">
        <f t="shared" si="7"/>
        <v>2753971.1184443804</v>
      </c>
      <c r="AC10" s="293">
        <f t="shared" si="8"/>
        <v>1207134.2927558194</v>
      </c>
      <c r="AD10" s="293">
        <f t="shared" si="19"/>
        <v>1360538.8547813338</v>
      </c>
      <c r="AE10" s="293">
        <f t="shared" si="20"/>
        <v>5321644.2659815336</v>
      </c>
      <c r="AF10" s="316">
        <f t="shared" si="21"/>
        <v>6.2060238842888658E-3</v>
      </c>
    </row>
    <row r="11" spans="1:32">
      <c r="A11" s="18" t="s">
        <v>263</v>
      </c>
      <c r="B11" s="200" t="s">
        <v>235</v>
      </c>
      <c r="C11" s="282">
        <v>10678636</v>
      </c>
      <c r="D11" s="282">
        <v>1947895</v>
      </c>
      <c r="E11" s="283">
        <f t="shared" si="0"/>
        <v>0.1824104689025827</v>
      </c>
      <c r="F11" s="284">
        <f t="shared" si="9"/>
        <v>355316.44032299629</v>
      </c>
      <c r="G11" s="291">
        <f t="shared" si="1"/>
        <v>1.8773047418288764E-4</v>
      </c>
      <c r="H11" s="285">
        <v>18030</v>
      </c>
      <c r="I11" s="286">
        <f t="shared" si="2"/>
        <v>3.1169817244256232E-3</v>
      </c>
      <c r="J11" s="286">
        <f t="shared" si="10"/>
        <v>2.6494344657617798E-3</v>
      </c>
      <c r="K11" s="282">
        <v>4539.2</v>
      </c>
      <c r="L11" s="319">
        <f t="shared" si="3"/>
        <v>7.0752099556708276E-2</v>
      </c>
      <c r="M11" s="287">
        <f t="shared" si="11"/>
        <v>1.0612814933506241E-2</v>
      </c>
      <c r="N11" s="291">
        <f t="shared" si="12"/>
        <v>1.3262249399268022E-2</v>
      </c>
      <c r="O11" s="288">
        <v>7349</v>
      </c>
      <c r="P11" s="288">
        <v>5491</v>
      </c>
      <c r="Q11" s="289">
        <v>1.7933312159000001</v>
      </c>
      <c r="R11" s="290">
        <f t="shared" si="13"/>
        <v>5.1052332592326066E-3</v>
      </c>
      <c r="S11" s="289">
        <f t="shared" si="4"/>
        <v>9.1553741682327307E-3</v>
      </c>
      <c r="T11" s="289">
        <f t="shared" si="14"/>
        <v>4.7485028752136602E-3</v>
      </c>
      <c r="U11" s="288">
        <f t="shared" si="15"/>
        <v>865262.80891268386</v>
      </c>
      <c r="V11" s="290">
        <f t="shared" si="5"/>
        <v>1.3383718812602441</v>
      </c>
      <c r="W11" s="290">
        <f t="shared" si="16"/>
        <v>1.7784622325559021E-2</v>
      </c>
      <c r="X11" s="288">
        <f t="shared" si="17"/>
        <v>571884.48183218262</v>
      </c>
      <c r="Y11" s="282">
        <f t="shared" si="6"/>
        <v>1437147.2907448665</v>
      </c>
      <c r="Z11" s="291">
        <f t="shared" si="18"/>
        <v>6.7039207927654648E-3</v>
      </c>
      <c r="AB11" s="292">
        <f t="shared" si="7"/>
        <v>80489.119935109251</v>
      </c>
      <c r="AC11" s="293">
        <f t="shared" si="8"/>
        <v>2843083.3809834328</v>
      </c>
      <c r="AD11" s="293">
        <f t="shared" si="19"/>
        <v>1437147.2907448667</v>
      </c>
      <c r="AE11" s="293">
        <f t="shared" si="20"/>
        <v>4360719.7916634083</v>
      </c>
      <c r="AF11" s="316">
        <f t="shared" si="21"/>
        <v>5.0854077850998151E-3</v>
      </c>
    </row>
    <row r="12" spans="1:32">
      <c r="A12" s="18" t="s">
        <v>264</v>
      </c>
      <c r="B12" s="200" t="s">
        <v>6</v>
      </c>
      <c r="C12" s="282">
        <v>683317463.73000002</v>
      </c>
      <c r="D12" s="282">
        <v>336540527.27999997</v>
      </c>
      <c r="E12" s="283">
        <f t="shared" si="0"/>
        <v>0.49250977055809247</v>
      </c>
      <c r="F12" s="284">
        <f t="shared" si="9"/>
        <v>165749497.87417224</v>
      </c>
      <c r="G12" s="291">
        <f t="shared" si="1"/>
        <v>8.757329608280448E-2</v>
      </c>
      <c r="H12" s="285">
        <v>656464</v>
      </c>
      <c r="I12" s="286">
        <f t="shared" si="2"/>
        <v>0.11348786970290306</v>
      </c>
      <c r="J12" s="286">
        <f t="shared" si="10"/>
        <v>9.6464689247467594E-2</v>
      </c>
      <c r="K12" s="282">
        <v>224</v>
      </c>
      <c r="L12" s="319">
        <f t="shared" si="3"/>
        <v>3.4914677257452094E-3</v>
      </c>
      <c r="M12" s="287">
        <f t="shared" si="11"/>
        <v>5.2372015886178135E-4</v>
      </c>
      <c r="N12" s="291">
        <f t="shared" si="12"/>
        <v>9.6988409406329371E-2</v>
      </c>
      <c r="O12" s="288">
        <v>77936</v>
      </c>
      <c r="P12" s="288">
        <v>87455</v>
      </c>
      <c r="Q12" s="289">
        <v>1.8323297204</v>
      </c>
      <c r="R12" s="290">
        <f t="shared" si="13"/>
        <v>8.1310904149733673E-2</v>
      </c>
      <c r="S12" s="289">
        <f t="shared" si="4"/>
        <v>0.14898838626615271</v>
      </c>
      <c r="T12" s="289">
        <f t="shared" si="14"/>
        <v>7.7273934146028844E-2</v>
      </c>
      <c r="U12" s="288">
        <f t="shared" si="15"/>
        <v>14080703.554784767</v>
      </c>
      <c r="V12" s="290">
        <f t="shared" si="5"/>
        <v>0.89115545137499286</v>
      </c>
      <c r="W12" s="290">
        <f t="shared" si="16"/>
        <v>1.1841897874560577E-2</v>
      </c>
      <c r="X12" s="288">
        <f t="shared" si="17"/>
        <v>380789.51050706836</v>
      </c>
      <c r="Y12" s="282">
        <f t="shared" si="6"/>
        <v>14461493.065291835</v>
      </c>
      <c r="Z12" s="291">
        <f t="shared" si="18"/>
        <v>6.7459128705308596E-2</v>
      </c>
      <c r="AB12" s="292">
        <f t="shared" si="7"/>
        <v>37546901.014349006</v>
      </c>
      <c r="AC12" s="293">
        <f t="shared" si="8"/>
        <v>20791807.379702229</v>
      </c>
      <c r="AD12" s="293">
        <f t="shared" si="19"/>
        <v>14461493.065291835</v>
      </c>
      <c r="AE12" s="293">
        <f t="shared" si="20"/>
        <v>72800201.459343076</v>
      </c>
      <c r="AF12" s="316">
        <f t="shared" si="21"/>
        <v>8.4898532569311735E-2</v>
      </c>
    </row>
    <row r="13" spans="1:32">
      <c r="A13" s="18" t="s">
        <v>265</v>
      </c>
      <c r="B13" s="200" t="s">
        <v>7</v>
      </c>
      <c r="C13" s="282">
        <v>1836204</v>
      </c>
      <c r="D13" s="282">
        <v>792296.3</v>
      </c>
      <c r="E13" s="283">
        <f t="shared" si="0"/>
        <v>0.43148598957414319</v>
      </c>
      <c r="F13" s="284">
        <f t="shared" si="9"/>
        <v>341864.75304143224</v>
      </c>
      <c r="G13" s="291">
        <f t="shared" si="1"/>
        <v>1.8062331181901742E-4</v>
      </c>
      <c r="H13" s="285">
        <v>14992</v>
      </c>
      <c r="I13" s="286">
        <f t="shared" si="2"/>
        <v>2.5917798121236242E-3</v>
      </c>
      <c r="J13" s="286">
        <f t="shared" si="10"/>
        <v>2.2030128403050806E-3</v>
      </c>
      <c r="K13" s="282">
        <v>2688.6</v>
      </c>
      <c r="L13" s="319">
        <f t="shared" si="3"/>
        <v>4.1906964854636471E-2</v>
      </c>
      <c r="M13" s="287">
        <f t="shared" si="11"/>
        <v>6.2860447281954702E-3</v>
      </c>
      <c r="N13" s="291">
        <f t="shared" si="12"/>
        <v>8.48905756850055E-3</v>
      </c>
      <c r="O13" s="288">
        <v>10274</v>
      </c>
      <c r="P13" s="288">
        <v>7471</v>
      </c>
      <c r="Q13" s="289">
        <v>2.3084826450000002</v>
      </c>
      <c r="R13" s="290">
        <f t="shared" si="13"/>
        <v>6.9461296084004373E-3</v>
      </c>
      <c r="S13" s="289">
        <f t="shared" si="4"/>
        <v>1.6035019650913057E-2</v>
      </c>
      <c r="T13" s="289">
        <f t="shared" si="14"/>
        <v>8.3166821494490614E-3</v>
      </c>
      <c r="U13" s="288">
        <f t="shared" si="15"/>
        <v>1515449.3840634942</v>
      </c>
      <c r="V13" s="290">
        <f t="shared" si="5"/>
        <v>1.375184044973899</v>
      </c>
      <c r="W13" s="290">
        <f t="shared" si="16"/>
        <v>1.8273791619834338E-2</v>
      </c>
      <c r="X13" s="288">
        <f t="shared" si="17"/>
        <v>587614.26924424456</v>
      </c>
      <c r="Y13" s="282">
        <f t="shared" si="6"/>
        <v>2103063.6533077387</v>
      </c>
      <c r="Z13" s="291">
        <f t="shared" si="18"/>
        <v>9.8102485700068531E-3</v>
      </c>
      <c r="AB13" s="292">
        <f t="shared" si="7"/>
        <v>77441.936219232884</v>
      </c>
      <c r="AC13" s="293">
        <f t="shared" si="8"/>
        <v>1819834.4614562611</v>
      </c>
      <c r="AD13" s="293">
        <f t="shared" si="19"/>
        <v>2103063.6533077387</v>
      </c>
      <c r="AE13" s="293">
        <f t="shared" si="20"/>
        <v>4000340.0509832324</v>
      </c>
      <c r="AF13" s="316">
        <f t="shared" si="21"/>
        <v>4.6651381905363585E-3</v>
      </c>
    </row>
    <row r="14" spans="1:32">
      <c r="A14" s="18" t="s">
        <v>266</v>
      </c>
      <c r="B14" s="200" t="s">
        <v>8</v>
      </c>
      <c r="C14" s="282">
        <v>2185720</v>
      </c>
      <c r="D14" s="282">
        <v>960189</v>
      </c>
      <c r="E14" s="283">
        <f t="shared" si="0"/>
        <v>0.43930100836337682</v>
      </c>
      <c r="F14" s="284">
        <f t="shared" si="9"/>
        <v>421811.99591942242</v>
      </c>
      <c r="G14" s="291">
        <f t="shared" si="1"/>
        <v>2.2286322000186494E-4</v>
      </c>
      <c r="H14" s="285">
        <v>3661</v>
      </c>
      <c r="I14" s="286">
        <f t="shared" si="2"/>
        <v>6.329046086035611E-4</v>
      </c>
      <c r="J14" s="286">
        <f t="shared" si="10"/>
        <v>5.3796891731302697E-4</v>
      </c>
      <c r="K14" s="282">
        <v>466.7</v>
      </c>
      <c r="L14" s="319">
        <f t="shared" si="3"/>
        <v>7.2744106589521839E-3</v>
      </c>
      <c r="M14" s="287">
        <f t="shared" si="11"/>
        <v>1.0911615988428275E-3</v>
      </c>
      <c r="N14" s="291">
        <f t="shared" si="12"/>
        <v>1.6291305161558545E-3</v>
      </c>
      <c r="O14" s="288">
        <v>1472</v>
      </c>
      <c r="P14" s="288">
        <v>1100</v>
      </c>
      <c r="Q14" s="289">
        <v>1.4822637890000001</v>
      </c>
      <c r="R14" s="290">
        <f t="shared" si="13"/>
        <v>1.0227201939821285E-3</v>
      </c>
      <c r="S14" s="289">
        <f t="shared" si="4"/>
        <v>1.515941109818765E-3</v>
      </c>
      <c r="T14" s="289">
        <f t="shared" si="14"/>
        <v>7.8625412641311154E-4</v>
      </c>
      <c r="U14" s="288">
        <f t="shared" si="15"/>
        <v>143269.67295113753</v>
      </c>
      <c r="V14" s="290">
        <f t="shared" si="5"/>
        <v>1.3381818181818181</v>
      </c>
      <c r="W14" s="290">
        <f t="shared" si="16"/>
        <v>1.7782096719548338E-2</v>
      </c>
      <c r="X14" s="288">
        <f t="shared" si="17"/>
        <v>571803.26813766093</v>
      </c>
      <c r="Y14" s="282">
        <f t="shared" si="6"/>
        <v>715072.94108879846</v>
      </c>
      <c r="Z14" s="291">
        <f t="shared" si="18"/>
        <v>3.3356305153833961E-3</v>
      </c>
      <c r="AB14" s="292">
        <f t="shared" si="7"/>
        <v>95552.224655755286</v>
      </c>
      <c r="AC14" s="293">
        <f t="shared" si="8"/>
        <v>349243.46213782637</v>
      </c>
      <c r="AD14" s="293">
        <f t="shared" si="19"/>
        <v>715072.94108879857</v>
      </c>
      <c r="AE14" s="293">
        <f t="shared" si="20"/>
        <v>1159868.6278823803</v>
      </c>
      <c r="AF14" s="316">
        <f t="shared" si="21"/>
        <v>1.3526218678857451E-3</v>
      </c>
    </row>
    <row r="15" spans="1:32">
      <c r="A15" s="18" t="s">
        <v>267</v>
      </c>
      <c r="B15" s="200" t="s">
        <v>236</v>
      </c>
      <c r="C15" s="282">
        <v>110141115</v>
      </c>
      <c r="D15" s="282">
        <v>36285132.439999998</v>
      </c>
      <c r="E15" s="283">
        <f t="shared" si="0"/>
        <v>0.32944221093094977</v>
      </c>
      <c r="F15" s="284">
        <f t="shared" si="9"/>
        <v>11953854.254955927</v>
      </c>
      <c r="G15" s="291">
        <f t="shared" si="1"/>
        <v>6.315786360901369E-3</v>
      </c>
      <c r="H15" s="285">
        <v>122337</v>
      </c>
      <c r="I15" s="286">
        <f t="shared" si="2"/>
        <v>2.1149317427679282E-2</v>
      </c>
      <c r="J15" s="286">
        <f t="shared" si="10"/>
        <v>1.7976919813527389E-2</v>
      </c>
      <c r="K15" s="282">
        <v>1140.9000000000001</v>
      </c>
      <c r="L15" s="319">
        <f t="shared" si="3"/>
        <v>1.7783105037065667E-2</v>
      </c>
      <c r="M15" s="287">
        <f t="shared" si="11"/>
        <v>2.6674657555598499E-3</v>
      </c>
      <c r="N15" s="291">
        <f t="shared" si="12"/>
        <v>2.0644385569087237E-2</v>
      </c>
      <c r="O15" s="288">
        <v>26523</v>
      </c>
      <c r="P15" s="288">
        <v>24758</v>
      </c>
      <c r="Q15" s="289">
        <v>1.8739893594999999</v>
      </c>
      <c r="R15" s="290">
        <f t="shared" si="13"/>
        <v>2.3018642329645032E-2</v>
      </c>
      <c r="S15" s="289">
        <f t="shared" si="4"/>
        <v>4.3136690795891081E-2</v>
      </c>
      <c r="T15" s="289">
        <f t="shared" si="14"/>
        <v>2.2373165367967789E-2</v>
      </c>
      <c r="U15" s="288">
        <f t="shared" si="15"/>
        <v>4076793.9747082372</v>
      </c>
      <c r="V15" s="290">
        <f t="shared" si="5"/>
        <v>1.0712900880523468</v>
      </c>
      <c r="W15" s="290">
        <f t="shared" si="16"/>
        <v>1.4235572253046412E-2</v>
      </c>
      <c r="X15" s="288">
        <f t="shared" si="17"/>
        <v>457760.79539333965</v>
      </c>
      <c r="Y15" s="282">
        <f t="shared" si="6"/>
        <v>4534554.770101577</v>
      </c>
      <c r="Z15" s="291">
        <f t="shared" si="18"/>
        <v>2.1152526400729583E-2</v>
      </c>
      <c r="AB15" s="292">
        <f t="shared" si="7"/>
        <v>2707882.6072312547</v>
      </c>
      <c r="AC15" s="293">
        <f t="shared" si="8"/>
        <v>4425622.5135779446</v>
      </c>
      <c r="AD15" s="293">
        <f t="shared" si="19"/>
        <v>4534554.770101577</v>
      </c>
      <c r="AE15" s="293">
        <f t="shared" si="20"/>
        <v>11668059.890910776</v>
      </c>
      <c r="AF15" s="316">
        <f t="shared" si="21"/>
        <v>1.3607121172904888E-2</v>
      </c>
    </row>
    <row r="16" spans="1:32">
      <c r="A16" s="18" t="s">
        <v>268</v>
      </c>
      <c r="B16" s="200" t="s">
        <v>237</v>
      </c>
      <c r="C16" s="282">
        <v>32779189</v>
      </c>
      <c r="D16" s="282">
        <v>5537234.6299999999</v>
      </c>
      <c r="E16" s="283">
        <f t="shared" si="0"/>
        <v>0.1689253089818665</v>
      </c>
      <c r="F16" s="284">
        <f t="shared" si="9"/>
        <v>935379.07077784126</v>
      </c>
      <c r="G16" s="291">
        <f t="shared" si="1"/>
        <v>4.9420498623212194E-4</v>
      </c>
      <c r="H16" s="285">
        <v>104478</v>
      </c>
      <c r="I16" s="286">
        <f t="shared" si="2"/>
        <v>1.8061897759541888E-2</v>
      </c>
      <c r="J16" s="286">
        <f t="shared" si="10"/>
        <v>1.5352613095610604E-2</v>
      </c>
      <c r="K16" s="282">
        <v>104.3</v>
      </c>
      <c r="L16" s="319">
        <f t="shared" si="3"/>
        <v>1.6257146598001131E-3</v>
      </c>
      <c r="M16" s="287">
        <f t="shared" si="11"/>
        <v>2.4385719897001694E-4</v>
      </c>
      <c r="N16" s="291">
        <f t="shared" si="12"/>
        <v>1.5596470294580621E-2</v>
      </c>
      <c r="O16" s="288">
        <v>8234</v>
      </c>
      <c r="P16" s="288">
        <v>27842</v>
      </c>
      <c r="Q16" s="289">
        <v>1.8343045897000001</v>
      </c>
      <c r="R16" s="290">
        <f t="shared" si="13"/>
        <v>2.5885977855318563E-2</v>
      </c>
      <c r="S16" s="289">
        <f t="shared" si="4"/>
        <v>4.7482767988883408E-2</v>
      </c>
      <c r="T16" s="289">
        <f t="shared" si="14"/>
        <v>2.4627290613709465E-2</v>
      </c>
      <c r="U16" s="288">
        <f t="shared" si="15"/>
        <v>4487536.2219020287</v>
      </c>
      <c r="V16" s="290">
        <f t="shared" si="5"/>
        <v>0.29574024854536313</v>
      </c>
      <c r="W16" s="290">
        <f t="shared" si="16"/>
        <v>3.9298708382110078E-3</v>
      </c>
      <c r="X16" s="288">
        <f t="shared" si="17"/>
        <v>126369.4053681325</v>
      </c>
      <c r="Y16" s="282">
        <f t="shared" si="6"/>
        <v>4613905.6272701612</v>
      </c>
      <c r="Z16" s="291">
        <f t="shared" si="18"/>
        <v>2.1522677647384698E-2</v>
      </c>
      <c r="AB16" s="292">
        <f t="shared" si="7"/>
        <v>211889.54314691765</v>
      </c>
      <c r="AC16" s="293">
        <f t="shared" si="8"/>
        <v>3343479.9905792228</v>
      </c>
      <c r="AD16" s="293">
        <f t="shared" si="19"/>
        <v>4613905.6272701612</v>
      </c>
      <c r="AE16" s="293">
        <f t="shared" si="20"/>
        <v>8169275.1609963011</v>
      </c>
      <c r="AF16" s="316">
        <f t="shared" si="21"/>
        <v>9.52688947860739E-3</v>
      </c>
    </row>
    <row r="17" spans="1:32">
      <c r="A17" s="18" t="s">
        <v>269</v>
      </c>
      <c r="B17" s="200" t="s">
        <v>226</v>
      </c>
      <c r="C17" s="282">
        <v>2853628</v>
      </c>
      <c r="D17" s="282">
        <v>1064298</v>
      </c>
      <c r="E17" s="283">
        <f t="shared" si="0"/>
        <v>0.37296311922927583</v>
      </c>
      <c r="F17" s="284">
        <f t="shared" si="9"/>
        <v>396943.9018694798</v>
      </c>
      <c r="G17" s="291">
        <f t="shared" si="1"/>
        <v>2.097242301938602E-4</v>
      </c>
      <c r="H17" s="285">
        <v>7340</v>
      </c>
      <c r="I17" s="286">
        <f t="shared" si="2"/>
        <v>1.2689210126058832E-3</v>
      </c>
      <c r="J17" s="286">
        <f t="shared" si="10"/>
        <v>1.0785828607150008E-3</v>
      </c>
      <c r="K17" s="282">
        <v>1007.4</v>
      </c>
      <c r="L17" s="319">
        <f t="shared" si="3"/>
        <v>1.5702252620159483E-2</v>
      </c>
      <c r="M17" s="287">
        <f t="shared" si="11"/>
        <v>2.3553378930239225E-3</v>
      </c>
      <c r="N17" s="291">
        <f t="shared" si="12"/>
        <v>3.4339207537389233E-3</v>
      </c>
      <c r="O17" s="288">
        <v>3737</v>
      </c>
      <c r="P17" s="288">
        <v>763</v>
      </c>
      <c r="Q17" s="289">
        <v>1.7930753231000001</v>
      </c>
      <c r="R17" s="290">
        <f t="shared" si="13"/>
        <v>7.0939591637123999E-4</v>
      </c>
      <c r="S17" s="289">
        <f t="shared" si="4"/>
        <v>1.2720003119531817E-3</v>
      </c>
      <c r="T17" s="289">
        <f t="shared" si="14"/>
        <v>6.5973241809605702E-4</v>
      </c>
      <c r="U17" s="288">
        <f t="shared" si="15"/>
        <v>120215.13732091113</v>
      </c>
      <c r="V17" s="290">
        <f t="shared" si="5"/>
        <v>4.8977719528178243</v>
      </c>
      <c r="W17" s="290">
        <f t="shared" si="16"/>
        <v>6.5082826109257794E-2</v>
      </c>
      <c r="X17" s="288">
        <f t="shared" si="17"/>
        <v>2092811.2840595287</v>
      </c>
      <c r="Y17" s="282">
        <f t="shared" si="6"/>
        <v>2213026.4213804398</v>
      </c>
      <c r="Z17" s="291">
        <f t="shared" si="18"/>
        <v>1.0323196471770319E-2</v>
      </c>
      <c r="AB17" s="292">
        <f t="shared" si="7"/>
        <v>89918.905232866033</v>
      </c>
      <c r="AC17" s="293">
        <f t="shared" si="8"/>
        <v>736143.82693693554</v>
      </c>
      <c r="AD17" s="293">
        <f t="shared" si="19"/>
        <v>2213026.4213804402</v>
      </c>
      <c r="AE17" s="293">
        <f t="shared" si="20"/>
        <v>3039089.1535502421</v>
      </c>
      <c r="AF17" s="316">
        <f t="shared" si="21"/>
        <v>3.5441414214742411E-3</v>
      </c>
    </row>
    <row r="18" spans="1:32">
      <c r="A18" s="18" t="s">
        <v>270</v>
      </c>
      <c r="B18" s="200" t="s">
        <v>12</v>
      </c>
      <c r="C18" s="282">
        <v>4729640</v>
      </c>
      <c r="D18" s="282">
        <v>1864847</v>
      </c>
      <c r="E18" s="283">
        <f t="shared" si="0"/>
        <v>0.39428941737637535</v>
      </c>
      <c r="F18" s="284">
        <f t="shared" si="9"/>
        <v>735289.43712608144</v>
      </c>
      <c r="G18" s="291">
        <f t="shared" si="1"/>
        <v>3.8848817287448782E-4</v>
      </c>
      <c r="H18" s="285">
        <v>9930</v>
      </c>
      <c r="I18" s="286">
        <f t="shared" si="2"/>
        <v>1.7166737949831634E-3</v>
      </c>
      <c r="J18" s="286">
        <f t="shared" si="10"/>
        <v>1.4591727257356889E-3</v>
      </c>
      <c r="K18" s="282">
        <v>4265.7</v>
      </c>
      <c r="L18" s="319">
        <f t="shared" si="3"/>
        <v>6.6489079811211327E-2</v>
      </c>
      <c r="M18" s="287">
        <f t="shared" si="11"/>
        <v>9.9733619716816987E-3</v>
      </c>
      <c r="N18" s="291">
        <f t="shared" si="12"/>
        <v>1.1432534697417387E-2</v>
      </c>
      <c r="O18" s="288">
        <v>4127</v>
      </c>
      <c r="P18" s="288">
        <v>1614</v>
      </c>
      <c r="Q18" s="289">
        <v>1.7681716602999999</v>
      </c>
      <c r="R18" s="290">
        <f t="shared" si="13"/>
        <v>1.5006094482610502E-3</v>
      </c>
      <c r="S18" s="289">
        <f t="shared" si="4"/>
        <v>2.6533350995936078E-3</v>
      </c>
      <c r="T18" s="289">
        <f t="shared" si="14"/>
        <v>1.3761719748213892E-3</v>
      </c>
      <c r="U18" s="288">
        <f t="shared" si="15"/>
        <v>250763.33736605191</v>
      </c>
      <c r="V18" s="290">
        <f t="shared" si="5"/>
        <v>2.5570012391573731</v>
      </c>
      <c r="W18" s="290">
        <f t="shared" si="16"/>
        <v>3.3978075870496942E-2</v>
      </c>
      <c r="X18" s="288">
        <f t="shared" si="17"/>
        <v>1092603.1465356373</v>
      </c>
      <c r="Y18" s="282">
        <f t="shared" si="6"/>
        <v>1343366.4839016893</v>
      </c>
      <c r="Z18" s="291">
        <f t="shared" si="18"/>
        <v>6.2664575591727233E-3</v>
      </c>
      <c r="AB18" s="292">
        <f t="shared" si="7"/>
        <v>166563.64011206661</v>
      </c>
      <c r="AC18" s="293">
        <f t="shared" si="8"/>
        <v>2450839.8554575359</v>
      </c>
      <c r="AD18" s="293">
        <f t="shared" si="19"/>
        <v>1343366.4839016895</v>
      </c>
      <c r="AE18" s="293">
        <f t="shared" si="20"/>
        <v>3960769.9794712923</v>
      </c>
      <c r="AF18" s="316">
        <f t="shared" si="21"/>
        <v>4.6189921505847718E-3</v>
      </c>
    </row>
    <row r="19" spans="1:32">
      <c r="A19" s="18" t="s">
        <v>271</v>
      </c>
      <c r="B19" s="200" t="s">
        <v>238</v>
      </c>
      <c r="C19" s="282">
        <v>49791403.200000003</v>
      </c>
      <c r="D19" s="282">
        <v>14209085</v>
      </c>
      <c r="E19" s="283">
        <f t="shared" si="0"/>
        <v>0.28537225478313089</v>
      </c>
      <c r="F19" s="284">
        <f t="shared" si="9"/>
        <v>4054878.6248551635</v>
      </c>
      <c r="G19" s="291">
        <f t="shared" si="1"/>
        <v>2.1423840853131734E-3</v>
      </c>
      <c r="H19" s="285">
        <v>68747</v>
      </c>
      <c r="I19" s="286">
        <f t="shared" si="2"/>
        <v>1.1884811015479108E-2</v>
      </c>
      <c r="J19" s="286">
        <f t="shared" si="10"/>
        <v>1.0102089363157242E-2</v>
      </c>
      <c r="K19" s="282">
        <v>138.69999999999999</v>
      </c>
      <c r="L19" s="319">
        <f t="shared" si="3"/>
        <v>2.1619043462538417E-3</v>
      </c>
      <c r="M19" s="287">
        <f t="shared" si="11"/>
        <v>3.2428565193807623E-4</v>
      </c>
      <c r="N19" s="291">
        <f t="shared" si="12"/>
        <v>1.0426375015095319E-2</v>
      </c>
      <c r="O19" s="288">
        <v>10747</v>
      </c>
      <c r="P19" s="288">
        <v>15877</v>
      </c>
      <c r="Q19" s="289">
        <v>1.8900298334000001</v>
      </c>
      <c r="R19" s="290">
        <f t="shared" si="13"/>
        <v>1.4761571381685684E-2</v>
      </c>
      <c r="S19" s="289">
        <f t="shared" si="4"/>
        <v>2.7899810299249601E-2</v>
      </c>
      <c r="T19" s="289">
        <f t="shared" si="14"/>
        <v>1.4470444024405789E-2</v>
      </c>
      <c r="U19" s="288">
        <f t="shared" si="15"/>
        <v>2636775.7105354476</v>
      </c>
      <c r="V19" s="290">
        <f t="shared" si="5"/>
        <v>0.67689110033381616</v>
      </c>
      <c r="W19" s="290">
        <f t="shared" si="16"/>
        <v>8.9946992637304091E-3</v>
      </c>
      <c r="X19" s="288">
        <f t="shared" si="17"/>
        <v>289234.64516208618</v>
      </c>
      <c r="Y19" s="282">
        <f t="shared" si="6"/>
        <v>2926010.3556975336</v>
      </c>
      <c r="Z19" s="291">
        <f t="shared" si="18"/>
        <v>1.3649082310304482E-2</v>
      </c>
      <c r="AB19" s="292">
        <f t="shared" si="7"/>
        <v>918543.51479372021</v>
      </c>
      <c r="AC19" s="293">
        <f t="shared" si="8"/>
        <v>2235145.2334288382</v>
      </c>
      <c r="AD19" s="293">
        <f t="shared" si="19"/>
        <v>2926010.355697534</v>
      </c>
      <c r="AE19" s="293">
        <f t="shared" si="20"/>
        <v>6079699.1039200928</v>
      </c>
      <c r="AF19" s="316">
        <f t="shared" si="21"/>
        <v>7.0900563740065375E-3</v>
      </c>
    </row>
    <row r="20" spans="1:32">
      <c r="A20" s="18" t="s">
        <v>272</v>
      </c>
      <c r="B20" s="200" t="s">
        <v>14</v>
      </c>
      <c r="C20" s="282">
        <v>6711875</v>
      </c>
      <c r="D20" s="282">
        <v>838434</v>
      </c>
      <c r="E20" s="283">
        <f t="shared" si="0"/>
        <v>0.12491799981376292</v>
      </c>
      <c r="F20" s="284">
        <f t="shared" si="9"/>
        <v>104735.49825585249</v>
      </c>
      <c r="G20" s="291">
        <f t="shared" si="1"/>
        <v>5.5336715445754879E-5</v>
      </c>
      <c r="H20" s="285">
        <v>36088</v>
      </c>
      <c r="I20" s="286">
        <f t="shared" si="2"/>
        <v>6.2388040194715413E-3</v>
      </c>
      <c r="J20" s="286">
        <f t="shared" si="10"/>
        <v>5.3029834165508102E-3</v>
      </c>
      <c r="K20" s="282">
        <v>5053.7</v>
      </c>
      <c r="L20" s="319">
        <f t="shared" si="3"/>
        <v>7.87715644892793E-2</v>
      </c>
      <c r="M20" s="287">
        <f t="shared" si="11"/>
        <v>1.1815734673391894E-2</v>
      </c>
      <c r="N20" s="291">
        <f t="shared" si="12"/>
        <v>1.7118718089942704E-2</v>
      </c>
      <c r="O20" s="288">
        <v>25568</v>
      </c>
      <c r="P20" s="288">
        <v>20948</v>
      </c>
      <c r="Q20" s="289">
        <v>2.5216163224999999</v>
      </c>
      <c r="R20" s="290">
        <f t="shared" si="13"/>
        <v>1.9476311475943298E-2</v>
      </c>
      <c r="S20" s="289">
        <f t="shared" si="4"/>
        <v>4.9111784919832688E-2</v>
      </c>
      <c r="T20" s="289">
        <f t="shared" si="14"/>
        <v>2.5472192355379904E-2</v>
      </c>
      <c r="U20" s="288">
        <f t="shared" si="15"/>
        <v>4641492.5473933732</v>
      </c>
      <c r="V20" s="290">
        <f t="shared" si="5"/>
        <v>1.220546114187512</v>
      </c>
      <c r="W20" s="290">
        <f t="shared" si="16"/>
        <v>1.6218923884827686E-2</v>
      </c>
      <c r="X20" s="288">
        <f t="shared" si="17"/>
        <v>521537.69205547299</v>
      </c>
      <c r="Y20" s="282">
        <f t="shared" si="6"/>
        <v>5163030.2394488463</v>
      </c>
      <c r="Z20" s="291">
        <f t="shared" si="18"/>
        <v>2.4084202084797071E-2</v>
      </c>
      <c r="AB20" s="292">
        <f t="shared" si="7"/>
        <v>23725.522165299986</v>
      </c>
      <c r="AC20" s="293">
        <f t="shared" si="8"/>
        <v>3669810.5607893919</v>
      </c>
      <c r="AD20" s="293">
        <f t="shared" si="19"/>
        <v>5163030.2394488472</v>
      </c>
      <c r="AE20" s="293">
        <f t="shared" si="20"/>
        <v>8856566.322403539</v>
      </c>
      <c r="AF20" s="316">
        <f t="shared" si="21"/>
        <v>1.0328398401407821E-2</v>
      </c>
    </row>
    <row r="21" spans="1:32">
      <c r="A21" s="18" t="s">
        <v>273</v>
      </c>
      <c r="B21" s="200" t="s">
        <v>15</v>
      </c>
      <c r="C21" s="282">
        <v>1548836</v>
      </c>
      <c r="D21" s="282">
        <v>363195</v>
      </c>
      <c r="E21" s="283">
        <f t="shared" si="0"/>
        <v>0.23449545335981342</v>
      </c>
      <c r="F21" s="284">
        <f t="shared" si="9"/>
        <v>85167.576183017431</v>
      </c>
      <c r="G21" s="291">
        <f t="shared" si="1"/>
        <v>4.4998057076421414E-5</v>
      </c>
      <c r="H21" s="285">
        <v>1360</v>
      </c>
      <c r="I21" s="286">
        <f t="shared" si="2"/>
        <v>2.351134301286105E-4</v>
      </c>
      <c r="J21" s="286">
        <f t="shared" si="10"/>
        <v>1.9984641560931893E-4</v>
      </c>
      <c r="K21" s="282">
        <v>720.7</v>
      </c>
      <c r="L21" s="319">
        <f t="shared" si="3"/>
        <v>1.1233485669395412E-2</v>
      </c>
      <c r="M21" s="287">
        <f t="shared" si="11"/>
        <v>1.6850228504093118E-3</v>
      </c>
      <c r="N21" s="291">
        <f t="shared" si="12"/>
        <v>1.8848692660186307E-3</v>
      </c>
      <c r="O21" s="288">
        <v>347</v>
      </c>
      <c r="P21" s="288">
        <v>179</v>
      </c>
      <c r="Q21" s="289">
        <v>1.9685182910000001</v>
      </c>
      <c r="R21" s="290">
        <f t="shared" si="13"/>
        <v>1.6642446792981908E-4</v>
      </c>
      <c r="S21" s="289">
        <f t="shared" si="4"/>
        <v>3.2760960918979179E-4</v>
      </c>
      <c r="T21" s="289">
        <f t="shared" si="14"/>
        <v>1.699171593208232E-4</v>
      </c>
      <c r="U21" s="288">
        <f t="shared" si="15"/>
        <v>30961.968944745382</v>
      </c>
      <c r="V21" s="290">
        <f t="shared" si="5"/>
        <v>1.9385474860335195</v>
      </c>
      <c r="W21" s="290">
        <f t="shared" si="16"/>
        <v>2.5759906780770288E-2</v>
      </c>
      <c r="X21" s="288">
        <f t="shared" si="17"/>
        <v>828338.70023737394</v>
      </c>
      <c r="Y21" s="282">
        <f t="shared" si="6"/>
        <v>859300.66918211931</v>
      </c>
      <c r="Z21" s="291">
        <f t="shared" si="18"/>
        <v>4.0084156025382428E-3</v>
      </c>
      <c r="AB21" s="292">
        <f t="shared" si="7"/>
        <v>19292.840060386538</v>
      </c>
      <c r="AC21" s="293">
        <f t="shared" si="8"/>
        <v>404067.23808404466</v>
      </c>
      <c r="AD21" s="293">
        <f t="shared" si="19"/>
        <v>859300.66918211931</v>
      </c>
      <c r="AE21" s="293">
        <f t="shared" si="20"/>
        <v>1282660.7473265505</v>
      </c>
      <c r="AF21" s="316">
        <f t="shared" si="21"/>
        <v>1.4958202456774291E-3</v>
      </c>
    </row>
    <row r="22" spans="1:32">
      <c r="A22" s="18" t="s">
        <v>274</v>
      </c>
      <c r="B22" s="200" t="s">
        <v>239</v>
      </c>
      <c r="C22" s="282">
        <v>2192867</v>
      </c>
      <c r="D22" s="282">
        <v>1038863</v>
      </c>
      <c r="E22" s="283">
        <f t="shared" si="0"/>
        <v>0.47374646980414226</v>
      </c>
      <c r="F22" s="284">
        <f t="shared" si="9"/>
        <v>492157.67886014062</v>
      </c>
      <c r="G22" s="291">
        <f t="shared" si="1"/>
        <v>2.6003017012433976E-4</v>
      </c>
      <c r="H22" s="285">
        <v>3256</v>
      </c>
      <c r="I22" s="286">
        <f t="shared" si="2"/>
        <v>5.6288921213143808E-4</v>
      </c>
      <c r="J22" s="286">
        <f t="shared" si="10"/>
        <v>4.7845583031172234E-4</v>
      </c>
      <c r="K22" s="282">
        <v>614.70000000000005</v>
      </c>
      <c r="L22" s="319">
        <f t="shared" si="3"/>
        <v>9.5812732634624129E-3</v>
      </c>
      <c r="M22" s="287">
        <f t="shared" si="11"/>
        <v>1.4371909895193619E-3</v>
      </c>
      <c r="N22" s="291">
        <f t="shared" si="12"/>
        <v>1.9156468198310843E-3</v>
      </c>
      <c r="O22" s="288">
        <v>355</v>
      </c>
      <c r="P22" s="288">
        <v>468</v>
      </c>
      <c r="Q22" s="289">
        <v>1.9393994637</v>
      </c>
      <c r="R22" s="290">
        <f t="shared" si="13"/>
        <v>4.3512095525785101E-4</v>
      </c>
      <c r="S22" s="289">
        <f t="shared" si="4"/>
        <v>8.43873347271708E-4</v>
      </c>
      <c r="T22" s="289">
        <f t="shared" si="14"/>
        <v>4.3768118508360012E-4</v>
      </c>
      <c r="U22" s="288">
        <f t="shared" si="15"/>
        <v>79753.400506602411</v>
      </c>
      <c r="V22" s="290">
        <f t="shared" si="5"/>
        <v>0.75854700854700852</v>
      </c>
      <c r="W22" s="290">
        <f t="shared" si="16"/>
        <v>1.0079763518707652E-2</v>
      </c>
      <c r="X22" s="288">
        <f t="shared" si="17"/>
        <v>324126.10351599747</v>
      </c>
      <c r="Y22" s="282">
        <f t="shared" si="6"/>
        <v>403879.5040225999</v>
      </c>
      <c r="Z22" s="291">
        <f t="shared" si="18"/>
        <v>1.8839935351272082E-3</v>
      </c>
      <c r="AB22" s="292">
        <f t="shared" si="7"/>
        <v>111487.49099464354</v>
      </c>
      <c r="AC22" s="293">
        <f t="shared" si="8"/>
        <v>410665.14987993805</v>
      </c>
      <c r="AD22" s="293">
        <f t="shared" si="19"/>
        <v>403879.50402259995</v>
      </c>
      <c r="AE22" s="293">
        <f t="shared" si="20"/>
        <v>926032.14489718154</v>
      </c>
      <c r="AF22" s="316">
        <f t="shared" si="21"/>
        <v>1.079925173801743E-3</v>
      </c>
    </row>
    <row r="23" spans="1:32">
      <c r="A23" s="18" t="s">
        <v>275</v>
      </c>
      <c r="B23" s="200" t="s">
        <v>17</v>
      </c>
      <c r="C23" s="282">
        <v>10046865</v>
      </c>
      <c r="D23" s="282">
        <v>1281029</v>
      </c>
      <c r="E23" s="283">
        <f t="shared" si="0"/>
        <v>0.12750534619505688</v>
      </c>
      <c r="F23" s="284">
        <f t="shared" si="9"/>
        <v>163338.04613090752</v>
      </c>
      <c r="G23" s="291">
        <f t="shared" si="1"/>
        <v>8.6299212117478498E-5</v>
      </c>
      <c r="H23" s="285">
        <v>40903</v>
      </c>
      <c r="I23" s="286">
        <f t="shared" si="2"/>
        <v>7.0712092886401146E-3</v>
      </c>
      <c r="J23" s="286">
        <f t="shared" si="10"/>
        <v>6.0105278953440974E-3</v>
      </c>
      <c r="K23" s="282">
        <v>7068.3</v>
      </c>
      <c r="L23" s="319">
        <f t="shared" si="3"/>
        <v>0.11017295234770028</v>
      </c>
      <c r="M23" s="287">
        <f t="shared" si="11"/>
        <v>1.6525942852155039E-2</v>
      </c>
      <c r="N23" s="291">
        <f t="shared" si="12"/>
        <v>2.2536470747499135E-2</v>
      </c>
      <c r="O23" s="288">
        <v>23646</v>
      </c>
      <c r="P23" s="288">
        <v>15246</v>
      </c>
      <c r="Q23" s="289">
        <v>2.0430424666000002</v>
      </c>
      <c r="R23" s="290">
        <f t="shared" si="13"/>
        <v>1.4174901888592301E-2</v>
      </c>
      <c r="S23" s="289">
        <f t="shared" si="4"/>
        <v>2.8959926518282615E-2</v>
      </c>
      <c r="T23" s="289">
        <f t="shared" si="14"/>
        <v>1.5020281182520606E-2</v>
      </c>
      <c r="U23" s="288">
        <f t="shared" si="15"/>
        <v>2736965.9507811354</v>
      </c>
      <c r="V23" s="290">
        <f t="shared" si="5"/>
        <v>1.5509641873278237</v>
      </c>
      <c r="W23" s="290">
        <f t="shared" si="16"/>
        <v>2.060960238205228E-2</v>
      </c>
      <c r="X23" s="288">
        <f t="shared" si="17"/>
        <v>662724.88463748165</v>
      </c>
      <c r="Y23" s="282">
        <f t="shared" si="6"/>
        <v>3399690.8354186169</v>
      </c>
      <c r="Z23" s="291">
        <f t="shared" si="18"/>
        <v>1.5858679362450358E-2</v>
      </c>
      <c r="AB23" s="292">
        <f t="shared" si="7"/>
        <v>37000.639691892546</v>
      </c>
      <c r="AC23" s="293">
        <f t="shared" si="8"/>
        <v>4831236.6567145418</v>
      </c>
      <c r="AD23" s="293">
        <f t="shared" si="19"/>
        <v>3399690.8354186174</v>
      </c>
      <c r="AE23" s="293">
        <f t="shared" si="20"/>
        <v>8267928.1318250522</v>
      </c>
      <c r="AF23" s="316">
        <f t="shared" si="21"/>
        <v>9.6419371335461131E-3</v>
      </c>
    </row>
    <row r="24" spans="1:32">
      <c r="A24" s="18" t="s">
        <v>276</v>
      </c>
      <c r="B24" s="200" t="s">
        <v>240</v>
      </c>
      <c r="C24" s="282">
        <v>425436337.39000034</v>
      </c>
      <c r="D24" s="282">
        <v>103525907.23999999</v>
      </c>
      <c r="E24" s="283">
        <f t="shared" si="0"/>
        <v>0.24334053803471212</v>
      </c>
      <c r="F24" s="284">
        <f t="shared" si="9"/>
        <v>25192049.968313295</v>
      </c>
      <c r="G24" s="291">
        <f t="shared" si="1"/>
        <v>1.3310151035767794E-2</v>
      </c>
      <c r="H24" s="285">
        <v>397205</v>
      </c>
      <c r="I24" s="286">
        <f t="shared" si="2"/>
        <v>6.8667816186937305E-2</v>
      </c>
      <c r="J24" s="286">
        <f t="shared" si="10"/>
        <v>5.8367643758896706E-2</v>
      </c>
      <c r="K24" s="282">
        <v>1032</v>
      </c>
      <c r="L24" s="319">
        <f t="shared" si="3"/>
        <v>1.6085690593611857E-2</v>
      </c>
      <c r="M24" s="287">
        <f t="shared" si="11"/>
        <v>2.4128535890417784E-3</v>
      </c>
      <c r="N24" s="291">
        <f t="shared" si="12"/>
        <v>6.0780497347938486E-2</v>
      </c>
      <c r="O24" s="288">
        <v>49018</v>
      </c>
      <c r="P24" s="288">
        <v>87249</v>
      </c>
      <c r="Q24" s="289">
        <v>1.8532766358999999</v>
      </c>
      <c r="R24" s="290">
        <f t="shared" si="13"/>
        <v>8.1119376549769751E-2</v>
      </c>
      <c r="S24" s="289">
        <f t="shared" si="4"/>
        <v>0.15033664527846263</v>
      </c>
      <c r="T24" s="289">
        <f t="shared" si="14"/>
        <v>7.7973218705987155E-2</v>
      </c>
      <c r="U24" s="288">
        <f t="shared" si="15"/>
        <v>14208125.805224402</v>
      </c>
      <c r="V24" s="290">
        <f t="shared" si="5"/>
        <v>0.56181732741922541</v>
      </c>
      <c r="W24" s="290">
        <f t="shared" si="16"/>
        <v>7.4655700138420563E-3</v>
      </c>
      <c r="X24" s="288">
        <f t="shared" si="17"/>
        <v>240063.77874058924</v>
      </c>
      <c r="Y24" s="282">
        <f t="shared" si="6"/>
        <v>14448189.58396499</v>
      </c>
      <c r="Z24" s="291">
        <f t="shared" si="18"/>
        <v>6.7397071402165387E-2</v>
      </c>
      <c r="AB24" s="292">
        <f t="shared" si="7"/>
        <v>5706704.5067421868</v>
      </c>
      <c r="AC24" s="293">
        <f t="shared" si="8"/>
        <v>13029767.175647371</v>
      </c>
      <c r="AD24" s="293">
        <f t="shared" si="19"/>
        <v>14448189.583964992</v>
      </c>
      <c r="AE24" s="293">
        <f t="shared" si="20"/>
        <v>33184661.26635455</v>
      </c>
      <c r="AF24" s="316">
        <f t="shared" si="21"/>
        <v>3.8699467705409864E-2</v>
      </c>
    </row>
    <row r="25" spans="1:32">
      <c r="A25" s="18" t="s">
        <v>277</v>
      </c>
      <c r="B25" s="200" t="s">
        <v>19</v>
      </c>
      <c r="C25" s="282">
        <v>5541859</v>
      </c>
      <c r="D25" s="282">
        <v>3566422</v>
      </c>
      <c r="E25" s="283">
        <f t="shared" si="0"/>
        <v>0.6435425368996216</v>
      </c>
      <c r="F25" s="284">
        <f t="shared" si="9"/>
        <v>2295144.2615346224</v>
      </c>
      <c r="G25" s="291">
        <f t="shared" si="1"/>
        <v>1.2126332239069831E-3</v>
      </c>
      <c r="H25" s="285">
        <v>5506</v>
      </c>
      <c r="I25" s="286">
        <f t="shared" si="2"/>
        <v>9.5186363697656574E-4</v>
      </c>
      <c r="J25" s="286">
        <f t="shared" si="10"/>
        <v>8.0908409143008091E-4</v>
      </c>
      <c r="K25" s="282">
        <v>1888.6</v>
      </c>
      <c r="L25" s="319">
        <f t="shared" si="3"/>
        <v>2.9437437262689294E-2</v>
      </c>
      <c r="M25" s="287">
        <f t="shared" si="11"/>
        <v>4.4156155894033936E-3</v>
      </c>
      <c r="N25" s="291">
        <f t="shared" si="12"/>
        <v>5.2246996808334749E-3</v>
      </c>
      <c r="O25" s="288">
        <v>2284</v>
      </c>
      <c r="P25" s="288">
        <v>950</v>
      </c>
      <c r="Q25" s="289">
        <v>2.0503201405999998</v>
      </c>
      <c r="R25" s="290">
        <f t="shared" si="13"/>
        <v>8.8325834934820178E-4</v>
      </c>
      <c r="S25" s="289">
        <f t="shared" si="4"/>
        <v>1.8109623830217289E-3</v>
      </c>
      <c r="T25" s="289">
        <f t="shared" si="14"/>
        <v>9.3926910300624043E-4</v>
      </c>
      <c r="U25" s="288">
        <f t="shared" si="15"/>
        <v>171151.75956495726</v>
      </c>
      <c r="V25" s="290">
        <f t="shared" si="5"/>
        <v>2.4042105263157896</v>
      </c>
      <c r="W25" s="290">
        <f t="shared" si="16"/>
        <v>3.1947754432346431E-2</v>
      </c>
      <c r="X25" s="288">
        <f t="shared" si="17"/>
        <v>1027315.8830585378</v>
      </c>
      <c r="Y25" s="282">
        <f t="shared" si="6"/>
        <v>1198467.6426234951</v>
      </c>
      <c r="Z25" s="291">
        <f t="shared" si="18"/>
        <v>5.5905419024072697E-3</v>
      </c>
      <c r="AB25" s="292">
        <f t="shared" si="7"/>
        <v>519914.4221052861</v>
      </c>
      <c r="AC25" s="293">
        <f t="shared" si="8"/>
        <v>1120040.5290242049</v>
      </c>
      <c r="AD25" s="293">
        <f t="shared" si="19"/>
        <v>1198467.6426234953</v>
      </c>
      <c r="AE25" s="293">
        <f t="shared" si="20"/>
        <v>2838422.5937529863</v>
      </c>
      <c r="AF25" s="316">
        <f t="shared" si="21"/>
        <v>3.3101270077636777E-3</v>
      </c>
    </row>
    <row r="26" spans="1:32">
      <c r="A26" s="18" t="s">
        <v>278</v>
      </c>
      <c r="B26" s="200" t="s">
        <v>20</v>
      </c>
      <c r="C26" s="282">
        <v>449264751.14000052</v>
      </c>
      <c r="D26" s="282">
        <v>154603349.86000001</v>
      </c>
      <c r="E26" s="283">
        <f t="shared" si="0"/>
        <v>0.34412526125785975</v>
      </c>
      <c r="F26" s="284">
        <f t="shared" si="9"/>
        <v>53202918.161912799</v>
      </c>
      <c r="G26" s="291">
        <f t="shared" si="1"/>
        <v>2.8109617008911698E-2</v>
      </c>
      <c r="H26" s="285">
        <v>481213</v>
      </c>
      <c r="I26" s="286">
        <f t="shared" si="2"/>
        <v>8.3190911067999293E-2</v>
      </c>
      <c r="J26" s="286">
        <f t="shared" si="10"/>
        <v>7.0712274407799397E-2</v>
      </c>
      <c r="K26" s="282">
        <v>149.4</v>
      </c>
      <c r="L26" s="319">
        <f t="shared" si="3"/>
        <v>2.3286842777961352E-3</v>
      </c>
      <c r="M26" s="287">
        <f t="shared" si="11"/>
        <v>3.4930264166942025E-4</v>
      </c>
      <c r="N26" s="291">
        <f t="shared" si="12"/>
        <v>7.1061577049468819E-2</v>
      </c>
      <c r="O26" s="288">
        <v>95635</v>
      </c>
      <c r="P26" s="288">
        <v>113990</v>
      </c>
      <c r="Q26" s="289">
        <v>1.9916235985999999</v>
      </c>
      <c r="R26" s="290">
        <f t="shared" si="13"/>
        <v>0.10598170446547529</v>
      </c>
      <c r="S26" s="289">
        <f t="shared" si="4"/>
        <v>0.21107566363329158</v>
      </c>
      <c r="T26" s="289">
        <f t="shared" si="14"/>
        <v>0.10947596212157762</v>
      </c>
      <c r="U26" s="288">
        <f t="shared" si="15"/>
        <v>19948493.447942294</v>
      </c>
      <c r="V26" s="290">
        <f t="shared" si="5"/>
        <v>0.83897710325467145</v>
      </c>
      <c r="W26" s="290">
        <f t="shared" si="16"/>
        <v>1.1148538855378512E-2</v>
      </c>
      <c r="X26" s="288">
        <f t="shared" si="17"/>
        <v>358493.77342870779</v>
      </c>
      <c r="Y26" s="282">
        <f t="shared" si="6"/>
        <v>20306987.221371002</v>
      </c>
      <c r="Z26" s="291">
        <f t="shared" si="18"/>
        <v>9.4726848631647764E-2</v>
      </c>
      <c r="AB26" s="292">
        <f t="shared" si="7"/>
        <v>12051950.247332396</v>
      </c>
      <c r="AC26" s="293">
        <f t="shared" si="8"/>
        <v>15233764.850400817</v>
      </c>
      <c r="AD26" s="293">
        <f t="shared" si="19"/>
        <v>20306987.221371002</v>
      </c>
      <c r="AE26" s="293">
        <f t="shared" si="20"/>
        <v>47592702.319104217</v>
      </c>
      <c r="AF26" s="316">
        <f t="shared" si="21"/>
        <v>5.5501914924734996E-2</v>
      </c>
    </row>
    <row r="27" spans="1:32">
      <c r="A27" s="18" t="s">
        <v>279</v>
      </c>
      <c r="B27" s="200" t="s">
        <v>241</v>
      </c>
      <c r="C27" s="282">
        <v>12500507</v>
      </c>
      <c r="D27" s="282">
        <v>4608992</v>
      </c>
      <c r="E27" s="283">
        <f t="shared" si="0"/>
        <v>0.36870440534931903</v>
      </c>
      <c r="F27" s="284">
        <f t="shared" si="9"/>
        <v>1699355.6546197687</v>
      </c>
      <c r="G27" s="291">
        <f t="shared" si="1"/>
        <v>8.9784993499636109E-4</v>
      </c>
      <c r="H27" s="285">
        <v>14109</v>
      </c>
      <c r="I27" s="286">
        <f t="shared" si="2"/>
        <v>2.4391289600621804E-3</v>
      </c>
      <c r="J27" s="286">
        <f t="shared" si="10"/>
        <v>2.0732596160528533E-3</v>
      </c>
      <c r="K27" s="282">
        <v>2478.8000000000002</v>
      </c>
      <c r="L27" s="319">
        <f t="shared" si="3"/>
        <v>3.8636831243648327E-2</v>
      </c>
      <c r="M27" s="287">
        <f t="shared" si="11"/>
        <v>5.7955246865472486E-3</v>
      </c>
      <c r="N27" s="291">
        <f t="shared" si="12"/>
        <v>7.8687843026001014E-3</v>
      </c>
      <c r="O27" s="288">
        <v>5621</v>
      </c>
      <c r="P27" s="288">
        <v>1660</v>
      </c>
      <c r="Q27" s="289">
        <v>2.1173054283999999</v>
      </c>
      <c r="R27" s="290">
        <f t="shared" si="13"/>
        <v>1.543377747282121E-3</v>
      </c>
      <c r="S27" s="289">
        <f t="shared" si="4"/>
        <v>3.2678020823921979E-3</v>
      </c>
      <c r="T27" s="289">
        <f t="shared" si="14"/>
        <v>1.6948698435187855E-3</v>
      </c>
      <c r="U27" s="288">
        <f t="shared" si="15"/>
        <v>308835.83312108228</v>
      </c>
      <c r="V27" s="290">
        <f t="shared" si="5"/>
        <v>3.3861445783132531</v>
      </c>
      <c r="W27" s="290">
        <f t="shared" si="16"/>
        <v>4.499594119411314E-2</v>
      </c>
      <c r="X27" s="288">
        <f t="shared" si="17"/>
        <v>1446894.9659597513</v>
      </c>
      <c r="Y27" s="282">
        <f t="shared" si="6"/>
        <v>1755730.7990808336</v>
      </c>
      <c r="Z27" s="291">
        <f t="shared" si="18"/>
        <v>8.1900305461079393E-3</v>
      </c>
      <c r="AB27" s="292">
        <f t="shared" si="7"/>
        <v>384951.62501560221</v>
      </c>
      <c r="AC27" s="293">
        <f t="shared" si="8"/>
        <v>1686863.9101674869</v>
      </c>
      <c r="AD27" s="293">
        <f t="shared" si="19"/>
        <v>1755730.7990808338</v>
      </c>
      <c r="AE27" s="293">
        <f t="shared" si="20"/>
        <v>3827546.3342639226</v>
      </c>
      <c r="AF27" s="316">
        <f t="shared" si="21"/>
        <v>4.4636286796751901E-3</v>
      </c>
    </row>
    <row r="28" spans="1:32">
      <c r="A28" s="18" t="s">
        <v>280</v>
      </c>
      <c r="B28" s="200" t="s">
        <v>22</v>
      </c>
      <c r="C28" s="282">
        <v>796636</v>
      </c>
      <c r="D28" s="282">
        <v>246797</v>
      </c>
      <c r="E28" s="283">
        <f t="shared" si="0"/>
        <v>0.30979895460411028</v>
      </c>
      <c r="F28" s="284">
        <f t="shared" si="9"/>
        <v>76457.452599430602</v>
      </c>
      <c r="G28" s="291">
        <f t="shared" si="1"/>
        <v>4.0396086987303419E-5</v>
      </c>
      <c r="H28" s="285">
        <v>1808</v>
      </c>
      <c r="I28" s="286">
        <f t="shared" si="2"/>
        <v>3.1256256005332924E-4</v>
      </c>
      <c r="J28" s="286">
        <f t="shared" si="10"/>
        <v>2.6567817604532983E-4</v>
      </c>
      <c r="K28" s="282">
        <v>387.9</v>
      </c>
      <c r="L28" s="319">
        <f t="shared" si="3"/>
        <v>6.0461621911453867E-3</v>
      </c>
      <c r="M28" s="287">
        <f t="shared" si="11"/>
        <v>9.0692432867180801E-4</v>
      </c>
      <c r="N28" s="291">
        <f t="shared" si="12"/>
        <v>1.1726025047171379E-3</v>
      </c>
      <c r="O28" s="288">
        <v>196</v>
      </c>
      <c r="P28" s="288">
        <v>185</v>
      </c>
      <c r="Q28" s="289">
        <v>1.7757863003000001</v>
      </c>
      <c r="R28" s="290">
        <f t="shared" si="13"/>
        <v>1.7200294171517615E-4</v>
      </c>
      <c r="S28" s="289">
        <f t="shared" si="4"/>
        <v>3.054404675091092E-4</v>
      </c>
      <c r="T28" s="289">
        <f t="shared" si="14"/>
        <v>1.5841896917835949E-4</v>
      </c>
      <c r="U28" s="288">
        <f t="shared" si="15"/>
        <v>28866.791462172496</v>
      </c>
      <c r="V28" s="290">
        <f t="shared" si="5"/>
        <v>1.0594594594594595</v>
      </c>
      <c r="W28" s="290">
        <f t="shared" si="16"/>
        <v>1.4078363883426199E-2</v>
      </c>
      <c r="X28" s="288">
        <f t="shared" si="17"/>
        <v>452705.58391039848</v>
      </c>
      <c r="Y28" s="282">
        <f t="shared" si="6"/>
        <v>481572.375372571</v>
      </c>
      <c r="Z28" s="291">
        <f t="shared" si="18"/>
        <v>2.2464107063155359E-3</v>
      </c>
      <c r="AB28" s="292">
        <f t="shared" si="7"/>
        <v>17319.753250410493</v>
      </c>
      <c r="AC28" s="293">
        <f t="shared" si="8"/>
        <v>251375.65983677277</v>
      </c>
      <c r="AD28" s="293">
        <f t="shared" si="19"/>
        <v>481572.37537257111</v>
      </c>
      <c r="AE28" s="293">
        <f t="shared" si="20"/>
        <v>750267.78845975432</v>
      </c>
      <c r="AF28" s="316">
        <f t="shared" si="21"/>
        <v>8.7495134625182008E-4</v>
      </c>
    </row>
    <row r="29" spans="1:32">
      <c r="A29" s="18" t="s">
        <v>281</v>
      </c>
      <c r="B29" s="200" t="s">
        <v>23</v>
      </c>
      <c r="C29" s="282">
        <v>1746864</v>
      </c>
      <c r="D29" s="282">
        <v>165744</v>
      </c>
      <c r="E29" s="283">
        <f t="shared" si="0"/>
        <v>9.4880883686423209E-2</v>
      </c>
      <c r="F29" s="284">
        <f t="shared" si="9"/>
        <v>15725.937185722529</v>
      </c>
      <c r="G29" s="291">
        <f t="shared" si="1"/>
        <v>8.3087561109255141E-6</v>
      </c>
      <c r="H29" s="285">
        <v>6282</v>
      </c>
      <c r="I29" s="286">
        <f t="shared" si="2"/>
        <v>1.0860165941675964E-3</v>
      </c>
      <c r="J29" s="286">
        <f t="shared" si="10"/>
        <v>9.2311410504245688E-4</v>
      </c>
      <c r="K29" s="282">
        <v>1306.7</v>
      </c>
      <c r="L29" s="319">
        <f t="shared" si="3"/>
        <v>2.0367414630496718E-2</v>
      </c>
      <c r="M29" s="287">
        <f t="shared" si="11"/>
        <v>3.0551121945745076E-3</v>
      </c>
      <c r="N29" s="291">
        <f t="shared" si="12"/>
        <v>3.9782262996169646E-3</v>
      </c>
      <c r="O29" s="288">
        <v>3611</v>
      </c>
      <c r="P29" s="288">
        <v>3897</v>
      </c>
      <c r="Q29" s="289">
        <v>2.6101222018999999</v>
      </c>
      <c r="R29" s="290">
        <f t="shared" si="13"/>
        <v>3.6232187235894133E-3</v>
      </c>
      <c r="S29" s="289">
        <f t="shared" si="4"/>
        <v>9.4570436327805069E-3</v>
      </c>
      <c r="T29" s="289">
        <f t="shared" si="14"/>
        <v>4.9049659856717437E-3</v>
      </c>
      <c r="U29" s="288">
        <f t="shared" si="15"/>
        <v>893773.2076644348</v>
      </c>
      <c r="V29" s="290">
        <f t="shared" si="5"/>
        <v>0.92661021298434698</v>
      </c>
      <c r="W29" s="290">
        <f t="shared" si="16"/>
        <v>1.2313029668118099E-2</v>
      </c>
      <c r="X29" s="288">
        <f t="shared" si="17"/>
        <v>395939.28184891446</v>
      </c>
      <c r="Y29" s="282">
        <f t="shared" si="6"/>
        <v>1289712.4895133493</v>
      </c>
      <c r="Z29" s="291">
        <f t="shared" si="18"/>
        <v>6.0161755380386973E-3</v>
      </c>
      <c r="AB29" s="292">
        <f t="shared" si="7"/>
        <v>3562.3649811502801</v>
      </c>
      <c r="AC29" s="293">
        <f t="shared" si="8"/>
        <v>852828.86316829955</v>
      </c>
      <c r="AD29" s="293">
        <f t="shared" si="19"/>
        <v>1289712.4895133495</v>
      </c>
      <c r="AE29" s="293">
        <f t="shared" si="20"/>
        <v>2146103.7176627992</v>
      </c>
      <c r="AF29" s="316">
        <f t="shared" si="21"/>
        <v>2.502754837469378E-3</v>
      </c>
    </row>
    <row r="30" spans="1:32">
      <c r="A30" s="18" t="s">
        <v>282</v>
      </c>
      <c r="B30" s="200" t="s">
        <v>24</v>
      </c>
      <c r="C30" s="282">
        <v>63133792</v>
      </c>
      <c r="D30" s="282">
        <v>12472493</v>
      </c>
      <c r="E30" s="283">
        <f t="shared" si="0"/>
        <v>0.1975565320074549</v>
      </c>
      <c r="F30" s="284">
        <f t="shared" si="9"/>
        <v>2464022.4625672572</v>
      </c>
      <c r="G30" s="291">
        <f t="shared" si="1"/>
        <v>1.3018595617881963E-3</v>
      </c>
      <c r="H30" s="285">
        <v>102149</v>
      </c>
      <c r="I30" s="286">
        <f t="shared" si="2"/>
        <v>1.7659266010446643E-2</v>
      </c>
      <c r="J30" s="286">
        <f t="shared" si="10"/>
        <v>1.5010376108879647E-2</v>
      </c>
      <c r="K30" s="282">
        <v>184.5</v>
      </c>
      <c r="L30" s="319">
        <f t="shared" si="3"/>
        <v>2.8757848008928175E-3</v>
      </c>
      <c r="M30" s="287">
        <f t="shared" si="11"/>
        <v>4.3136772013392259E-4</v>
      </c>
      <c r="N30" s="291">
        <f t="shared" si="12"/>
        <v>1.544174382901357E-2</v>
      </c>
      <c r="O30" s="288">
        <v>12989</v>
      </c>
      <c r="P30" s="288">
        <v>23008</v>
      </c>
      <c r="Q30" s="289">
        <v>1.8972127424</v>
      </c>
      <c r="R30" s="290">
        <f t="shared" si="13"/>
        <v>2.1391587475582556E-2</v>
      </c>
      <c r="S30" s="289">
        <f t="shared" si="4"/>
        <v>4.0584392338839474E-2</v>
      </c>
      <c r="T30" s="289">
        <f t="shared" si="14"/>
        <v>2.1049396798927165E-2</v>
      </c>
      <c r="U30" s="288">
        <f t="shared" si="15"/>
        <v>3835579.4823727184</v>
      </c>
      <c r="V30" s="290">
        <f t="shared" si="5"/>
        <v>0.56454276773296241</v>
      </c>
      <c r="W30" s="290">
        <f t="shared" si="16"/>
        <v>7.5017863505189922E-3</v>
      </c>
      <c r="X30" s="288">
        <f t="shared" si="17"/>
        <v>241228.35567425759</v>
      </c>
      <c r="Y30" s="282">
        <f t="shared" si="6"/>
        <v>4076807.8380469759</v>
      </c>
      <c r="Z30" s="291">
        <f t="shared" si="18"/>
        <v>1.901725523166594E-2</v>
      </c>
      <c r="AB30" s="292">
        <f t="shared" si="7"/>
        <v>558170.06196530722</v>
      </c>
      <c r="AC30" s="293">
        <f t="shared" si="8"/>
        <v>3310310.6367532974</v>
      </c>
      <c r="AD30" s="293">
        <f t="shared" si="19"/>
        <v>4076807.8380469768</v>
      </c>
      <c r="AE30" s="293">
        <f t="shared" si="20"/>
        <v>7945288.536765581</v>
      </c>
      <c r="AF30" s="316">
        <f t="shared" si="21"/>
        <v>9.2656795460639759E-3</v>
      </c>
    </row>
    <row r="31" spans="1:32">
      <c r="A31" s="18" t="s">
        <v>283</v>
      </c>
      <c r="B31" s="200" t="s">
        <v>25</v>
      </c>
      <c r="C31" s="282">
        <v>516795710.3599999</v>
      </c>
      <c r="D31" s="282">
        <v>210861820.25999999</v>
      </c>
      <c r="E31" s="283">
        <f t="shared" si="0"/>
        <v>0.40801774479341874</v>
      </c>
      <c r="F31" s="284">
        <f t="shared" si="9"/>
        <v>86035364.365520403</v>
      </c>
      <c r="G31" s="291">
        <f t="shared" si="1"/>
        <v>4.5456550600795065E-2</v>
      </c>
      <c r="H31" s="285">
        <v>643143</v>
      </c>
      <c r="I31" s="286">
        <f t="shared" si="2"/>
        <v>0.11118496823029775</v>
      </c>
      <c r="J31" s="286">
        <f t="shared" si="10"/>
        <v>9.4507222995753079E-2</v>
      </c>
      <c r="K31" s="282">
        <v>118.4</v>
      </c>
      <c r="L31" s="319">
        <f t="shared" si="3"/>
        <v>1.8454900836081822E-3</v>
      </c>
      <c r="M31" s="287">
        <f t="shared" si="11"/>
        <v>2.7682351254122733E-4</v>
      </c>
      <c r="N31" s="291">
        <f t="shared" si="12"/>
        <v>9.4784046508294306E-2</v>
      </c>
      <c r="O31" s="288">
        <v>113831</v>
      </c>
      <c r="P31" s="288">
        <v>95688</v>
      </c>
      <c r="Q31" s="289">
        <v>1.8797706219999999</v>
      </c>
      <c r="R31" s="290">
        <f t="shared" si="13"/>
        <v>8.8965499928874453E-2</v>
      </c>
      <c r="S31" s="289">
        <f t="shared" si="4"/>
        <v>0.16723473313784129</v>
      </c>
      <c r="T31" s="289">
        <f t="shared" si="14"/>
        <v>8.6737537597976422E-2</v>
      </c>
      <c r="U31" s="288">
        <f t="shared" si="15"/>
        <v>15805142.671797937</v>
      </c>
      <c r="V31" s="290">
        <f t="shared" si="5"/>
        <v>1.1896058021904523</v>
      </c>
      <c r="W31" s="290">
        <f t="shared" si="16"/>
        <v>1.5807781233665195E-2</v>
      </c>
      <c r="X31" s="288">
        <f t="shared" si="17"/>
        <v>508316.93888371397</v>
      </c>
      <c r="Y31" s="282">
        <f t="shared" si="6"/>
        <v>16313459.610681651</v>
      </c>
      <c r="Z31" s="291">
        <f t="shared" si="18"/>
        <v>7.6098074143329753E-2</v>
      </c>
      <c r="AB31" s="292">
        <f t="shared" si="7"/>
        <v>19489418.37530002</v>
      </c>
      <c r="AC31" s="293">
        <f t="shared" si="8"/>
        <v>20319248.967295516</v>
      </c>
      <c r="AD31" s="293">
        <f t="shared" si="19"/>
        <v>16313459.610681655</v>
      </c>
      <c r="AE31" s="293">
        <f t="shared" si="20"/>
        <v>56122126.953277186</v>
      </c>
      <c r="AF31" s="316">
        <f t="shared" si="21"/>
        <v>6.5448805463303547E-2</v>
      </c>
    </row>
    <row r="32" spans="1:32">
      <c r="A32" s="18" t="s">
        <v>284</v>
      </c>
      <c r="B32" s="200" t="s">
        <v>212</v>
      </c>
      <c r="C32" s="282">
        <v>997290</v>
      </c>
      <c r="D32" s="282">
        <v>297293.69</v>
      </c>
      <c r="E32" s="283">
        <f t="shared" si="0"/>
        <v>0.29810154518745802</v>
      </c>
      <c r="F32" s="284">
        <f t="shared" si="9"/>
        <v>88623.708363481142</v>
      </c>
      <c r="G32" s="291">
        <f t="shared" si="1"/>
        <v>4.6824095107443525E-5</v>
      </c>
      <c r="H32" s="285">
        <v>1959</v>
      </c>
      <c r="I32" s="286">
        <f t="shared" si="2"/>
        <v>3.3866706589849116E-4</v>
      </c>
      <c r="J32" s="286">
        <f t="shared" si="10"/>
        <v>2.8786700601371749E-4</v>
      </c>
      <c r="K32" s="282">
        <v>496.6</v>
      </c>
      <c r="L32" s="319">
        <f t="shared" si="3"/>
        <v>7.7404592527012097E-3</v>
      </c>
      <c r="M32" s="287">
        <f t="shared" si="11"/>
        <v>1.1610688879051814E-3</v>
      </c>
      <c r="N32" s="291">
        <f t="shared" si="12"/>
        <v>1.4489358939188989E-3</v>
      </c>
      <c r="O32" s="288">
        <v>188</v>
      </c>
      <c r="P32" s="288">
        <v>192</v>
      </c>
      <c r="Q32" s="289">
        <v>1.9505591721</v>
      </c>
      <c r="R32" s="290">
        <f t="shared" si="13"/>
        <v>1.7851116113142606E-4</v>
      </c>
      <c r="S32" s="289">
        <f t="shared" si="4"/>
        <v>3.4819658266712413E-4</v>
      </c>
      <c r="T32" s="289">
        <f t="shared" si="14"/>
        <v>1.8059474616246836E-4</v>
      </c>
      <c r="U32" s="288">
        <f t="shared" si="15"/>
        <v>32907.617715695174</v>
      </c>
      <c r="V32" s="290">
        <f t="shared" si="5"/>
        <v>0.97916666666666663</v>
      </c>
      <c r="W32" s="290">
        <f t="shared" si="16"/>
        <v>1.3011413049148681E-2</v>
      </c>
      <c r="X32" s="288">
        <f t="shared" si="17"/>
        <v>418396.5829188897</v>
      </c>
      <c r="Y32" s="282">
        <f t="shared" si="6"/>
        <v>451304.20063458488</v>
      </c>
      <c r="Z32" s="291">
        <f t="shared" si="18"/>
        <v>2.1052174916104003E-3</v>
      </c>
      <c r="AB32" s="292">
        <f t="shared" si="7"/>
        <v>20075.750745104804</v>
      </c>
      <c r="AC32" s="293">
        <f t="shared" si="8"/>
        <v>310614.39399100415</v>
      </c>
      <c r="AD32" s="293">
        <f t="shared" si="19"/>
        <v>451304.20063458494</v>
      </c>
      <c r="AE32" s="293">
        <f t="shared" si="20"/>
        <v>781994.34537069383</v>
      </c>
      <c r="AF32" s="316">
        <f t="shared" si="21"/>
        <v>9.1195039393604646E-4</v>
      </c>
    </row>
    <row r="33" spans="1:32">
      <c r="A33" s="18" t="s">
        <v>285</v>
      </c>
      <c r="B33" s="200" t="s">
        <v>27</v>
      </c>
      <c r="C33" s="282">
        <v>2347113</v>
      </c>
      <c r="D33" s="282">
        <v>539788</v>
      </c>
      <c r="E33" s="283">
        <f t="shared" si="0"/>
        <v>0.22997955360479022</v>
      </c>
      <c r="F33" s="284">
        <f t="shared" si="9"/>
        <v>124140.20328122251</v>
      </c>
      <c r="G33" s="291">
        <f t="shared" si="1"/>
        <v>6.5589138532286647E-5</v>
      </c>
      <c r="H33" s="285">
        <v>16086</v>
      </c>
      <c r="I33" s="286">
        <f t="shared" si="2"/>
        <v>2.7809078213594327E-3</v>
      </c>
      <c r="J33" s="286">
        <f t="shared" si="10"/>
        <v>2.3637716481555177E-3</v>
      </c>
      <c r="K33" s="282">
        <v>170.6</v>
      </c>
      <c r="L33" s="319">
        <f t="shared" si="3"/>
        <v>2.6591267589827351E-3</v>
      </c>
      <c r="M33" s="287">
        <f t="shared" si="11"/>
        <v>3.9886901384741024E-4</v>
      </c>
      <c r="N33" s="291">
        <f t="shared" si="12"/>
        <v>2.762640662002928E-3</v>
      </c>
      <c r="O33" s="288">
        <v>3006</v>
      </c>
      <c r="P33" s="288">
        <v>3272</v>
      </c>
      <c r="Q33" s="289">
        <v>1.6415123341</v>
      </c>
      <c r="R33" s="290">
        <f t="shared" si="13"/>
        <v>3.0421277042813858E-3</v>
      </c>
      <c r="S33" s="289">
        <f t="shared" si="4"/>
        <v>4.9936901484852123E-3</v>
      </c>
      <c r="T33" s="289">
        <f t="shared" si="14"/>
        <v>2.5900145195906737E-3</v>
      </c>
      <c r="U33" s="288">
        <f t="shared" si="15"/>
        <v>471947.32681820809</v>
      </c>
      <c r="V33" s="290">
        <f t="shared" si="5"/>
        <v>0.91870415647921755</v>
      </c>
      <c r="W33" s="290">
        <f t="shared" si="16"/>
        <v>1.2207971999919139E-2</v>
      </c>
      <c r="X33" s="288">
        <f t="shared" si="17"/>
        <v>392561.03467331291</v>
      </c>
      <c r="Y33" s="282">
        <f t="shared" si="6"/>
        <v>864508.36149152101</v>
      </c>
      <c r="Z33" s="291">
        <f t="shared" si="18"/>
        <v>4.032708141639944E-3</v>
      </c>
      <c r="AB33" s="292">
        <f t="shared" si="7"/>
        <v>28121.231040106413</v>
      </c>
      <c r="AC33" s="293">
        <f t="shared" si="8"/>
        <v>592238.73095035448</v>
      </c>
      <c r="AD33" s="293">
        <f t="shared" si="19"/>
        <v>864508.36149152112</v>
      </c>
      <c r="AE33" s="293">
        <f t="shared" si="20"/>
        <v>1484868.3234819821</v>
      </c>
      <c r="AF33" s="316">
        <f t="shared" si="21"/>
        <v>1.7316317701768615E-3</v>
      </c>
    </row>
    <row r="34" spans="1:32">
      <c r="A34" s="18" t="s">
        <v>286</v>
      </c>
      <c r="B34" s="200" t="s">
        <v>28</v>
      </c>
      <c r="C34" s="282">
        <v>702996</v>
      </c>
      <c r="D34" s="282">
        <v>419888</v>
      </c>
      <c r="E34" s="283">
        <f t="shared" si="0"/>
        <v>0.597283626080376</v>
      </c>
      <c r="F34" s="284">
        <f t="shared" si="9"/>
        <v>250792.22718763692</v>
      </c>
      <c r="G34" s="291">
        <f t="shared" si="1"/>
        <v>1.3250539065549238E-4</v>
      </c>
      <c r="H34" s="285">
        <v>1386</v>
      </c>
      <c r="I34" s="286">
        <f t="shared" si="2"/>
        <v>2.3960824570459864E-4</v>
      </c>
      <c r="J34" s="286">
        <f t="shared" si="10"/>
        <v>2.0366700884890884E-4</v>
      </c>
      <c r="K34" s="282">
        <v>443.2</v>
      </c>
      <c r="L34" s="319">
        <f t="shared" si="3"/>
        <v>6.9081182859387349E-3</v>
      </c>
      <c r="M34" s="287">
        <f t="shared" si="11"/>
        <v>1.0362177428908102E-3</v>
      </c>
      <c r="N34" s="291">
        <f t="shared" si="12"/>
        <v>1.239884751739719E-3</v>
      </c>
      <c r="O34" s="288">
        <v>237</v>
      </c>
      <c r="P34" s="288">
        <v>131</v>
      </c>
      <c r="Q34" s="289">
        <v>2.2584083591000002</v>
      </c>
      <c r="R34" s="290">
        <f t="shared" si="13"/>
        <v>1.2179667764696256E-4</v>
      </c>
      <c r="S34" s="289">
        <f t="shared" si="4"/>
        <v>2.7506663490850839E-4</v>
      </c>
      <c r="T34" s="289">
        <f t="shared" si="14"/>
        <v>1.426653550949875E-4</v>
      </c>
      <c r="U34" s="288">
        <f t="shared" si="15"/>
        <v>25996.199039567815</v>
      </c>
      <c r="V34" s="290">
        <f t="shared" si="5"/>
        <v>1.8091603053435115</v>
      </c>
      <c r="W34" s="290">
        <f t="shared" si="16"/>
        <v>2.4040577366755789E-2</v>
      </c>
      <c r="X34" s="288">
        <f t="shared" si="17"/>
        <v>773051.73417009739</v>
      </c>
      <c r="Y34" s="282">
        <f t="shared" si="6"/>
        <v>799047.93320966524</v>
      </c>
      <c r="Z34" s="291">
        <f t="shared" si="18"/>
        <v>3.7273521568441086E-3</v>
      </c>
      <c r="AB34" s="292">
        <f t="shared" si="7"/>
        <v>56811.459764003564</v>
      </c>
      <c r="AC34" s="293">
        <f t="shared" si="8"/>
        <v>265799.23404249386</v>
      </c>
      <c r="AD34" s="293">
        <f t="shared" si="19"/>
        <v>799047.93320966535</v>
      </c>
      <c r="AE34" s="293">
        <f t="shared" si="20"/>
        <v>1121658.6270161627</v>
      </c>
      <c r="AF34" s="316">
        <f t="shared" si="21"/>
        <v>1.308061922473703E-3</v>
      </c>
    </row>
    <row r="35" spans="1:32">
      <c r="A35" s="18" t="s">
        <v>287</v>
      </c>
      <c r="B35" s="200" t="s">
        <v>29</v>
      </c>
      <c r="C35" s="282">
        <v>1978005</v>
      </c>
      <c r="D35" s="282">
        <v>656691</v>
      </c>
      <c r="E35" s="283">
        <f t="shared" si="0"/>
        <v>0.33199663297109966</v>
      </c>
      <c r="F35" s="284">
        <f t="shared" si="9"/>
        <v>218019.2009024244</v>
      </c>
      <c r="G35" s="291">
        <f t="shared" si="1"/>
        <v>1.1518985141577036E-4</v>
      </c>
      <c r="H35" s="285">
        <v>7026</v>
      </c>
      <c r="I35" s="286">
        <f t="shared" si="2"/>
        <v>1.2146374706497186E-3</v>
      </c>
      <c r="J35" s="286">
        <f t="shared" si="10"/>
        <v>1.0324418500522608E-3</v>
      </c>
      <c r="K35" s="282">
        <v>127.8</v>
      </c>
      <c r="L35" s="319">
        <f t="shared" si="3"/>
        <v>1.9920070328135614E-3</v>
      </c>
      <c r="M35" s="287">
        <f t="shared" si="11"/>
        <v>2.9880105492203422E-4</v>
      </c>
      <c r="N35" s="291">
        <f t="shared" si="12"/>
        <v>1.331242904974295E-3</v>
      </c>
      <c r="O35" s="288">
        <v>2843</v>
      </c>
      <c r="P35" s="288">
        <v>1571</v>
      </c>
      <c r="Q35" s="289">
        <v>1.4705313694</v>
      </c>
      <c r="R35" s="290">
        <f t="shared" si="13"/>
        <v>1.4606303861326581E-3</v>
      </c>
      <c r="S35" s="289">
        <f t="shared" si="4"/>
        <v>2.1479028019069082E-3</v>
      </c>
      <c r="T35" s="289">
        <f t="shared" si="14"/>
        <v>1.1140257561426585E-3</v>
      </c>
      <c r="U35" s="288">
        <f t="shared" si="15"/>
        <v>202995.57150793582</v>
      </c>
      <c r="V35" s="290">
        <f t="shared" si="5"/>
        <v>1.8096753660089115</v>
      </c>
      <c r="W35" s="290">
        <f t="shared" si="16"/>
        <v>2.4047421622479592E-2</v>
      </c>
      <c r="X35" s="288">
        <f t="shared" si="17"/>
        <v>773271.81889084564</v>
      </c>
      <c r="Y35" s="282">
        <f t="shared" si="6"/>
        <v>976267.39039878151</v>
      </c>
      <c r="Z35" s="291">
        <f t="shared" si="18"/>
        <v>4.5540351360931998E-3</v>
      </c>
      <c r="AB35" s="292">
        <f t="shared" si="7"/>
        <v>49387.45191086558</v>
      </c>
      <c r="AC35" s="293">
        <f t="shared" si="8"/>
        <v>285384.06006702152</v>
      </c>
      <c r="AD35" s="293">
        <f t="shared" si="19"/>
        <v>976267.39039878175</v>
      </c>
      <c r="AE35" s="293">
        <f t="shared" si="20"/>
        <v>1311038.902376669</v>
      </c>
      <c r="AF35" s="316">
        <f t="shared" si="21"/>
        <v>1.528914435974759E-3</v>
      </c>
    </row>
    <row r="36" spans="1:32">
      <c r="A36" s="18" t="s">
        <v>288</v>
      </c>
      <c r="B36" s="200" t="s">
        <v>30</v>
      </c>
      <c r="C36" s="282">
        <v>579083</v>
      </c>
      <c r="D36" s="282">
        <v>129046</v>
      </c>
      <c r="E36" s="283">
        <f t="shared" si="0"/>
        <v>0.22284542975704691</v>
      </c>
      <c r="F36" s="284">
        <f t="shared" si="9"/>
        <v>28757.311328427877</v>
      </c>
      <c r="G36" s="291">
        <f t="shared" si="1"/>
        <v>1.5193847171842474E-5</v>
      </c>
      <c r="H36" s="285">
        <v>3298</v>
      </c>
      <c r="I36" s="286">
        <f t="shared" si="2"/>
        <v>5.7015006806188052E-4</v>
      </c>
      <c r="J36" s="286">
        <f t="shared" si="10"/>
        <v>4.8462755785259843E-4</v>
      </c>
      <c r="K36" s="282">
        <v>560.5</v>
      </c>
      <c r="L36" s="319">
        <f t="shared" si="3"/>
        <v>8.7364627691079895E-3</v>
      </c>
      <c r="M36" s="287">
        <f t="shared" si="11"/>
        <v>1.3104694153661983E-3</v>
      </c>
      <c r="N36" s="291">
        <f t="shared" si="12"/>
        <v>1.7950969732187967E-3</v>
      </c>
      <c r="O36" s="288">
        <v>2022</v>
      </c>
      <c r="P36" s="288">
        <v>1144</v>
      </c>
      <c r="Q36" s="289">
        <v>2.2004042460000002</v>
      </c>
      <c r="R36" s="290">
        <f t="shared" si="13"/>
        <v>1.0636290017414136E-3</v>
      </c>
      <c r="S36" s="289">
        <f t="shared" si="4"/>
        <v>2.3404137716005482E-3</v>
      </c>
      <c r="T36" s="289">
        <f t="shared" si="14"/>
        <v>1.2138730017388346E-3</v>
      </c>
      <c r="U36" s="288">
        <f t="shared" si="15"/>
        <v>221189.53926095201</v>
      </c>
      <c r="V36" s="290">
        <f t="shared" si="5"/>
        <v>1.7674825174825175</v>
      </c>
      <c r="W36" s="290">
        <f t="shared" si="16"/>
        <v>2.3486752434499599E-2</v>
      </c>
      <c r="X36" s="288">
        <f t="shared" si="17"/>
        <v>755242.87218746764</v>
      </c>
      <c r="Y36" s="282">
        <f t="shared" si="6"/>
        <v>976432.41144841968</v>
      </c>
      <c r="Z36" s="291">
        <f t="shared" si="18"/>
        <v>4.5548049166529497E-3</v>
      </c>
      <c r="AB36" s="292">
        <f t="shared" si="7"/>
        <v>6514.3360054519326</v>
      </c>
      <c r="AC36" s="293">
        <f t="shared" si="8"/>
        <v>384822.37953493057</v>
      </c>
      <c r="AD36" s="293">
        <f t="shared" si="19"/>
        <v>976432.41144841979</v>
      </c>
      <c r="AE36" s="293">
        <f t="shared" si="20"/>
        <v>1367769.1269888023</v>
      </c>
      <c r="AF36" s="316">
        <f t="shared" si="21"/>
        <v>1.5950723960538578E-3</v>
      </c>
    </row>
    <row r="37" spans="1:32">
      <c r="A37" s="18" t="s">
        <v>289</v>
      </c>
      <c r="B37" s="200" t="s">
        <v>242</v>
      </c>
      <c r="C37" s="282">
        <v>512545762.94000041</v>
      </c>
      <c r="D37" s="282">
        <v>116809127.09999999</v>
      </c>
      <c r="E37" s="283">
        <f t="shared" si="0"/>
        <v>0.22789989801100724</v>
      </c>
      <c r="F37" s="284">
        <f t="shared" si="9"/>
        <v>26620788.152844779</v>
      </c>
      <c r="G37" s="291">
        <f t="shared" si="1"/>
        <v>1.4065020966980302E-2</v>
      </c>
      <c r="H37" s="285">
        <v>471523</v>
      </c>
      <c r="I37" s="286">
        <f t="shared" si="2"/>
        <v>8.1515727878332944E-2</v>
      </c>
      <c r="J37" s="286">
        <f t="shared" si="10"/>
        <v>6.9288368696583003E-2</v>
      </c>
      <c r="K37" s="282">
        <v>247.3</v>
      </c>
      <c r="L37" s="319">
        <f t="shared" si="3"/>
        <v>3.8546427168606708E-3</v>
      </c>
      <c r="M37" s="287">
        <f t="shared" si="11"/>
        <v>5.7819640752910064E-4</v>
      </c>
      <c r="N37" s="291">
        <f t="shared" si="12"/>
        <v>6.9866565104112099E-2</v>
      </c>
      <c r="O37" s="288">
        <v>78885</v>
      </c>
      <c r="P37" s="288">
        <v>113737</v>
      </c>
      <c r="Q37" s="289">
        <v>1.9568038190999999</v>
      </c>
      <c r="R37" s="290">
        <f t="shared" si="13"/>
        <v>0.1057464788208594</v>
      </c>
      <c r="S37" s="289">
        <f t="shared" si="4"/>
        <v>0.20692511361303492</v>
      </c>
      <c r="T37" s="289">
        <f t="shared" si="14"/>
        <v>0.10732324849756292</v>
      </c>
      <c r="U37" s="288">
        <f t="shared" si="15"/>
        <v>19556230.226028215</v>
      </c>
      <c r="V37" s="290">
        <f t="shared" si="5"/>
        <v>0.69357377106834184</v>
      </c>
      <c r="W37" s="290">
        <f t="shared" si="16"/>
        <v>9.216382790222178E-3</v>
      </c>
      <c r="X37" s="288">
        <f t="shared" si="17"/>
        <v>296363.12764305959</v>
      </c>
      <c r="Y37" s="282">
        <f t="shared" si="6"/>
        <v>19852593.353671275</v>
      </c>
      <c r="Z37" s="291">
        <f t="shared" si="18"/>
        <v>9.2607218641461805E-2</v>
      </c>
      <c r="AB37" s="292">
        <f t="shared" si="7"/>
        <v>6030353.6995183146</v>
      </c>
      <c r="AC37" s="293">
        <f t="shared" si="8"/>
        <v>14977585.185878152</v>
      </c>
      <c r="AD37" s="293">
        <f t="shared" si="19"/>
        <v>19852593.353671279</v>
      </c>
      <c r="AE37" s="293">
        <f t="shared" si="20"/>
        <v>40860532.239067748</v>
      </c>
      <c r="AF37" s="316">
        <f t="shared" si="21"/>
        <v>4.7650956419883629E-2</v>
      </c>
    </row>
    <row r="38" spans="1:32">
      <c r="A38" s="18" t="s">
        <v>290</v>
      </c>
      <c r="B38" s="200" t="s">
        <v>32</v>
      </c>
      <c r="C38" s="282">
        <v>3788861</v>
      </c>
      <c r="D38" s="282">
        <v>1176027</v>
      </c>
      <c r="E38" s="283">
        <f t="shared" si="0"/>
        <v>0.31039064246484632</v>
      </c>
      <c r="F38" s="284">
        <f t="shared" si="9"/>
        <v>365027.77608600585</v>
      </c>
      <c r="G38" s="291">
        <f t="shared" si="1"/>
        <v>1.9286143200201287E-4</v>
      </c>
      <c r="H38" s="285">
        <v>5351</v>
      </c>
      <c r="I38" s="286">
        <f t="shared" si="2"/>
        <v>9.2506762104279034E-4</v>
      </c>
      <c r="J38" s="286">
        <f t="shared" si="10"/>
        <v>7.8630747788637173E-4</v>
      </c>
      <c r="K38" s="282">
        <v>3428</v>
      </c>
      <c r="L38" s="319">
        <f t="shared" si="3"/>
        <v>5.3431925731493649E-2</v>
      </c>
      <c r="M38" s="287">
        <f t="shared" si="11"/>
        <v>8.0147888597240473E-3</v>
      </c>
      <c r="N38" s="291">
        <f t="shared" si="12"/>
        <v>8.8010963376104184E-3</v>
      </c>
      <c r="O38" s="288">
        <v>2081</v>
      </c>
      <c r="P38" s="288">
        <v>764</v>
      </c>
      <c r="Q38" s="289">
        <v>1.7755281664</v>
      </c>
      <c r="R38" s="290">
        <f t="shared" si="13"/>
        <v>7.1032566200213284E-4</v>
      </c>
      <c r="S38" s="289">
        <f t="shared" si="4"/>
        <v>1.2612032202015131E-3</v>
      </c>
      <c r="T38" s="289">
        <f t="shared" si="14"/>
        <v>6.5413242619134164E-4</v>
      </c>
      <c r="U38" s="288">
        <f t="shared" si="15"/>
        <v>119194.71786393769</v>
      </c>
      <c r="V38" s="290">
        <f t="shared" si="5"/>
        <v>2.7238219895287958</v>
      </c>
      <c r="W38" s="290">
        <f t="shared" si="16"/>
        <v>3.6194831977647418E-2</v>
      </c>
      <c r="X38" s="288">
        <f t="shared" si="17"/>
        <v>1163885.4259385669</v>
      </c>
      <c r="Y38" s="282">
        <f t="shared" si="6"/>
        <v>1283080.1438025045</v>
      </c>
      <c r="Z38" s="291">
        <f t="shared" si="18"/>
        <v>5.9852373589097535E-3</v>
      </c>
      <c r="AB38" s="292">
        <f t="shared" si="7"/>
        <v>82689.009330174784</v>
      </c>
      <c r="AC38" s="293">
        <f t="shared" si="8"/>
        <v>1886727.505914297</v>
      </c>
      <c r="AD38" s="293">
        <f t="shared" si="19"/>
        <v>1283080.1438025048</v>
      </c>
      <c r="AE38" s="293">
        <f t="shared" si="20"/>
        <v>3252496.6590469768</v>
      </c>
      <c r="AF38" s="316">
        <f t="shared" si="21"/>
        <v>3.7930141401310499E-3</v>
      </c>
    </row>
    <row r="39" spans="1:32">
      <c r="A39" s="18" t="s">
        <v>291</v>
      </c>
      <c r="B39" s="200" t="s">
        <v>33</v>
      </c>
      <c r="C39" s="282">
        <v>39384069</v>
      </c>
      <c r="D39" s="282">
        <v>12032960</v>
      </c>
      <c r="E39" s="283">
        <f t="shared" si="0"/>
        <v>0.30552861361277828</v>
      </c>
      <c r="F39" s="284">
        <f t="shared" si="9"/>
        <v>3676413.5864580167</v>
      </c>
      <c r="G39" s="291">
        <f t="shared" si="1"/>
        <v>1.9424231123411531E-3</v>
      </c>
      <c r="H39" s="285">
        <v>84666</v>
      </c>
      <c r="I39" s="286">
        <f t="shared" si="2"/>
        <v>1.4636848290638924E-2</v>
      </c>
      <c r="J39" s="286">
        <f t="shared" si="10"/>
        <v>1.2441321047043085E-2</v>
      </c>
      <c r="K39" s="282">
        <v>2509.1999999999998</v>
      </c>
      <c r="L39" s="319">
        <f t="shared" si="3"/>
        <v>3.9110673292142316E-2</v>
      </c>
      <c r="M39" s="287">
        <f t="shared" si="11"/>
        <v>5.8666009938213469E-3</v>
      </c>
      <c r="N39" s="291">
        <f t="shared" si="12"/>
        <v>1.8307922040864431E-2</v>
      </c>
      <c r="O39" s="288">
        <v>25760</v>
      </c>
      <c r="P39" s="288">
        <v>21267</v>
      </c>
      <c r="Q39" s="289">
        <v>2.0486592371999999</v>
      </c>
      <c r="R39" s="290">
        <f t="shared" si="13"/>
        <v>1.9772900332198112E-2</v>
      </c>
      <c r="S39" s="289">
        <f t="shared" si="4"/>
        <v>4.0507934911792609E-2</v>
      </c>
      <c r="T39" s="289">
        <f t="shared" si="14"/>
        <v>2.1009741585989696E-2</v>
      </c>
      <c r="U39" s="288">
        <f t="shared" si="15"/>
        <v>3828353.5878463807</v>
      </c>
      <c r="V39" s="290">
        <f t="shared" si="5"/>
        <v>1.2112662810927728</v>
      </c>
      <c r="W39" s="290">
        <f t="shared" si="16"/>
        <v>1.6095611127629923E-2</v>
      </c>
      <c r="X39" s="288">
        <f t="shared" si="17"/>
        <v>517572.43201438728</v>
      </c>
      <c r="Y39" s="282">
        <f t="shared" si="6"/>
        <v>4345926.0198607678</v>
      </c>
      <c r="Z39" s="291">
        <f t="shared" si="18"/>
        <v>2.0272622017235731E-2</v>
      </c>
      <c r="AB39" s="292">
        <f t="shared" si="7"/>
        <v>832810.58940726111</v>
      </c>
      <c r="AC39" s="293">
        <f t="shared" si="8"/>
        <v>3924745.1414685948</v>
      </c>
      <c r="AD39" s="293">
        <f t="shared" si="19"/>
        <v>4345926.0198607687</v>
      </c>
      <c r="AE39" s="293">
        <f t="shared" si="20"/>
        <v>9103481.750736624</v>
      </c>
      <c r="AF39" s="316">
        <f t="shared" si="21"/>
        <v>1.0616347570695617E-2</v>
      </c>
    </row>
    <row r="40" spans="1:32">
      <c r="A40" s="18" t="s">
        <v>292</v>
      </c>
      <c r="B40" s="200" t="s">
        <v>243</v>
      </c>
      <c r="C40" s="282">
        <v>2191945</v>
      </c>
      <c r="D40" s="282">
        <v>947940</v>
      </c>
      <c r="E40" s="283">
        <f t="shared" si="0"/>
        <v>0.43246523065131653</v>
      </c>
      <c r="F40" s="284">
        <f t="shared" si="9"/>
        <v>409951.09074360901</v>
      </c>
      <c r="G40" s="291">
        <f t="shared" si="1"/>
        <v>2.1659654303394981E-4</v>
      </c>
      <c r="H40" s="285">
        <v>5119</v>
      </c>
      <c r="I40" s="286">
        <f t="shared" si="2"/>
        <v>8.8496003590320376E-4</v>
      </c>
      <c r="J40" s="286">
        <f t="shared" si="10"/>
        <v>7.5221603051772322E-4</v>
      </c>
      <c r="K40" s="282">
        <v>264.89999999999998</v>
      </c>
      <c r="L40" s="319">
        <f t="shared" si="3"/>
        <v>4.1289723238835084E-3</v>
      </c>
      <c r="M40" s="287">
        <f t="shared" si="11"/>
        <v>6.1934584858252628E-4</v>
      </c>
      <c r="N40" s="291">
        <f t="shared" si="12"/>
        <v>1.3715618791002495E-3</v>
      </c>
      <c r="O40" s="288">
        <v>1318</v>
      </c>
      <c r="P40" s="288">
        <v>475</v>
      </c>
      <c r="Q40" s="289">
        <v>2.0058388967999998</v>
      </c>
      <c r="R40" s="290">
        <f t="shared" si="13"/>
        <v>4.4162917467410089E-4</v>
      </c>
      <c r="S40" s="289">
        <f t="shared" si="4"/>
        <v>8.8583697652299298E-4</v>
      </c>
      <c r="T40" s="289">
        <f t="shared" si="14"/>
        <v>4.5944593336068676E-4</v>
      </c>
      <c r="U40" s="288">
        <f t="shared" si="15"/>
        <v>83719.3299214945</v>
      </c>
      <c r="V40" s="290">
        <f t="shared" si="5"/>
        <v>2.7747368421052632</v>
      </c>
      <c r="W40" s="290">
        <f t="shared" si="16"/>
        <v>3.6871401350116108E-2</v>
      </c>
      <c r="X40" s="288">
        <f t="shared" si="17"/>
        <v>1185641.2730920778</v>
      </c>
      <c r="Y40" s="282">
        <f t="shared" si="6"/>
        <v>1269360.6030135723</v>
      </c>
      <c r="Z40" s="291">
        <f t="shared" si="18"/>
        <v>5.921239245874E-3</v>
      </c>
      <c r="AB40" s="292">
        <f t="shared" si="7"/>
        <v>92865.397616828617</v>
      </c>
      <c r="AC40" s="293">
        <f t="shared" si="8"/>
        <v>294027.40568847617</v>
      </c>
      <c r="AD40" s="293">
        <f t="shared" si="19"/>
        <v>1269360.6030135723</v>
      </c>
      <c r="AE40" s="293">
        <f t="shared" si="20"/>
        <v>1656253.4063188771</v>
      </c>
      <c r="AF40" s="316">
        <f t="shared" si="21"/>
        <v>1.9314985527605372E-3</v>
      </c>
    </row>
    <row r="41" spans="1:32">
      <c r="A41" s="18" t="s">
        <v>293</v>
      </c>
      <c r="B41" s="200" t="s">
        <v>35</v>
      </c>
      <c r="C41" s="282">
        <v>739738</v>
      </c>
      <c r="D41" s="282">
        <v>296637</v>
      </c>
      <c r="E41" s="283">
        <f t="shared" si="0"/>
        <v>0.40100278747340273</v>
      </c>
      <c r="F41" s="284">
        <f t="shared" si="9"/>
        <v>118952.26386774777</v>
      </c>
      <c r="G41" s="291">
        <f t="shared" si="1"/>
        <v>6.2848104863148349E-5</v>
      </c>
      <c r="H41" s="285">
        <v>1483</v>
      </c>
      <c r="I41" s="286">
        <f t="shared" si="2"/>
        <v>2.5637736535347747E-4</v>
      </c>
      <c r="J41" s="286">
        <f t="shared" si="10"/>
        <v>2.1792076055045584E-4</v>
      </c>
      <c r="K41" s="282">
        <v>207.9</v>
      </c>
      <c r="L41" s="319">
        <f t="shared" si="3"/>
        <v>3.2405184829572727E-3</v>
      </c>
      <c r="M41" s="287">
        <f t="shared" si="11"/>
        <v>4.8607777244359088E-4</v>
      </c>
      <c r="N41" s="291">
        <f t="shared" si="12"/>
        <v>7.0399853299404674E-4</v>
      </c>
      <c r="O41" s="288">
        <v>35</v>
      </c>
      <c r="P41" s="288">
        <v>141</v>
      </c>
      <c r="Q41" s="289">
        <v>1.5774653305999999</v>
      </c>
      <c r="R41" s="290">
        <f t="shared" si="13"/>
        <v>1.3109413395589101E-4</v>
      </c>
      <c r="S41" s="289">
        <f t="shared" si="4"/>
        <v>2.0679645136045029E-4</v>
      </c>
      <c r="T41" s="289">
        <f t="shared" si="14"/>
        <v>1.072565168637593E-4</v>
      </c>
      <c r="U41" s="288">
        <f t="shared" si="15"/>
        <v>19544.070519605873</v>
      </c>
      <c r="V41" s="290">
        <f t="shared" si="5"/>
        <v>0.24822695035460993</v>
      </c>
      <c r="W41" s="290">
        <f t="shared" si="16"/>
        <v>3.2985021763346587E-3</v>
      </c>
      <c r="X41" s="288">
        <f t="shared" si="17"/>
        <v>106067.03777029345</v>
      </c>
      <c r="Y41" s="282">
        <f t="shared" si="6"/>
        <v>125611.10828989932</v>
      </c>
      <c r="Z41" s="291">
        <f t="shared" si="18"/>
        <v>5.8594336578439421E-4</v>
      </c>
      <c r="AB41" s="292">
        <f t="shared" si="7"/>
        <v>26946.017539465527</v>
      </c>
      <c r="AC41" s="293">
        <f t="shared" si="8"/>
        <v>150919.08386993239</v>
      </c>
      <c r="AD41" s="293">
        <f t="shared" si="19"/>
        <v>125611.10828989933</v>
      </c>
      <c r="AE41" s="293">
        <f t="shared" si="20"/>
        <v>303476.20969929727</v>
      </c>
      <c r="AF41" s="316">
        <f t="shared" si="21"/>
        <v>3.5390952712618441E-4</v>
      </c>
    </row>
    <row r="42" spans="1:32">
      <c r="A42" s="18" t="s">
        <v>294</v>
      </c>
      <c r="B42" s="200" t="s">
        <v>36</v>
      </c>
      <c r="C42" s="282">
        <v>841795</v>
      </c>
      <c r="D42" s="282">
        <v>101056</v>
      </c>
      <c r="E42" s="283">
        <f t="shared" si="0"/>
        <v>0.12004823026984004</v>
      </c>
      <c r="F42" s="284">
        <f t="shared" si="9"/>
        <v>12131.593958148955</v>
      </c>
      <c r="G42" s="291">
        <f t="shared" si="1"/>
        <v>6.4096946493307496E-6</v>
      </c>
      <c r="H42" s="285">
        <v>7652</v>
      </c>
      <c r="I42" s="286">
        <f t="shared" si="2"/>
        <v>1.322858799517741E-3</v>
      </c>
      <c r="J42" s="286">
        <f t="shared" si="10"/>
        <v>1.1244299795900798E-3</v>
      </c>
      <c r="K42" s="282">
        <v>997.9</v>
      </c>
      <c r="L42" s="319">
        <f t="shared" si="3"/>
        <v>1.5554176980005108E-2</v>
      </c>
      <c r="M42" s="287">
        <f t="shared" si="11"/>
        <v>2.3331265470007659E-3</v>
      </c>
      <c r="N42" s="291">
        <f t="shared" si="12"/>
        <v>3.4575565265908457E-3</v>
      </c>
      <c r="O42" s="288">
        <v>5295</v>
      </c>
      <c r="P42" s="288">
        <v>4705</v>
      </c>
      <c r="Q42" s="289">
        <v>2.7540316573000001</v>
      </c>
      <c r="R42" s="290">
        <f t="shared" si="13"/>
        <v>4.3744531933508314E-3</v>
      </c>
      <c r="S42" s="289">
        <f t="shared" si="4"/>
        <v>1.2047382577865268E-2</v>
      </c>
      <c r="T42" s="289">
        <f t="shared" si="14"/>
        <v>6.2484645366312659E-3</v>
      </c>
      <c r="U42" s="288">
        <f t="shared" si="15"/>
        <v>1138582.8583105977</v>
      </c>
      <c r="V42" s="290">
        <f t="shared" si="5"/>
        <v>1.1253985122210415</v>
      </c>
      <c r="W42" s="290">
        <f t="shared" si="16"/>
        <v>1.4954578608413996E-2</v>
      </c>
      <c r="X42" s="288">
        <f t="shared" si="17"/>
        <v>480881.25133816455</v>
      </c>
      <c r="Y42" s="282">
        <f t="shared" si="6"/>
        <v>1619464.1096487623</v>
      </c>
      <c r="Z42" s="291">
        <f t="shared" si="18"/>
        <v>7.5543816473986752E-3</v>
      </c>
      <c r="AB42" s="292">
        <f t="shared" si="7"/>
        <v>2748.1456253863657</v>
      </c>
      <c r="AC42" s="293">
        <f t="shared" si="8"/>
        <v>741210.7255428168</v>
      </c>
      <c r="AD42" s="293">
        <f t="shared" si="19"/>
        <v>1619464.1096487625</v>
      </c>
      <c r="AE42" s="293">
        <f t="shared" si="20"/>
        <v>2363422.9808169659</v>
      </c>
      <c r="AF42" s="316">
        <f t="shared" si="21"/>
        <v>2.7561893908220462E-3</v>
      </c>
    </row>
    <row r="43" spans="1:32">
      <c r="A43" s="18" t="s">
        <v>295</v>
      </c>
      <c r="B43" s="200" t="s">
        <v>37</v>
      </c>
      <c r="C43" s="282">
        <v>4742394</v>
      </c>
      <c r="D43" s="282">
        <v>933845.6</v>
      </c>
      <c r="E43" s="283">
        <f t="shared" si="0"/>
        <v>0.19691438543486686</v>
      </c>
      <c r="F43" s="284">
        <f t="shared" si="9"/>
        <v>183887.63241505451</v>
      </c>
      <c r="G43" s="291">
        <f t="shared" si="1"/>
        <v>9.7156530101071386E-5</v>
      </c>
      <c r="H43" s="285">
        <v>6048</v>
      </c>
      <c r="I43" s="286">
        <f t="shared" si="2"/>
        <v>1.0455632539837032E-3</v>
      </c>
      <c r="J43" s="286">
        <f t="shared" si="10"/>
        <v>8.8872876588614767E-4</v>
      </c>
      <c r="K43" s="282">
        <v>3860</v>
      </c>
      <c r="L43" s="319">
        <f t="shared" si="3"/>
        <v>6.0165470631145121E-2</v>
      </c>
      <c r="M43" s="287">
        <f t="shared" si="11"/>
        <v>9.0248205946717678E-3</v>
      </c>
      <c r="N43" s="291">
        <f t="shared" si="12"/>
        <v>9.9135493605579158E-3</v>
      </c>
      <c r="O43" s="288">
        <v>1618</v>
      </c>
      <c r="P43" s="288">
        <v>916</v>
      </c>
      <c r="Q43" s="289">
        <v>2.0422796606000002</v>
      </c>
      <c r="R43" s="290">
        <f t="shared" si="13"/>
        <v>8.5164699789784515E-4</v>
      </c>
      <c r="S43" s="289">
        <f t="shared" si="4"/>
        <v>1.7393013418178203E-3</v>
      </c>
      <c r="T43" s="289">
        <f t="shared" si="14"/>
        <v>9.0210157124349997E-4</v>
      </c>
      <c r="U43" s="288">
        <f t="shared" si="15"/>
        <v>164379.16538559011</v>
      </c>
      <c r="V43" s="290">
        <f t="shared" si="5"/>
        <v>1.7663755458515285</v>
      </c>
      <c r="W43" s="290">
        <f t="shared" si="16"/>
        <v>2.3472042716925653E-2</v>
      </c>
      <c r="X43" s="288">
        <f t="shared" si="17"/>
        <v>754769.86471738014</v>
      </c>
      <c r="Y43" s="282">
        <f t="shared" si="6"/>
        <v>919149.03010297031</v>
      </c>
      <c r="Z43" s="291">
        <f t="shared" si="18"/>
        <v>4.2875927430958234E-3</v>
      </c>
      <c r="AB43" s="292">
        <f t="shared" si="7"/>
        <v>41655.69621992152</v>
      </c>
      <c r="AC43" s="293">
        <f t="shared" si="8"/>
        <v>2125208.6720007509</v>
      </c>
      <c r="AD43" s="293">
        <f t="shared" si="19"/>
        <v>919149.03010297043</v>
      </c>
      <c r="AE43" s="293">
        <f t="shared" si="20"/>
        <v>3086013.398323643</v>
      </c>
      <c r="AF43" s="316">
        <f t="shared" si="21"/>
        <v>3.5988637909639709E-3</v>
      </c>
    </row>
    <row r="44" spans="1:32">
      <c r="A44" s="18" t="s">
        <v>296</v>
      </c>
      <c r="B44" s="200" t="s">
        <v>38</v>
      </c>
      <c r="C44" s="282">
        <v>59084249</v>
      </c>
      <c r="D44" s="282">
        <v>20840679</v>
      </c>
      <c r="E44" s="283">
        <f t="shared" si="0"/>
        <v>0.35272816956681635</v>
      </c>
      <c r="F44" s="284">
        <f t="shared" si="9"/>
        <v>7351094.5561995888</v>
      </c>
      <c r="G44" s="291">
        <f t="shared" si="1"/>
        <v>3.8839308013558214E-3</v>
      </c>
      <c r="H44" s="285">
        <v>67428</v>
      </c>
      <c r="I44" s="286">
        <f t="shared" si="2"/>
        <v>1.1656785563758786E-2</v>
      </c>
      <c r="J44" s="286">
        <f t="shared" si="10"/>
        <v>9.9082677291949667E-3</v>
      </c>
      <c r="K44" s="282">
        <v>1869</v>
      </c>
      <c r="L44" s="319">
        <f t="shared" si="3"/>
        <v>2.913193383668659E-2</v>
      </c>
      <c r="M44" s="287">
        <f t="shared" si="11"/>
        <v>4.3697900755029885E-3</v>
      </c>
      <c r="N44" s="291">
        <f t="shared" si="12"/>
        <v>1.4278057804697954E-2</v>
      </c>
      <c r="O44" s="288">
        <v>15090</v>
      </c>
      <c r="P44" s="288">
        <v>11157</v>
      </c>
      <c r="Q44" s="289">
        <v>1.7986407321</v>
      </c>
      <c r="R44" s="290">
        <f t="shared" si="13"/>
        <v>1.037317200387146E-2</v>
      </c>
      <c r="S44" s="289">
        <f t="shared" si="4"/>
        <v>1.8657609687242588E-2</v>
      </c>
      <c r="T44" s="289">
        <f t="shared" si="14"/>
        <v>9.6769079686436638E-3</v>
      </c>
      <c r="U44" s="288">
        <f t="shared" si="15"/>
        <v>1763307.0444674422</v>
      </c>
      <c r="V44" s="290">
        <f t="shared" si="5"/>
        <v>1.352514116698037</v>
      </c>
      <c r="W44" s="290">
        <f t="shared" si="16"/>
        <v>1.7972547908591634E-2</v>
      </c>
      <c r="X44" s="288">
        <f t="shared" si="17"/>
        <v>577927.43977125362</v>
      </c>
      <c r="Y44" s="282">
        <f t="shared" si="6"/>
        <v>2341234.4842386958</v>
      </c>
      <c r="Z44" s="291">
        <f t="shared" si="18"/>
        <v>1.0921253959635861E-2</v>
      </c>
      <c r="AB44" s="292">
        <f t="shared" si="7"/>
        <v>1665228.6926279427</v>
      </c>
      <c r="AC44" s="293">
        <f t="shared" si="8"/>
        <v>3060846.4397825324</v>
      </c>
      <c r="AD44" s="293">
        <f t="shared" si="19"/>
        <v>2341234.4842386963</v>
      </c>
      <c r="AE44" s="293">
        <f t="shared" si="20"/>
        <v>7067309.6166491713</v>
      </c>
      <c r="AF44" s="316">
        <f t="shared" si="21"/>
        <v>8.2417933417613647E-3</v>
      </c>
    </row>
    <row r="45" spans="1:32">
      <c r="A45" s="18" t="s">
        <v>297</v>
      </c>
      <c r="B45" s="200" t="s">
        <v>39</v>
      </c>
      <c r="C45" s="282">
        <v>2540450510.1400013</v>
      </c>
      <c r="D45" s="282">
        <v>1376062053.7900002</v>
      </c>
      <c r="E45" s="283">
        <f t="shared" si="0"/>
        <v>0.54166064180253093</v>
      </c>
      <c r="F45" s="284">
        <f t="shared" si="9"/>
        <v>745358655.21600032</v>
      </c>
      <c r="G45" s="291">
        <f t="shared" si="1"/>
        <v>0.39380821684699024</v>
      </c>
      <c r="H45" s="285">
        <v>1142994</v>
      </c>
      <c r="I45" s="286">
        <f t="shared" si="2"/>
        <v>0.19759797055619194</v>
      </c>
      <c r="J45" s="286">
        <f t="shared" si="10"/>
        <v>0.16795827497276314</v>
      </c>
      <c r="K45" s="282">
        <v>324.39999999999998</v>
      </c>
      <c r="L45" s="319">
        <f t="shared" si="3"/>
        <v>5.0563934385345795E-3</v>
      </c>
      <c r="M45" s="287">
        <f t="shared" si="11"/>
        <v>7.584590157801869E-4</v>
      </c>
      <c r="N45" s="291">
        <f t="shared" si="12"/>
        <v>0.16871673398854334</v>
      </c>
      <c r="O45" s="288">
        <v>182930</v>
      </c>
      <c r="P45" s="288">
        <v>207064</v>
      </c>
      <c r="Q45" s="289">
        <v>1.9809358914999999</v>
      </c>
      <c r="R45" s="290">
        <f t="shared" si="13"/>
        <v>0.19251684931519586</v>
      </c>
      <c r="S45" s="289">
        <f t="shared" si="4"/>
        <v>0.38136353652696864</v>
      </c>
      <c r="T45" s="289">
        <f t="shared" si="14"/>
        <v>0.19779703335156221</v>
      </c>
      <c r="U45" s="288">
        <f t="shared" si="15"/>
        <v>36042184.488446318</v>
      </c>
      <c r="V45" s="290">
        <f t="shared" si="5"/>
        <v>0.8834466638334042</v>
      </c>
      <c r="W45" s="290">
        <f t="shared" si="16"/>
        <v>1.1739461565986884E-2</v>
      </c>
      <c r="X45" s="288">
        <f t="shared" si="17"/>
        <v>377495.5560908828</v>
      </c>
      <c r="Y45" s="282">
        <f t="shared" si="6"/>
        <v>36419680.044537202</v>
      </c>
      <c r="Z45" s="291">
        <f t="shared" si="18"/>
        <v>0.1698883975837259</v>
      </c>
      <c r="AB45" s="292">
        <f t="shared" si="7"/>
        <v>168844599.87220466</v>
      </c>
      <c r="AC45" s="293">
        <f t="shared" si="8"/>
        <v>36168505.662629507</v>
      </c>
      <c r="AD45" s="293">
        <f t="shared" si="19"/>
        <v>36419680.044537202</v>
      </c>
      <c r="AE45" s="293">
        <f t="shared" si="20"/>
        <v>241432785.57937139</v>
      </c>
      <c r="AF45" s="316">
        <f t="shared" si="21"/>
        <v>0.28155539131656243</v>
      </c>
    </row>
    <row r="46" spans="1:32">
      <c r="A46" s="18" t="s">
        <v>298</v>
      </c>
      <c r="B46" s="200" t="s">
        <v>244</v>
      </c>
      <c r="C46" s="282">
        <v>1346236</v>
      </c>
      <c r="D46" s="282">
        <v>378540</v>
      </c>
      <c r="E46" s="283">
        <f t="shared" si="0"/>
        <v>0.28118398260037614</v>
      </c>
      <c r="F46" s="284">
        <f t="shared" si="9"/>
        <v>106439.38477354638</v>
      </c>
      <c r="G46" s="291">
        <f t="shared" si="1"/>
        <v>5.6236959249924835E-5</v>
      </c>
      <c r="H46" s="285">
        <v>906</v>
      </c>
      <c r="I46" s="286">
        <f t="shared" si="2"/>
        <v>1.5662703507097141E-4</v>
      </c>
      <c r="J46" s="286">
        <f t="shared" si="10"/>
        <v>1.331329798103257E-4</v>
      </c>
      <c r="K46" s="282">
        <v>1171.2</v>
      </c>
      <c r="L46" s="319">
        <f t="shared" si="3"/>
        <v>1.8255388394610668E-2</v>
      </c>
      <c r="M46" s="287">
        <f t="shared" si="11"/>
        <v>2.7383082591916001E-3</v>
      </c>
      <c r="N46" s="291">
        <f t="shared" si="12"/>
        <v>2.8714412390019256E-3</v>
      </c>
      <c r="O46" s="288">
        <v>133</v>
      </c>
      <c r="P46" s="288">
        <v>63</v>
      </c>
      <c r="Q46" s="289">
        <v>1.7977681072</v>
      </c>
      <c r="R46" s="290">
        <f t="shared" si="13"/>
        <v>5.8573974746249173E-5</v>
      </c>
      <c r="S46" s="289">
        <f t="shared" si="4"/>
        <v>1.0530242371074497E-4</v>
      </c>
      <c r="T46" s="289">
        <f t="shared" si="14"/>
        <v>5.4615884896592997E-5</v>
      </c>
      <c r="U46" s="288">
        <f t="shared" si="15"/>
        <v>9951.9986022439844</v>
      </c>
      <c r="V46" s="290">
        <f t="shared" si="5"/>
        <v>2.1111111111111112</v>
      </c>
      <c r="W46" s="290">
        <f t="shared" si="16"/>
        <v>2.8052975652065243E-2</v>
      </c>
      <c r="X46" s="288">
        <f t="shared" si="17"/>
        <v>902074.90217973385</v>
      </c>
      <c r="Y46" s="282">
        <f t="shared" si="6"/>
        <v>912026.90078197781</v>
      </c>
      <c r="Z46" s="291">
        <f t="shared" si="18"/>
        <v>4.2543698499718906E-3</v>
      </c>
      <c r="AB46" s="292">
        <f t="shared" si="7"/>
        <v>24111.500157632141</v>
      </c>
      <c r="AC46" s="293">
        <f t="shared" si="8"/>
        <v>615562.76166299742</v>
      </c>
      <c r="AD46" s="293">
        <f t="shared" si="19"/>
        <v>912026.90078197792</v>
      </c>
      <c r="AE46" s="293">
        <f t="shared" si="20"/>
        <v>1551701.1626026076</v>
      </c>
      <c r="AF46" s="316">
        <f t="shared" si="21"/>
        <v>1.8095712518684166E-3</v>
      </c>
    </row>
    <row r="47" spans="1:32">
      <c r="A47" s="18" t="s">
        <v>299</v>
      </c>
      <c r="B47" s="200" t="s">
        <v>245</v>
      </c>
      <c r="C47" s="282">
        <v>105243330.84</v>
      </c>
      <c r="D47" s="282">
        <v>21534368.5</v>
      </c>
      <c r="E47" s="283">
        <f t="shared" si="0"/>
        <v>0.20461504142945083</v>
      </c>
      <c r="F47" s="284">
        <f t="shared" si="9"/>
        <v>4406255.7027845606</v>
      </c>
      <c r="G47" s="291">
        <f t="shared" si="1"/>
        <v>2.3280332080971326E-3</v>
      </c>
      <c r="H47" s="285">
        <v>147624</v>
      </c>
      <c r="I47" s="286">
        <f t="shared" si="2"/>
        <v>2.5520871330372057E-2</v>
      </c>
      <c r="J47" s="286">
        <f t="shared" si="10"/>
        <v>2.1692740630816248E-2</v>
      </c>
      <c r="K47" s="282">
        <v>322.8</v>
      </c>
      <c r="L47" s="319">
        <f t="shared" si="3"/>
        <v>5.0314543833506857E-3</v>
      </c>
      <c r="M47" s="287">
        <f t="shared" si="11"/>
        <v>7.5471815750260279E-4</v>
      </c>
      <c r="N47" s="291">
        <f t="shared" si="12"/>
        <v>2.2447458788318851E-2</v>
      </c>
      <c r="O47" s="288">
        <v>19678</v>
      </c>
      <c r="P47" s="288">
        <v>32877</v>
      </c>
      <c r="Q47" s="289">
        <v>1.8363293522999999</v>
      </c>
      <c r="R47" s="290">
        <f t="shared" si="13"/>
        <v>3.0567247106864034E-2</v>
      </c>
      <c r="S47" s="289">
        <f t="shared" si="4"/>
        <v>5.6131533081341681E-2</v>
      </c>
      <c r="T47" s="289">
        <f t="shared" si="14"/>
        <v>2.9113036925540778E-2</v>
      </c>
      <c r="U47" s="288">
        <f t="shared" si="15"/>
        <v>5304920.0491509968</v>
      </c>
      <c r="V47" s="290">
        <f t="shared" si="5"/>
        <v>0.59853392949478357</v>
      </c>
      <c r="W47" s="290">
        <f t="shared" si="16"/>
        <v>7.953469461024678E-3</v>
      </c>
      <c r="X47" s="288">
        <f t="shared" si="17"/>
        <v>255752.73279485936</v>
      </c>
      <c r="Y47" s="282">
        <f t="shared" si="6"/>
        <v>5560672.7819458563</v>
      </c>
      <c r="Z47" s="291">
        <f t="shared" si="18"/>
        <v>2.5939101805863365E-2</v>
      </c>
      <c r="AB47" s="292">
        <f t="shared" si="7"/>
        <v>998140.25887400552</v>
      </c>
      <c r="AC47" s="293">
        <f t="shared" si="8"/>
        <v>4812154.7940353332</v>
      </c>
      <c r="AD47" s="293">
        <f t="shared" si="19"/>
        <v>5560672.7819458572</v>
      </c>
      <c r="AE47" s="293">
        <f t="shared" si="20"/>
        <v>11370967.834855195</v>
      </c>
      <c r="AF47" s="316">
        <f t="shared" si="21"/>
        <v>1.326065675259412E-2</v>
      </c>
    </row>
    <row r="48" spans="1:32">
      <c r="A48" s="18" t="s">
        <v>300</v>
      </c>
      <c r="B48" s="200" t="s">
        <v>213</v>
      </c>
      <c r="C48" s="282">
        <v>7778604</v>
      </c>
      <c r="D48" s="282">
        <v>1244367</v>
      </c>
      <c r="E48" s="283">
        <f t="shared" si="0"/>
        <v>0.15997304914866473</v>
      </c>
      <c r="F48" s="284">
        <f t="shared" si="9"/>
        <v>199065.18324997649</v>
      </c>
      <c r="G48" s="291">
        <f t="shared" si="1"/>
        <v>1.0517554777608994E-4</v>
      </c>
      <c r="H48" s="285">
        <v>5389</v>
      </c>
      <c r="I48" s="286">
        <f t="shared" si="2"/>
        <v>9.3163696688461914E-4</v>
      </c>
      <c r="J48" s="286">
        <f t="shared" si="10"/>
        <v>7.918914218519263E-4</v>
      </c>
      <c r="K48" s="282">
        <v>1341</v>
      </c>
      <c r="L48" s="319">
        <f t="shared" si="3"/>
        <v>2.0902045626001453E-2</v>
      </c>
      <c r="M48" s="287">
        <f t="shared" si="11"/>
        <v>3.135306843900218E-3</v>
      </c>
      <c r="N48" s="291">
        <f t="shared" si="12"/>
        <v>3.927198265752144E-3</v>
      </c>
      <c r="O48" s="288">
        <v>1611</v>
      </c>
      <c r="P48" s="288">
        <v>1054</v>
      </c>
      <c r="Q48" s="289">
        <v>2.1403267704000002</v>
      </c>
      <c r="R48" s="290">
        <f t="shared" si="13"/>
        <v>9.7995189496105769E-4</v>
      </c>
      <c r="S48" s="289">
        <f t="shared" si="4"/>
        <v>2.0974172744893608E-3</v>
      </c>
      <c r="T48" s="289">
        <f t="shared" si="14"/>
        <v>1.0878410620281658E-3</v>
      </c>
      <c r="U48" s="288">
        <f t="shared" si="15"/>
        <v>198224.24829819554</v>
      </c>
      <c r="V48" s="290">
        <f t="shared" si="5"/>
        <v>1.5284629981024669</v>
      </c>
      <c r="W48" s="290">
        <f t="shared" si="16"/>
        <v>2.0310600917771596E-2</v>
      </c>
      <c r="X48" s="288">
        <f t="shared" si="17"/>
        <v>653110.1571309279</v>
      </c>
      <c r="Y48" s="282">
        <f t="shared" si="6"/>
        <v>851334.40542912344</v>
      </c>
      <c r="Z48" s="291">
        <f t="shared" si="18"/>
        <v>3.9712550403896802E-3</v>
      </c>
      <c r="AB48" s="292">
        <f t="shared" si="7"/>
        <v>45093.836341900525</v>
      </c>
      <c r="AC48" s="293">
        <f t="shared" si="8"/>
        <v>841889.77201734157</v>
      </c>
      <c r="AD48" s="293">
        <f t="shared" si="19"/>
        <v>851334.40542912344</v>
      </c>
      <c r="AE48" s="293">
        <f t="shared" si="20"/>
        <v>1738318.0137883655</v>
      </c>
      <c r="AF48" s="316">
        <f t="shared" si="21"/>
        <v>2.0272011004235009E-3</v>
      </c>
    </row>
    <row r="49" spans="1:32">
      <c r="A49" s="18" t="s">
        <v>301</v>
      </c>
      <c r="B49" s="200" t="s">
        <v>43</v>
      </c>
      <c r="C49" s="282">
        <v>938475</v>
      </c>
      <c r="D49" s="282">
        <v>290271</v>
      </c>
      <c r="E49" s="283">
        <f t="shared" si="0"/>
        <v>0.30930072724366658</v>
      </c>
      <c r="F49" s="284">
        <f t="shared" si="9"/>
        <v>89781.031397746337</v>
      </c>
      <c r="G49" s="291">
        <f t="shared" si="1"/>
        <v>4.743556358272117E-5</v>
      </c>
      <c r="H49" s="285">
        <v>2377</v>
      </c>
      <c r="I49" s="286">
        <f t="shared" si="2"/>
        <v>4.1092987015860824E-4</v>
      </c>
      <c r="J49" s="286">
        <f t="shared" si="10"/>
        <v>3.4929038963481702E-4</v>
      </c>
      <c r="K49" s="282">
        <v>683.1</v>
      </c>
      <c r="L49" s="319">
        <f t="shared" si="3"/>
        <v>1.0647417872573894E-2</v>
      </c>
      <c r="M49" s="287">
        <f t="shared" si="11"/>
        <v>1.5971126808860842E-3</v>
      </c>
      <c r="N49" s="291">
        <f t="shared" si="12"/>
        <v>1.9464030705209012E-3</v>
      </c>
      <c r="O49" s="288">
        <v>1875</v>
      </c>
      <c r="P49" s="288">
        <v>790</v>
      </c>
      <c r="Q49" s="289">
        <v>2.1956719391999999</v>
      </c>
      <c r="R49" s="290">
        <f t="shared" si="13"/>
        <v>7.3449904840534679E-4</v>
      </c>
      <c r="S49" s="289">
        <f t="shared" si="4"/>
        <v>1.6127189499527224E-3</v>
      </c>
      <c r="T49" s="289">
        <f t="shared" si="14"/>
        <v>8.3644867266416574E-4</v>
      </c>
      <c r="U49" s="288">
        <f t="shared" si="15"/>
        <v>152416.02396378815</v>
      </c>
      <c r="V49" s="290">
        <f t="shared" si="5"/>
        <v>2.3734177215189876</v>
      </c>
      <c r="W49" s="290">
        <f t="shared" si="16"/>
        <v>3.1538571893977414E-2</v>
      </c>
      <c r="X49" s="288">
        <f t="shared" si="17"/>
        <v>1014158.1595125257</v>
      </c>
      <c r="Y49" s="282">
        <f t="shared" si="6"/>
        <v>1166574.1834763137</v>
      </c>
      <c r="Z49" s="291">
        <f t="shared" si="18"/>
        <v>5.4417671558611531E-3</v>
      </c>
      <c r="AB49" s="292">
        <f t="shared" si="7"/>
        <v>20337.916808752059</v>
      </c>
      <c r="AC49" s="293">
        <f t="shared" si="8"/>
        <v>417258.49483712192</v>
      </c>
      <c r="AD49" s="293">
        <f t="shared" si="19"/>
        <v>1166574.1834763139</v>
      </c>
      <c r="AE49" s="293">
        <f t="shared" si="20"/>
        <v>1604170.5951221879</v>
      </c>
      <c r="AF49" s="316">
        <f t="shared" si="21"/>
        <v>1.8707603383868743E-3</v>
      </c>
    </row>
    <row r="50" spans="1:32">
      <c r="A50" s="18" t="s">
        <v>302</v>
      </c>
      <c r="B50" s="200" t="s">
        <v>44</v>
      </c>
      <c r="C50" s="282">
        <v>19310735</v>
      </c>
      <c r="D50" s="282">
        <v>7908079.6500000004</v>
      </c>
      <c r="E50" s="283">
        <f t="shared" si="0"/>
        <v>0.40951727886069589</v>
      </c>
      <c r="F50" s="284">
        <f t="shared" si="9"/>
        <v>3238495.2592816446</v>
      </c>
      <c r="G50" s="291">
        <f t="shared" si="1"/>
        <v>1.7110501560561452E-3</v>
      </c>
      <c r="H50" s="285">
        <v>34709</v>
      </c>
      <c r="I50" s="286">
        <f t="shared" si="2"/>
        <v>6.0004059164220159E-3</v>
      </c>
      <c r="J50" s="286">
        <f t="shared" si="10"/>
        <v>5.1003450289587131E-3</v>
      </c>
      <c r="K50" s="282">
        <v>1541.5</v>
      </c>
      <c r="L50" s="319">
        <f t="shared" si="3"/>
        <v>2.4027220978733214E-2</v>
      </c>
      <c r="M50" s="287">
        <f t="shared" si="11"/>
        <v>3.6040831468099818E-3</v>
      </c>
      <c r="N50" s="291">
        <f t="shared" si="12"/>
        <v>8.7044281757686949E-3</v>
      </c>
      <c r="O50" s="288">
        <v>9838</v>
      </c>
      <c r="P50" s="288">
        <v>7575</v>
      </c>
      <c r="Q50" s="289">
        <v>1.6303971907999999</v>
      </c>
      <c r="R50" s="290">
        <f t="shared" si="13"/>
        <v>7.0428231540132936E-3</v>
      </c>
      <c r="S50" s="289">
        <f t="shared" si="4"/>
        <v>1.1482599085604469E-2</v>
      </c>
      <c r="T50" s="289">
        <f t="shared" si="14"/>
        <v>5.9555353796581761E-3</v>
      </c>
      <c r="U50" s="288">
        <f t="shared" si="15"/>
        <v>1085205.8862763215</v>
      </c>
      <c r="V50" s="290">
        <f t="shared" si="5"/>
        <v>1.2987458745874587</v>
      </c>
      <c r="W50" s="290">
        <f t="shared" si="16"/>
        <v>1.7258061978010494E-2</v>
      </c>
      <c r="X50" s="288">
        <f t="shared" si="17"/>
        <v>554952.34315649117</v>
      </c>
      <c r="Y50" s="282">
        <f t="shared" si="6"/>
        <v>1640158.2294328127</v>
      </c>
      <c r="Z50" s="291">
        <f t="shared" si="18"/>
        <v>7.6509143694110243E-3</v>
      </c>
      <c r="AB50" s="292">
        <f t="shared" si="7"/>
        <v>733609.82986503467</v>
      </c>
      <c r="AC50" s="293">
        <f t="shared" si="8"/>
        <v>1866004.3513325718</v>
      </c>
      <c r="AD50" s="293">
        <f t="shared" si="19"/>
        <v>1640158.2294328129</v>
      </c>
      <c r="AE50" s="293">
        <f t="shared" si="20"/>
        <v>4239772.4106304199</v>
      </c>
      <c r="AF50" s="316">
        <f t="shared" si="21"/>
        <v>4.9443607143230027E-3</v>
      </c>
    </row>
    <row r="51" spans="1:32">
      <c r="A51" s="18" t="s">
        <v>303</v>
      </c>
      <c r="B51" s="200" t="s">
        <v>45</v>
      </c>
      <c r="C51" s="282">
        <v>125378961.84</v>
      </c>
      <c r="D51" s="282">
        <v>23883804.280000001</v>
      </c>
      <c r="E51" s="283">
        <f t="shared" si="0"/>
        <v>0.19049291786670611</v>
      </c>
      <c r="F51" s="284">
        <f t="shared" si="9"/>
        <v>4549695.5670545241</v>
      </c>
      <c r="G51" s="291">
        <f t="shared" si="1"/>
        <v>2.4038192699850957E-3</v>
      </c>
      <c r="H51" s="285">
        <v>86766</v>
      </c>
      <c r="I51" s="286">
        <f t="shared" si="2"/>
        <v>1.4999891087161044E-2</v>
      </c>
      <c r="J51" s="286">
        <f t="shared" si="10"/>
        <v>1.2749907424086887E-2</v>
      </c>
      <c r="K51" s="282">
        <v>1667.4</v>
      </c>
      <c r="L51" s="319">
        <f t="shared" si="3"/>
        <v>2.5989612883515902E-2</v>
      </c>
      <c r="M51" s="287">
        <f t="shared" si="11"/>
        <v>3.8984419325273851E-3</v>
      </c>
      <c r="N51" s="291">
        <f t="shared" si="12"/>
        <v>1.6648349356614273E-2</v>
      </c>
      <c r="O51" s="288">
        <v>13606</v>
      </c>
      <c r="P51" s="288">
        <v>22970</v>
      </c>
      <c r="Q51" s="289">
        <v>1.9100372027999999</v>
      </c>
      <c r="R51" s="290">
        <f t="shared" si="13"/>
        <v>2.1356257141608628E-2</v>
      </c>
      <c r="S51" s="289">
        <f t="shared" si="4"/>
        <v>4.0791245653035664E-2</v>
      </c>
      <c r="T51" s="289">
        <f t="shared" si="14"/>
        <v>2.1156682808123412E-2</v>
      </c>
      <c r="U51" s="288">
        <f t="shared" si="15"/>
        <v>3855128.9269268611</v>
      </c>
      <c r="V51" s="290">
        <f t="shared" si="5"/>
        <v>0.59233783195472356</v>
      </c>
      <c r="W51" s="290">
        <f t="shared" si="16"/>
        <v>7.8711341578214088E-3</v>
      </c>
      <c r="X51" s="288">
        <f t="shared" si="17"/>
        <v>253105.1487558535</v>
      </c>
      <c r="Y51" s="282">
        <f t="shared" si="6"/>
        <v>4108234.0756827146</v>
      </c>
      <c r="Z51" s="291">
        <f t="shared" si="18"/>
        <v>1.9163850510578111E-2</v>
      </c>
      <c r="AB51" s="292">
        <f t="shared" si="7"/>
        <v>1030633.4033741748</v>
      </c>
      <c r="AC51" s="293">
        <f t="shared" si="8"/>
        <v>3568975.665561581</v>
      </c>
      <c r="AD51" s="293">
        <f t="shared" si="19"/>
        <v>4108234.0756827146</v>
      </c>
      <c r="AE51" s="293">
        <f t="shared" si="20"/>
        <v>8707843.1446184702</v>
      </c>
      <c r="AF51" s="316">
        <f t="shared" si="21"/>
        <v>1.0154959601790643E-2</v>
      </c>
    </row>
    <row r="52" spans="1:32">
      <c r="A52" s="18" t="s">
        <v>304</v>
      </c>
      <c r="B52" s="200" t="s">
        <v>246</v>
      </c>
      <c r="C52" s="282">
        <v>658439418</v>
      </c>
      <c r="D52" s="282">
        <v>330884619.5</v>
      </c>
      <c r="E52" s="283">
        <f t="shared" si="0"/>
        <v>0.50252857051762956</v>
      </c>
      <c r="F52" s="284">
        <f t="shared" si="9"/>
        <v>166278974.84360477</v>
      </c>
      <c r="G52" s="291">
        <f t="shared" si="1"/>
        <v>8.7853043798531136E-2</v>
      </c>
      <c r="H52" s="285">
        <v>412199</v>
      </c>
      <c r="I52" s="286">
        <f t="shared" si="2"/>
        <v>7.125994175410523E-2</v>
      </c>
      <c r="J52" s="286">
        <f t="shared" si="10"/>
        <v>6.0570950490989442E-2</v>
      </c>
      <c r="K52" s="282">
        <v>60.1</v>
      </c>
      <c r="L52" s="319">
        <f t="shared" si="3"/>
        <v>9.3677326034503157E-4</v>
      </c>
      <c r="M52" s="287">
        <f t="shared" si="11"/>
        <v>1.4051598905175474E-4</v>
      </c>
      <c r="N52" s="291">
        <f t="shared" si="12"/>
        <v>6.07114664800412E-2</v>
      </c>
      <c r="O52" s="288">
        <v>47668</v>
      </c>
      <c r="P52" s="288">
        <v>40796</v>
      </c>
      <c r="Q52" s="289">
        <v>1.7340616191</v>
      </c>
      <c r="R52" s="290">
        <f t="shared" si="13"/>
        <v>3.7929902757904463E-2</v>
      </c>
      <c r="S52" s="289">
        <f t="shared" si="4"/>
        <v>6.5772788588677369E-2</v>
      </c>
      <c r="T52" s="289">
        <f t="shared" si="14"/>
        <v>3.4113545769418024E-2</v>
      </c>
      <c r="U52" s="288">
        <f t="shared" si="15"/>
        <v>6216102.8876053719</v>
      </c>
      <c r="V52" s="290">
        <f t="shared" si="5"/>
        <v>1.1684478870477497</v>
      </c>
      <c r="W52" s="290">
        <f t="shared" si="16"/>
        <v>1.5526629533395704E-2</v>
      </c>
      <c r="X52" s="288">
        <f t="shared" si="17"/>
        <v>499276.19056297047</v>
      </c>
      <c r="Y52" s="282">
        <f t="shared" si="6"/>
        <v>6715379.0781683419</v>
      </c>
      <c r="Z52" s="291">
        <f t="shared" si="18"/>
        <v>3.1325508334014672E-2</v>
      </c>
      <c r="AB52" s="292">
        <f t="shared" si="7"/>
        <v>37666842.369319215</v>
      </c>
      <c r="AC52" s="293">
        <f t="shared" si="8"/>
        <v>13014968.742336014</v>
      </c>
      <c r="AD52" s="293">
        <f t="shared" si="19"/>
        <v>6715379.0781683419</v>
      </c>
      <c r="AE52" s="293">
        <f t="shared" si="20"/>
        <v>57397190.189823568</v>
      </c>
      <c r="AF52" s="316">
        <f t="shared" si="21"/>
        <v>6.6935765602779529E-2</v>
      </c>
    </row>
    <row r="53" spans="1:32">
      <c r="A53" s="18" t="s">
        <v>305</v>
      </c>
      <c r="B53" s="200" t="s">
        <v>247</v>
      </c>
      <c r="C53" s="282">
        <v>1139151243</v>
      </c>
      <c r="D53" s="282">
        <v>722790593.90999997</v>
      </c>
      <c r="E53" s="283">
        <f t="shared" si="0"/>
        <v>0.63449923647232498</v>
      </c>
      <c r="F53" s="284">
        <f t="shared" si="9"/>
        <v>458610079.96527326</v>
      </c>
      <c r="G53" s="291">
        <f t="shared" si="1"/>
        <v>0.24230538755445435</v>
      </c>
      <c r="H53" s="285">
        <v>132169</v>
      </c>
      <c r="I53" s="286">
        <f t="shared" si="2"/>
        <v>2.2849049225491413E-2</v>
      </c>
      <c r="J53" s="286">
        <f t="shared" si="10"/>
        <v>1.9421691841667702E-2</v>
      </c>
      <c r="K53" s="282">
        <v>70.8</v>
      </c>
      <c r="L53" s="319">
        <f t="shared" si="3"/>
        <v>1.103553191887325E-3</v>
      </c>
      <c r="M53" s="287">
        <f t="shared" si="11"/>
        <v>1.6553297878309873E-4</v>
      </c>
      <c r="N53" s="291">
        <f t="shared" si="12"/>
        <v>1.9587224820450801E-2</v>
      </c>
      <c r="O53" s="288">
        <v>4761</v>
      </c>
      <c r="P53" s="288">
        <v>6438</v>
      </c>
      <c r="Q53" s="289">
        <v>1.903799258</v>
      </c>
      <c r="R53" s="290">
        <f t="shared" si="13"/>
        <v>5.9857023716881298E-3</v>
      </c>
      <c r="S53" s="289">
        <f t="shared" si="4"/>
        <v>1.1395575733828702E-2</v>
      </c>
      <c r="T53" s="289">
        <f t="shared" si="14"/>
        <v>5.91040007131089E-3</v>
      </c>
      <c r="U53" s="288">
        <f t="shared" si="15"/>
        <v>1076981.4195953456</v>
      </c>
      <c r="V53" s="290">
        <f t="shared" si="5"/>
        <v>0.73951537744641194</v>
      </c>
      <c r="W53" s="290">
        <f t="shared" si="16"/>
        <v>9.8268664158151723E-3</v>
      </c>
      <c r="X53" s="288">
        <f t="shared" si="17"/>
        <v>315993.91347018047</v>
      </c>
      <c r="Y53" s="282">
        <f t="shared" si="6"/>
        <v>1392975.3330655261</v>
      </c>
      <c r="Z53" s="291">
        <f t="shared" si="18"/>
        <v>6.497870022986533E-3</v>
      </c>
      <c r="AB53" s="292">
        <f t="shared" si="7"/>
        <v>103888020.76318079</v>
      </c>
      <c r="AC53" s="293">
        <f t="shared" si="8"/>
        <v>4198994.5815438703</v>
      </c>
      <c r="AD53" s="293">
        <f t="shared" si="19"/>
        <v>1392975.3330655263</v>
      </c>
      <c r="AE53" s="293">
        <f t="shared" si="20"/>
        <v>109479990.67779018</v>
      </c>
      <c r="AF53" s="316">
        <f t="shared" si="21"/>
        <v>0.12767396748808651</v>
      </c>
    </row>
    <row r="54" spans="1:32">
      <c r="A54" s="18" t="s">
        <v>306</v>
      </c>
      <c r="B54" s="200" t="s">
        <v>48</v>
      </c>
      <c r="C54" s="282">
        <v>289861941.84000015</v>
      </c>
      <c r="D54" s="282">
        <v>126817695.59999999</v>
      </c>
      <c r="E54" s="283">
        <f t="shared" si="0"/>
        <v>0.43751068110211461</v>
      </c>
      <c r="F54" s="284">
        <f t="shared" si="9"/>
        <v>55484096.37775664</v>
      </c>
      <c r="G54" s="291">
        <f t="shared" si="1"/>
        <v>2.9314871310589227E-2</v>
      </c>
      <c r="H54" s="285">
        <v>306322</v>
      </c>
      <c r="I54" s="286">
        <f t="shared" si="2"/>
        <v>5.2956188341070756E-2</v>
      </c>
      <c r="J54" s="286">
        <f t="shared" si="10"/>
        <v>4.5012760089910141E-2</v>
      </c>
      <c r="K54" s="282">
        <v>915.8</v>
      </c>
      <c r="L54" s="319">
        <f t="shared" si="3"/>
        <v>1.4274491710881529E-2</v>
      </c>
      <c r="M54" s="287">
        <f t="shared" si="11"/>
        <v>2.1411737566322292E-3</v>
      </c>
      <c r="N54" s="291">
        <f t="shared" si="12"/>
        <v>4.7153933846542373E-2</v>
      </c>
      <c r="O54" s="288">
        <v>43432</v>
      </c>
      <c r="P54" s="288">
        <v>47092</v>
      </c>
      <c r="Q54" s="289">
        <v>1.8493369051999999</v>
      </c>
      <c r="R54" s="290">
        <f t="shared" si="13"/>
        <v>4.378358125000581E-2</v>
      </c>
      <c r="S54" s="289">
        <f t="shared" si="4"/>
        <v>8.0970592647458484E-2</v>
      </c>
      <c r="T54" s="289">
        <f t="shared" si="14"/>
        <v>4.1995999827981793E-2</v>
      </c>
      <c r="U54" s="288">
        <f t="shared" si="15"/>
        <v>7652428.0871623345</v>
      </c>
      <c r="V54" s="290">
        <f t="shared" si="5"/>
        <v>0.92227979274611394</v>
      </c>
      <c r="W54" s="290">
        <f t="shared" si="16"/>
        <v>1.2255485954351926E-2</v>
      </c>
      <c r="X54" s="288">
        <f t="shared" si="17"/>
        <v>394088.89917969279</v>
      </c>
      <c r="Y54" s="282">
        <f t="shared" si="6"/>
        <v>8046516.9863420269</v>
      </c>
      <c r="Z54" s="291">
        <f t="shared" si="18"/>
        <v>3.7534922746937309E-2</v>
      </c>
      <c r="AB54" s="292">
        <f t="shared" si="7"/>
        <v>12568700.969143933</v>
      </c>
      <c r="AC54" s="293">
        <f t="shared" si="8"/>
        <v>10108584.270364881</v>
      </c>
      <c r="AD54" s="293">
        <f t="shared" si="19"/>
        <v>8046516.9863420278</v>
      </c>
      <c r="AE54" s="293">
        <f t="shared" si="20"/>
        <v>30723802.225850843</v>
      </c>
      <c r="AF54" s="316">
        <f t="shared" si="21"/>
        <v>3.5829649803664536E-2</v>
      </c>
    </row>
    <row r="55" spans="1:32">
      <c r="A55" s="18" t="s">
        <v>307</v>
      </c>
      <c r="B55" s="200" t="s">
        <v>49</v>
      </c>
      <c r="C55" s="282">
        <v>198838484.40000001</v>
      </c>
      <c r="D55" s="282">
        <v>94615002.860000014</v>
      </c>
      <c r="E55" s="283">
        <f t="shared" si="0"/>
        <v>0.4758384834077925</v>
      </c>
      <c r="F55" s="284">
        <f t="shared" si="9"/>
        <v>45021459.468526356</v>
      </c>
      <c r="G55" s="291">
        <f t="shared" si="1"/>
        <v>2.3786965575668291E-2</v>
      </c>
      <c r="H55" s="285">
        <v>46784</v>
      </c>
      <c r="I55" s="286">
        <f t="shared" si="2"/>
        <v>8.0879019964242016E-3</v>
      </c>
      <c r="J55" s="286">
        <f t="shared" si="10"/>
        <v>6.8747166969605712E-3</v>
      </c>
      <c r="K55" s="282">
        <v>739.2</v>
      </c>
      <c r="L55" s="319">
        <f t="shared" si="3"/>
        <v>1.1521843494959192E-2</v>
      </c>
      <c r="M55" s="287">
        <f t="shared" si="11"/>
        <v>1.7282765242438787E-3</v>
      </c>
      <c r="N55" s="291">
        <f t="shared" si="12"/>
        <v>8.6029932212044503E-3</v>
      </c>
      <c r="O55" s="288">
        <v>7735</v>
      </c>
      <c r="P55" s="288">
        <v>5334</v>
      </c>
      <c r="Q55" s="289">
        <v>2.0438860060000001</v>
      </c>
      <c r="R55" s="290">
        <f t="shared" si="13"/>
        <v>4.9592631951824303E-3</v>
      </c>
      <c r="S55" s="289">
        <f t="shared" si="4"/>
        <v>1.0136168644704216E-2</v>
      </c>
      <c r="T55" s="289">
        <f t="shared" si="14"/>
        <v>5.2571992218554417E-3</v>
      </c>
      <c r="U55" s="288">
        <f t="shared" si="15"/>
        <v>957956.45180304092</v>
      </c>
      <c r="V55" s="290">
        <f t="shared" si="5"/>
        <v>1.4501312335958005</v>
      </c>
      <c r="W55" s="290">
        <f t="shared" si="16"/>
        <v>1.9269708720803205E-2</v>
      </c>
      <c r="X55" s="288">
        <f t="shared" si="17"/>
        <v>619639.10085491452</v>
      </c>
      <c r="Y55" s="282">
        <f t="shared" si="6"/>
        <v>1577595.5526579553</v>
      </c>
      <c r="Z55" s="291">
        <f t="shared" si="18"/>
        <v>7.3590756466976066E-3</v>
      </c>
      <c r="AB55" s="292">
        <f t="shared" si="7"/>
        <v>10198620.833648343</v>
      </c>
      <c r="AC55" s="293">
        <f t="shared" si="8"/>
        <v>1844259.3196346813</v>
      </c>
      <c r="AD55" s="293">
        <f t="shared" si="19"/>
        <v>1577595.5526579556</v>
      </c>
      <c r="AE55" s="293">
        <f t="shared" si="20"/>
        <v>13620475.70594098</v>
      </c>
      <c r="AF55" s="316">
        <f t="shared" si="21"/>
        <v>1.5884000004809662E-2</v>
      </c>
    </row>
    <row r="56" spans="1:32">
      <c r="A56" s="18" t="s">
        <v>308</v>
      </c>
      <c r="B56" s="200" t="s">
        <v>50</v>
      </c>
      <c r="C56" s="282">
        <v>4541705</v>
      </c>
      <c r="D56" s="282">
        <v>1178778</v>
      </c>
      <c r="E56" s="283">
        <f t="shared" si="0"/>
        <v>0.25954525888405344</v>
      </c>
      <c r="F56" s="284">
        <f t="shared" si="9"/>
        <v>305946.24117682676</v>
      </c>
      <c r="G56" s="291">
        <f t="shared" si="1"/>
        <v>1.6164586383446479E-4</v>
      </c>
      <c r="H56" s="285">
        <v>1552</v>
      </c>
      <c r="I56" s="286">
        <f t="shared" si="2"/>
        <v>2.6830591438206137E-4</v>
      </c>
      <c r="J56" s="286">
        <f t="shared" si="10"/>
        <v>2.2806002722475217E-4</v>
      </c>
      <c r="K56" s="282">
        <v>1764.9</v>
      </c>
      <c r="L56" s="319">
        <f t="shared" si="3"/>
        <v>2.7509336558784465E-2</v>
      </c>
      <c r="M56" s="287">
        <f t="shared" si="11"/>
        <v>4.1264004838176696E-3</v>
      </c>
      <c r="N56" s="291">
        <f t="shared" si="12"/>
        <v>4.354460511042422E-3</v>
      </c>
      <c r="O56" s="288">
        <v>549</v>
      </c>
      <c r="P56" s="288">
        <v>170</v>
      </c>
      <c r="Q56" s="289">
        <v>2.1071899398</v>
      </c>
      <c r="R56" s="290">
        <f t="shared" si="13"/>
        <v>1.5805675725178347E-4</v>
      </c>
      <c r="S56" s="289">
        <f t="shared" si="4"/>
        <v>3.3305560879836883E-4</v>
      </c>
      <c r="T56" s="289">
        <f t="shared" si="14"/>
        <v>1.7274176750444833E-4</v>
      </c>
      <c r="U56" s="288">
        <f t="shared" si="15"/>
        <v>31476.663465369693</v>
      </c>
      <c r="V56" s="290">
        <f t="shared" si="5"/>
        <v>3.2294117647058824</v>
      </c>
      <c r="W56" s="290">
        <f t="shared" si="16"/>
        <v>4.2913236129057078E-2</v>
      </c>
      <c r="X56" s="288">
        <f t="shared" si="17"/>
        <v>1379923.2481950666</v>
      </c>
      <c r="Y56" s="282">
        <f t="shared" si="6"/>
        <v>1411399.9116604363</v>
      </c>
      <c r="Z56" s="291">
        <f t="shared" si="18"/>
        <v>6.5838159217373434E-3</v>
      </c>
      <c r="AB56" s="292">
        <f t="shared" si="7"/>
        <v>69305.387832299821</v>
      </c>
      <c r="AC56" s="293">
        <f t="shared" si="8"/>
        <v>933483.75071099366</v>
      </c>
      <c r="AD56" s="293">
        <f t="shared" si="19"/>
        <v>1411399.9116604365</v>
      </c>
      <c r="AE56" s="293">
        <f t="shared" si="20"/>
        <v>2414189.0502037299</v>
      </c>
      <c r="AF56" s="316">
        <f t="shared" si="21"/>
        <v>2.8153920401121735E-3</v>
      </c>
    </row>
    <row r="57" spans="1:32">
      <c r="A57" s="18" t="s">
        <v>309</v>
      </c>
      <c r="B57" s="200" t="s">
        <v>51</v>
      </c>
      <c r="C57" s="282">
        <v>3020813</v>
      </c>
      <c r="D57" s="282">
        <v>668727</v>
      </c>
      <c r="E57" s="283">
        <f t="shared" si="0"/>
        <v>0.22137318662227684</v>
      </c>
      <c r="F57" s="284">
        <f t="shared" si="9"/>
        <v>148038.22697035532</v>
      </c>
      <c r="G57" s="291">
        <f t="shared" si="1"/>
        <v>7.8215594305389876E-5</v>
      </c>
      <c r="H57" s="285">
        <v>3573</v>
      </c>
      <c r="I57" s="286">
        <f t="shared" si="2"/>
        <v>6.1769138665406279E-4</v>
      </c>
      <c r="J57" s="286">
        <f t="shared" si="10"/>
        <v>5.2503767865595338E-4</v>
      </c>
      <c r="K57" s="282">
        <v>879.3</v>
      </c>
      <c r="L57" s="319">
        <f t="shared" si="3"/>
        <v>1.3705569514498939E-2</v>
      </c>
      <c r="M57" s="287">
        <f t="shared" si="11"/>
        <v>2.0558354271748409E-3</v>
      </c>
      <c r="N57" s="291">
        <f t="shared" si="12"/>
        <v>2.5808731058307942E-3</v>
      </c>
      <c r="O57" s="288">
        <v>1377</v>
      </c>
      <c r="P57" s="288">
        <v>417</v>
      </c>
      <c r="Q57" s="289">
        <v>1.7545098130000001</v>
      </c>
      <c r="R57" s="290">
        <f t="shared" si="13"/>
        <v>3.8770392808231595E-4</v>
      </c>
      <c r="S57" s="289">
        <f t="shared" si="4"/>
        <v>6.8023034635906966E-4</v>
      </c>
      <c r="T57" s="289">
        <f t="shared" si="14"/>
        <v>3.5280652610587192E-4</v>
      </c>
      <c r="U57" s="288">
        <f t="shared" si="15"/>
        <v>64287.707895166255</v>
      </c>
      <c r="V57" s="290">
        <f t="shared" si="5"/>
        <v>3.3021582733812949</v>
      </c>
      <c r="W57" s="290">
        <f t="shared" si="16"/>
        <v>4.3879910041151653E-2</v>
      </c>
      <c r="X57" s="288">
        <f t="shared" si="17"/>
        <v>1411007.7322622039</v>
      </c>
      <c r="Y57" s="282">
        <f t="shared" si="6"/>
        <v>1475295.4401573702</v>
      </c>
      <c r="Z57" s="291">
        <f t="shared" si="18"/>
        <v>6.8818720533627394E-3</v>
      </c>
      <c r="AB57" s="292">
        <f t="shared" si="7"/>
        <v>33534.802371559948</v>
      </c>
      <c r="AC57" s="293">
        <f t="shared" si="8"/>
        <v>553272.46643541567</v>
      </c>
      <c r="AD57" s="293">
        <f t="shared" si="19"/>
        <v>1475295.4401573704</v>
      </c>
      <c r="AE57" s="293">
        <f t="shared" si="20"/>
        <v>2062102.708964346</v>
      </c>
      <c r="AF57" s="316">
        <f t="shared" si="21"/>
        <v>2.4047940869510783E-3</v>
      </c>
    </row>
    <row r="58" spans="1:32" ht="13.5" thickBot="1">
      <c r="B58" s="206" t="s">
        <v>52</v>
      </c>
      <c r="C58" s="294">
        <f>SUM(C7:C57)</f>
        <v>8177497337.8300028</v>
      </c>
      <c r="D58" s="294">
        <f>SUM(D7:D57)</f>
        <v>3783530876.1000004</v>
      </c>
      <c r="E58" s="295">
        <f t="shared" si="0"/>
        <v>0.46267589212129367</v>
      </c>
      <c r="F58" s="296">
        <f t="shared" ref="F58:K58" si="22">SUM(F7:F57)</f>
        <v>1892694523.1963024</v>
      </c>
      <c r="G58" s="305">
        <f t="shared" si="22"/>
        <v>0.99999999999999989</v>
      </c>
      <c r="H58" s="297">
        <f t="shared" si="22"/>
        <v>5784442</v>
      </c>
      <c r="I58" s="298">
        <f t="shared" si="22"/>
        <v>1.0000000000000002</v>
      </c>
      <c r="J58" s="298">
        <f t="shared" si="22"/>
        <v>0.8500000000000002</v>
      </c>
      <c r="K58" s="299">
        <f t="shared" si="22"/>
        <v>64156.400000000016</v>
      </c>
      <c r="L58" s="320">
        <f t="shared" si="3"/>
        <v>1</v>
      </c>
      <c r="M58" s="300">
        <f>SUM(M7:M57)</f>
        <v>0.14999999999999997</v>
      </c>
      <c r="N58" s="305">
        <f>SUM(N7:N57)</f>
        <v>0.99999999999999989</v>
      </c>
      <c r="O58" s="301">
        <f>SUM(O7:O57)</f>
        <v>964355</v>
      </c>
      <c r="P58" s="302">
        <f t="shared" ref="P58:Y58" si="23">SUM(P7:P57)</f>
        <v>1075563</v>
      </c>
      <c r="Q58" s="303">
        <f t="shared" si="23"/>
        <v>98.366423307599987</v>
      </c>
      <c r="R58" s="303">
        <f>SUM(R7:R57)</f>
        <v>0.99999999999999989</v>
      </c>
      <c r="S58" s="303">
        <f t="shared" si="23"/>
        <v>1.9280548856824229</v>
      </c>
      <c r="T58" s="303">
        <f t="shared" si="23"/>
        <v>1</v>
      </c>
      <c r="U58" s="302">
        <f t="shared" si="23"/>
        <v>182218023.58574986</v>
      </c>
      <c r="V58" s="303">
        <f>SUM(V7:V57)</f>
        <v>75.254444922162563</v>
      </c>
      <c r="W58" s="303">
        <f t="shared" si="23"/>
        <v>1</v>
      </c>
      <c r="X58" s="304">
        <f t="shared" si="23"/>
        <v>32156121.809249982</v>
      </c>
      <c r="Y58" s="301">
        <f t="shared" si="23"/>
        <v>214374145.39499986</v>
      </c>
      <c r="Z58" s="305">
        <f>SUM(Z7:Z57)</f>
        <v>0.99999999999999978</v>
      </c>
      <c r="AB58" s="306">
        <f>SUM(AB7:AB57)</f>
        <v>428748290.78999966</v>
      </c>
      <c r="AC58" s="307">
        <f>SUM(AC7:AC57)</f>
        <v>214374145.39499989</v>
      </c>
      <c r="AD58" s="307">
        <f>SUM(AD7:AD57)</f>
        <v>214374145.39499995</v>
      </c>
      <c r="AE58" s="307">
        <f>SUM(AE7:AE57)</f>
        <v>857496581.57999957</v>
      </c>
      <c r="AF58" s="317">
        <f>SUM(AF7:AF57)</f>
        <v>0.99999999999999989</v>
      </c>
    </row>
    <row r="59" spans="1:32" ht="13.5" thickTop="1">
      <c r="L59" s="308"/>
      <c r="S59" s="309"/>
    </row>
    <row r="60" spans="1:32" ht="86.45" customHeight="1">
      <c r="C60" s="416" t="s">
        <v>310</v>
      </c>
      <c r="D60" s="416"/>
      <c r="E60" s="416"/>
      <c r="F60" s="416"/>
      <c r="G60" s="416"/>
      <c r="L60" s="308"/>
      <c r="S60" s="309"/>
    </row>
    <row r="61" spans="1:32" s="1" customFormat="1">
      <c r="J61" s="310"/>
      <c r="M61" s="310"/>
      <c r="N61" s="311"/>
      <c r="S61" s="312"/>
      <c r="T61" s="312"/>
      <c r="Y61" s="310"/>
    </row>
    <row r="62" spans="1:32">
      <c r="S62" s="309"/>
    </row>
    <row r="63" spans="1:32">
      <c r="S63" s="309"/>
    </row>
    <row r="64" spans="1:32">
      <c r="S64" s="309"/>
    </row>
    <row r="65" spans="19:19" s="2" customFormat="1">
      <c r="S65" s="309"/>
    </row>
    <row r="66" spans="19:19" s="2" customFormat="1">
      <c r="S66" s="309"/>
    </row>
    <row r="67" spans="19:19" s="2" customFormat="1">
      <c r="S67" s="309"/>
    </row>
    <row r="68" spans="19:19" s="2" customFormat="1">
      <c r="S68" s="309"/>
    </row>
    <row r="69" spans="19:19" s="2" customFormat="1">
      <c r="S69" s="309"/>
    </row>
    <row r="70" spans="19:19" s="2" customFormat="1">
      <c r="S70" s="309"/>
    </row>
    <row r="71" spans="19:19" s="2" customFormat="1">
      <c r="S71" s="309"/>
    </row>
    <row r="72" spans="19:19" s="2" customFormat="1">
      <c r="S72" s="309"/>
    </row>
    <row r="73" spans="19:19" s="2" customFormat="1">
      <c r="S73" s="309"/>
    </row>
    <row r="74" spans="19:19" s="2" customFormat="1">
      <c r="S74" s="309"/>
    </row>
    <row r="75" spans="19:19" s="2" customFormat="1">
      <c r="S75" s="309"/>
    </row>
    <row r="76" spans="19:19" s="2" customFormat="1">
      <c r="S76" s="309"/>
    </row>
    <row r="77" spans="19:19" s="2" customFormat="1">
      <c r="S77" s="309"/>
    </row>
    <row r="78" spans="19:19" s="2" customFormat="1">
      <c r="S78" s="309"/>
    </row>
    <row r="79" spans="19:19" s="2" customFormat="1">
      <c r="S79" s="309"/>
    </row>
    <row r="80" spans="19:19" s="2" customFormat="1">
      <c r="S80" s="309"/>
    </row>
    <row r="81" spans="19:19" s="2" customFormat="1">
      <c r="S81" s="309"/>
    </row>
    <row r="82" spans="19:19" s="2" customFormat="1">
      <c r="S82" s="309"/>
    </row>
    <row r="83" spans="19:19" s="2" customFormat="1">
      <c r="S83" s="309"/>
    </row>
    <row r="84" spans="19:19" s="2" customFormat="1">
      <c r="S84" s="309"/>
    </row>
    <row r="85" spans="19:19" s="2" customFormat="1">
      <c r="S85" s="309"/>
    </row>
    <row r="86" spans="19:19" s="2" customFormat="1">
      <c r="S86" s="309"/>
    </row>
    <row r="87" spans="19:19" s="2" customFormat="1">
      <c r="S87" s="309"/>
    </row>
  </sheetData>
  <mergeCells count="7">
    <mergeCell ref="X3:Y3"/>
    <mergeCell ref="AB3:AF3"/>
    <mergeCell ref="C60:G60"/>
    <mergeCell ref="C3:G3"/>
    <mergeCell ref="H3:N3"/>
    <mergeCell ref="O3:R3"/>
    <mergeCell ref="S3:V3"/>
  </mergeCells>
  <printOptions horizontalCentered="1"/>
  <pageMargins left="0.27559055118110237" right="0.19685039370078741" top="0.23622047244094491" bottom="0.23622047244094491" header="0.23622047244094491" footer="0.23622047244094491"/>
  <pageSetup scale="80" orientation="portrait" r:id="rId1"/>
  <headerFooter alignWithMargins="0">
    <oddHeader>&amp;LANEXO I</oddHeader>
  </headerFooter>
  <colBreaks count="2" manualBreakCount="2">
    <brk id="14" max="1048575" man="1"/>
    <brk id="2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showGridLines="0" zoomScaleSheetLayoutView="100" workbookViewId="0">
      <selection activeCell="W64" sqref="W64"/>
    </sheetView>
  </sheetViews>
  <sheetFormatPr baseColWidth="10" defaultColWidth="9.7109375" defaultRowHeight="14.25"/>
  <cols>
    <col min="1" max="1" width="26.28515625" style="2" customWidth="1"/>
    <col min="2" max="2" width="14.5703125" style="2" hidden="1" customWidth="1"/>
    <col min="3" max="3" width="12.7109375" style="2" customWidth="1"/>
    <col min="4" max="4" width="14.140625" style="2" hidden="1" customWidth="1"/>
    <col min="5" max="5" width="11.7109375" style="2" customWidth="1"/>
    <col min="6" max="6" width="14.28515625" style="2" hidden="1" customWidth="1"/>
    <col min="7" max="7" width="11.7109375" style="2" customWidth="1"/>
    <col min="8" max="8" width="0.28515625" style="2" customWidth="1"/>
    <col min="9" max="10" width="11.140625" style="2" customWidth="1"/>
    <col min="11" max="11" width="11.5703125" style="2" customWidth="1"/>
    <col min="12" max="12" width="17" style="2" customWidth="1"/>
    <col min="13" max="13" width="13.28515625" style="2" bestFit="1" customWidth="1"/>
    <col min="14" max="14" width="11.7109375" style="2" customWidth="1"/>
    <col min="15" max="15" width="13.5703125" style="2" customWidth="1"/>
    <col min="16" max="18" width="11.7109375" style="2" customWidth="1"/>
    <col min="19" max="19" width="18.7109375" style="2" customWidth="1"/>
    <col min="20" max="20" width="19.42578125" style="190" customWidth="1"/>
    <col min="21" max="21" width="5.42578125" style="2" customWidth="1"/>
    <col min="22" max="22" width="11.5703125" style="2" customWidth="1"/>
    <col min="23" max="16384" width="9.7109375" style="2"/>
  </cols>
  <sheetData>
    <row r="1" spans="1:23" ht="15.75">
      <c r="A1" s="417" t="s">
        <v>230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8"/>
      <c r="M1" s="418"/>
      <c r="N1" s="418"/>
      <c r="O1" s="418"/>
      <c r="P1" s="418"/>
      <c r="Q1" s="418"/>
      <c r="R1" s="418"/>
      <c r="S1" s="418"/>
      <c r="T1" s="418"/>
    </row>
    <row r="2" spans="1:23" ht="8.25" customHeight="1" thickBot="1">
      <c r="L2" s="189"/>
    </row>
    <row r="3" spans="1:23" ht="13.5" thickBot="1">
      <c r="A3" s="419" t="s">
        <v>0</v>
      </c>
      <c r="B3" s="343"/>
      <c r="C3" s="421" t="s">
        <v>231</v>
      </c>
      <c r="D3" s="422"/>
      <c r="E3" s="422"/>
      <c r="F3" s="422"/>
      <c r="G3" s="422"/>
      <c r="H3" s="422"/>
      <c r="I3" s="422"/>
      <c r="J3" s="422"/>
      <c r="K3" s="422"/>
      <c r="L3" s="423"/>
      <c r="M3" s="421" t="s">
        <v>232</v>
      </c>
      <c r="N3" s="422"/>
      <c r="O3" s="422"/>
      <c r="P3" s="422"/>
      <c r="Q3" s="422"/>
      <c r="R3" s="422"/>
      <c r="S3" s="423"/>
      <c r="T3" s="424" t="s">
        <v>333</v>
      </c>
    </row>
    <row r="4" spans="1:23" ht="128.25" thickBot="1">
      <c r="A4" s="420"/>
      <c r="B4" s="342" t="s">
        <v>334</v>
      </c>
      <c r="C4" s="191" t="s">
        <v>96</v>
      </c>
      <c r="D4" s="342" t="s">
        <v>334</v>
      </c>
      <c r="E4" s="192" t="s">
        <v>228</v>
      </c>
      <c r="F4" s="342" t="s">
        <v>334</v>
      </c>
      <c r="G4" s="192" t="s">
        <v>97</v>
      </c>
      <c r="H4" s="342" t="s">
        <v>334</v>
      </c>
      <c r="I4" s="192" t="s">
        <v>110</v>
      </c>
      <c r="J4" s="192" t="s">
        <v>122</v>
      </c>
      <c r="K4" s="192" t="s">
        <v>123</v>
      </c>
      <c r="L4" s="191" t="s">
        <v>233</v>
      </c>
      <c r="M4" s="191" t="s">
        <v>96</v>
      </c>
      <c r="N4" s="192" t="s">
        <v>228</v>
      </c>
      <c r="O4" s="192" t="s">
        <v>97</v>
      </c>
      <c r="P4" s="192" t="s">
        <v>110</v>
      </c>
      <c r="Q4" s="192" t="s">
        <v>122</v>
      </c>
      <c r="R4" s="192" t="s">
        <v>123</v>
      </c>
      <c r="S4" s="191" t="s">
        <v>234</v>
      </c>
      <c r="T4" s="425"/>
    </row>
    <row r="5" spans="1:23" ht="15.75" thickBot="1">
      <c r="A5" s="193"/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4"/>
      <c r="N5" s="194"/>
      <c r="O5" s="194"/>
      <c r="P5" s="194"/>
      <c r="Q5" s="194"/>
      <c r="R5" s="194"/>
      <c r="S5" s="194"/>
      <c r="T5" s="194"/>
      <c r="V5" s="237" t="s">
        <v>97</v>
      </c>
      <c r="W5" s="238" t="s">
        <v>229</v>
      </c>
    </row>
    <row r="6" spans="1:23" ht="12.75" customHeight="1" thickTop="1">
      <c r="A6" s="195" t="s">
        <v>1</v>
      </c>
      <c r="B6" s="345">
        <f>+C6/$C$57</f>
        <v>1.2861627529993226E-3</v>
      </c>
      <c r="C6" s="196">
        <v>704723.62333333341</v>
      </c>
      <c r="D6" s="347">
        <f>+E6/$E$57</f>
        <v>1.2861627540339637E-3</v>
      </c>
      <c r="E6" s="196">
        <v>96245.346666666665</v>
      </c>
      <c r="F6" s="347">
        <f>+G6/$G$57</f>
        <v>1.2861627449722445E-3</v>
      </c>
      <c r="G6" s="196">
        <v>23664.570000000003</v>
      </c>
      <c r="H6" s="347">
        <f>+I6/$I$57</f>
        <v>1.2861627605039016E-3</v>
      </c>
      <c r="I6" s="196">
        <v>39892.542500000003</v>
      </c>
      <c r="J6" s="196">
        <v>19619.877499999999</v>
      </c>
      <c r="K6" s="196">
        <v>4204.5625</v>
      </c>
      <c r="L6" s="197">
        <f>SUM(C6:K6)</f>
        <v>888350.52635848825</v>
      </c>
      <c r="M6" s="235">
        <f>+'COEF Art 14 F I '!AF7*'PART MES'!I$4</f>
        <v>-21006.423294481603</v>
      </c>
      <c r="N6" s="235">
        <f>+'COEF Art 14 F I '!AF7*'PART MES'!I$5</f>
        <v>-4185.5430018951374</v>
      </c>
      <c r="O6" s="235">
        <f>+'COEF Art 14 F I '!AF7*'PART MES'!I$6</f>
        <v>-675.42751267505184</v>
      </c>
      <c r="P6" s="235">
        <f>+'COEF Art 14 F I '!AF7*'PART MES'!I$7</f>
        <v>-11376.665711047672</v>
      </c>
      <c r="Q6" s="196">
        <f>+'COEF Art 14 F I '!AF7*'PART MES'!I$8</f>
        <v>5527.6163617510047</v>
      </c>
      <c r="R6" s="196">
        <f>+'COEF Art 14 F I '!AF7*'PART MES'!I$9</f>
        <v>137.04507826120656</v>
      </c>
      <c r="S6" s="198">
        <f>SUM(M6:R6)</f>
        <v>-31579.398080087256</v>
      </c>
      <c r="T6" s="199">
        <f>SUM(S6,L6)</f>
        <v>856771.12827840098</v>
      </c>
      <c r="V6" s="340">
        <v>39892.542500000003</v>
      </c>
      <c r="W6" s="341">
        <f>+V6/$V$57</f>
        <v>1.2861627605039016E-3</v>
      </c>
    </row>
    <row r="7" spans="1:23" ht="12.75" customHeight="1">
      <c r="A7" s="200" t="s">
        <v>2</v>
      </c>
      <c r="B7" s="346">
        <f t="shared" ref="B7:B56" si="0">+C7/$C$57</f>
        <v>2.4745145135668814E-3</v>
      </c>
      <c r="C7" s="201">
        <v>1355853.9383333332</v>
      </c>
      <c r="D7" s="346">
        <f t="shared" ref="D7:D56" si="1">+E7/$E$57</f>
        <v>2.4745145159324432E-3</v>
      </c>
      <c r="E7" s="202">
        <v>185171.36083333334</v>
      </c>
      <c r="F7" s="346">
        <f t="shared" ref="F7:F56" si="2">+G7/$G$57</f>
        <v>2.4745145187831932E-3</v>
      </c>
      <c r="G7" s="202">
        <v>45529.480833333335</v>
      </c>
      <c r="H7" s="346">
        <f t="shared" ref="H7:H56" si="3">+I7/$I$57</f>
        <v>2.4745145203539831E-3</v>
      </c>
      <c r="I7" s="202">
        <v>76751.309166666659</v>
      </c>
      <c r="J7" s="202">
        <v>37747.688333333332</v>
      </c>
      <c r="K7" s="202">
        <v>8089.373333333333</v>
      </c>
      <c r="L7" s="203">
        <f t="shared" ref="L7:L56" si="4">SUM(C7:K7)</f>
        <v>1709143.1582568765</v>
      </c>
      <c r="M7" s="236">
        <f>+'COEF Art 14 F I '!AF8*'PART MES'!I$4</f>
        <v>-38174.071650406186</v>
      </c>
      <c r="N7" s="236">
        <f>+'COEF Art 14 F I '!AF8*'PART MES'!I$5</f>
        <v>-7606.2076923002514</v>
      </c>
      <c r="O7" s="236">
        <f>+'COEF Art 14 F I '!AF8*'PART MES'!I$6</f>
        <v>-1227.4254356421773</v>
      </c>
      <c r="P7" s="236">
        <f>+'COEF Art 14 F I '!AF8*'PART MES'!I$7</f>
        <v>-20674.326414737257</v>
      </c>
      <c r="Q7" s="201">
        <f>+'COEF Art 14 F I '!AF8*'PART MES'!I$8</f>
        <v>10045.100019710317</v>
      </c>
      <c r="R7" s="201">
        <f>+'COEF Art 14 F I '!AF8*'PART MES'!I$9</f>
        <v>249.04614000866857</v>
      </c>
      <c r="S7" s="204">
        <f t="shared" ref="S7:S56" si="5">SUM(M7:R7)</f>
        <v>-57387.885033366889</v>
      </c>
      <c r="T7" s="205">
        <f t="shared" ref="T7:T56" si="6">SUM(S7,L7)</f>
        <v>1651755.2732235095</v>
      </c>
      <c r="V7" s="340">
        <v>76751.309166666659</v>
      </c>
      <c r="W7" s="341">
        <f t="shared" ref="W7:W56" si="7">+V7/$V$57</f>
        <v>2.4745145203539831E-3</v>
      </c>
    </row>
    <row r="8" spans="1:23" ht="12.75" customHeight="1">
      <c r="A8" s="200" t="s">
        <v>211</v>
      </c>
      <c r="B8" s="346">
        <f t="shared" si="0"/>
        <v>2.5966786750418491E-3</v>
      </c>
      <c r="C8" s="201">
        <v>1422791.0116666667</v>
      </c>
      <c r="D8" s="346">
        <f t="shared" si="1"/>
        <v>2.5966786794624748E-3</v>
      </c>
      <c r="E8" s="202">
        <v>194313.07499999998</v>
      </c>
      <c r="F8" s="346">
        <f t="shared" si="2"/>
        <v>2.5966786934878581E-3</v>
      </c>
      <c r="G8" s="202">
        <v>47777.223333333335</v>
      </c>
      <c r="H8" s="346">
        <f t="shared" si="3"/>
        <v>2.5966786810491926E-3</v>
      </c>
      <c r="I8" s="202">
        <v>80540.44</v>
      </c>
      <c r="J8" s="202">
        <v>39611.251666666671</v>
      </c>
      <c r="K8" s="202">
        <v>8488.7366666666658</v>
      </c>
      <c r="L8" s="203">
        <f t="shared" si="4"/>
        <v>1793521.7461233693</v>
      </c>
      <c r="M8" s="236">
        <f>+'COEF Art 14 F I '!AF9*'PART MES'!I$4</f>
        <v>-47095.677292581371</v>
      </c>
      <c r="N8" s="236">
        <f>+'COEF Art 14 F I '!AF9*'PART MES'!I$5</f>
        <v>-9383.8432058664384</v>
      </c>
      <c r="O8" s="236">
        <f>+'COEF Art 14 F I '!AF9*'PART MES'!I$6</f>
        <v>-1514.2852129344446</v>
      </c>
      <c r="P8" s="236">
        <f>+'COEF Art 14 F I '!AF9*'PART MES'!I$7</f>
        <v>-25506.092564260078</v>
      </c>
      <c r="Q8" s="201">
        <f>+'COEF Art 14 F I '!AF9*'PART MES'!I$8</f>
        <v>12392.725440251697</v>
      </c>
      <c r="R8" s="201">
        <f>+'COEF Art 14 F I '!AF9*'PART MES'!I$9</f>
        <v>307.25034385181942</v>
      </c>
      <c r="S8" s="204">
        <f t="shared" si="5"/>
        <v>-70799.922491538819</v>
      </c>
      <c r="T8" s="205">
        <f t="shared" si="6"/>
        <v>1722721.8236318305</v>
      </c>
      <c r="V8" s="340">
        <v>80540.44</v>
      </c>
      <c r="W8" s="341">
        <f t="shared" si="7"/>
        <v>2.5966786810491926E-3</v>
      </c>
    </row>
    <row r="9" spans="1:23" ht="12.75" customHeight="1">
      <c r="A9" s="200" t="s">
        <v>4</v>
      </c>
      <c r="B9" s="346">
        <f t="shared" si="0"/>
        <v>7.163369161917562E-3</v>
      </c>
      <c r="C9" s="201">
        <v>3925005.1824999996</v>
      </c>
      <c r="D9" s="346">
        <f t="shared" si="1"/>
        <v>7.1633691633567736E-3</v>
      </c>
      <c r="E9" s="202">
        <v>536044.8716666667</v>
      </c>
      <c r="F9" s="346">
        <f t="shared" si="2"/>
        <v>7.1633691838468676E-3</v>
      </c>
      <c r="G9" s="202">
        <v>131801.40083333335</v>
      </c>
      <c r="H9" s="346">
        <f t="shared" si="3"/>
        <v>7.1633691596085913E-3</v>
      </c>
      <c r="I9" s="202">
        <v>222184.17249999999</v>
      </c>
      <c r="J9" s="202">
        <v>109274.21333333333</v>
      </c>
      <c r="K9" s="202">
        <v>23417.59</v>
      </c>
      <c r="L9" s="203">
        <f t="shared" si="4"/>
        <v>4947727.4523234395</v>
      </c>
      <c r="M9" s="236">
        <f>+'COEF Art 14 F I '!AF10*'PART MES'!I$4</f>
        <v>-182853.93122681719</v>
      </c>
      <c r="N9" s="236">
        <f>+'COEF Art 14 F I '!AF10*'PART MES'!I$5</f>
        <v>-36433.760354456695</v>
      </c>
      <c r="O9" s="236">
        <f>+'COEF Art 14 F I '!AF10*'PART MES'!I$6</f>
        <v>-5879.3719530458493</v>
      </c>
      <c r="P9" s="236">
        <f>+'COEF Art 14 F I '!AF10*'PART MES'!I$7</f>
        <v>-99030.092860448436</v>
      </c>
      <c r="Q9" s="201">
        <f>+'COEF Art 14 F I '!AF10*'PART MES'!I$8</f>
        <v>48116.062781871638</v>
      </c>
      <c r="R9" s="201">
        <f>+'COEF Art 14 F I '!AF10*'PART MES'!I$9</f>
        <v>1192.9318458479086</v>
      </c>
      <c r="S9" s="204">
        <f t="shared" si="5"/>
        <v>-274888.16176704859</v>
      </c>
      <c r="T9" s="205">
        <f t="shared" si="6"/>
        <v>4672839.2905563908</v>
      </c>
      <c r="V9" s="340">
        <v>222184.17249999999</v>
      </c>
      <c r="W9" s="341">
        <f t="shared" si="7"/>
        <v>7.1633691596085913E-3</v>
      </c>
    </row>
    <row r="10" spans="1:23" ht="12.75" customHeight="1">
      <c r="A10" s="200" t="s">
        <v>235</v>
      </c>
      <c r="B10" s="346">
        <f t="shared" si="0"/>
        <v>8.9925647680691445E-3</v>
      </c>
      <c r="C10" s="201">
        <v>4927271.3049999997</v>
      </c>
      <c r="D10" s="346">
        <f t="shared" si="1"/>
        <v>8.992564772006233E-3</v>
      </c>
      <c r="E10" s="202">
        <v>672926.1216666667</v>
      </c>
      <c r="F10" s="346">
        <f t="shared" si="2"/>
        <v>8.9925647521862349E-3</v>
      </c>
      <c r="G10" s="202">
        <v>165457.42666666667</v>
      </c>
      <c r="H10" s="346">
        <f t="shared" si="3"/>
        <v>8.9925647561075201E-3</v>
      </c>
      <c r="I10" s="202">
        <v>278919.80916666664</v>
      </c>
      <c r="J10" s="202">
        <v>137177.83083333334</v>
      </c>
      <c r="K10" s="202">
        <v>29397.366666666669</v>
      </c>
      <c r="L10" s="203">
        <f t="shared" si="4"/>
        <v>6211149.8869776949</v>
      </c>
      <c r="M10" s="236">
        <f>+'COEF Art 14 F I '!AF11*'PART MES'!I$4</f>
        <v>-149836.16285316891</v>
      </c>
      <c r="N10" s="236">
        <f>+'COEF Art 14 F I '!AF11*'PART MES'!I$5</f>
        <v>-29854.949320461074</v>
      </c>
      <c r="O10" s="236">
        <f>+'COEF Art 14 F I '!AF11*'PART MES'!I$6</f>
        <v>-4817.7390965589111</v>
      </c>
      <c r="P10" s="236">
        <f>+'COEF Art 14 F I '!AF11*'PART MES'!I$7</f>
        <v>-81148.31888846161</v>
      </c>
      <c r="Q10" s="201">
        <f>+'COEF Art 14 F I '!AF11*'PART MES'!I$8</f>
        <v>39427.789003316087</v>
      </c>
      <c r="R10" s="201">
        <f>+'COEF Art 14 F I '!AF11*'PART MES'!I$9</f>
        <v>977.5252253421836</v>
      </c>
      <c r="S10" s="204">
        <f t="shared" si="5"/>
        <v>-225251.85592999222</v>
      </c>
      <c r="T10" s="205">
        <f t="shared" si="6"/>
        <v>5985898.0310477028</v>
      </c>
      <c r="V10" s="340">
        <v>278919.80916666664</v>
      </c>
      <c r="W10" s="341">
        <f t="shared" si="7"/>
        <v>8.9925647561075201E-3</v>
      </c>
    </row>
    <row r="11" spans="1:23" ht="12.75" customHeight="1">
      <c r="A11" s="200" t="s">
        <v>6</v>
      </c>
      <c r="B11" s="346">
        <f t="shared" si="0"/>
        <v>6.1746187376218759E-2</v>
      </c>
      <c r="C11" s="201">
        <v>33832418.792499997</v>
      </c>
      <c r="D11" s="346">
        <f t="shared" si="1"/>
        <v>6.1746187373972854E-2</v>
      </c>
      <c r="E11" s="202">
        <v>4620553.0291666668</v>
      </c>
      <c r="F11" s="346">
        <f t="shared" si="2"/>
        <v>6.1746187391896169E-2</v>
      </c>
      <c r="G11" s="202">
        <v>1136090.2649999999</v>
      </c>
      <c r="H11" s="346">
        <f t="shared" si="3"/>
        <v>6.1746187367451855E-2</v>
      </c>
      <c r="I11" s="202">
        <v>1915163.8341666667</v>
      </c>
      <c r="J11" s="202">
        <v>941912.37749999994</v>
      </c>
      <c r="K11" s="202">
        <v>201852.905</v>
      </c>
      <c r="L11" s="203">
        <f t="shared" si="4"/>
        <v>42647991.388571896</v>
      </c>
      <c r="M11" s="236">
        <f>+'COEF Art 14 F I '!AF12*'PART MES'!I$4</f>
        <v>-2501445.4866967518</v>
      </c>
      <c r="N11" s="236">
        <f>+'COEF Art 14 F I '!AF12*'PART MES'!I$5</f>
        <v>-498414.58037343342</v>
      </c>
      <c r="O11" s="236">
        <f>+'COEF Art 14 F I '!AF12*'PART MES'!I$6</f>
        <v>-80429.927526770625</v>
      </c>
      <c r="P11" s="236">
        <f>+'COEF Art 14 F I '!AF12*'PART MES'!I$7</f>
        <v>-1354733.678247541</v>
      </c>
      <c r="Q11" s="201">
        <f>+'COEF Art 14 F I '!AF12*'PART MES'!I$8</f>
        <v>658228.71444876282</v>
      </c>
      <c r="R11" s="201">
        <f>+'COEF Art 14 F I '!AF12*'PART MES'!I$9</f>
        <v>16319.33183887401</v>
      </c>
      <c r="S11" s="204">
        <f t="shared" si="5"/>
        <v>-3760475.6265568594</v>
      </c>
      <c r="T11" s="205">
        <f t="shared" si="6"/>
        <v>38887515.762015037</v>
      </c>
      <c r="V11" s="340">
        <v>1915163.8341666667</v>
      </c>
      <c r="W11" s="341">
        <f t="shared" si="7"/>
        <v>6.1746187367451855E-2</v>
      </c>
    </row>
    <row r="12" spans="1:23" ht="12.75" customHeight="1">
      <c r="A12" s="200" t="s">
        <v>7</v>
      </c>
      <c r="B12" s="346">
        <f t="shared" si="0"/>
        <v>1.0265070767424937E-2</v>
      </c>
      <c r="C12" s="201">
        <v>5624512.020833333</v>
      </c>
      <c r="D12" s="346">
        <f t="shared" si="1"/>
        <v>1.0265070768274558E-2</v>
      </c>
      <c r="E12" s="202">
        <v>768149.51416666666</v>
      </c>
      <c r="F12" s="346">
        <f t="shared" si="2"/>
        <v>1.0265070771355184E-2</v>
      </c>
      <c r="G12" s="202">
        <v>188870.72166666668</v>
      </c>
      <c r="H12" s="346">
        <f t="shared" si="3"/>
        <v>1.0265070766898993E-2</v>
      </c>
      <c r="I12" s="202">
        <v>318388.76416666666</v>
      </c>
      <c r="J12" s="202">
        <v>156589.38</v>
      </c>
      <c r="K12" s="202">
        <v>33557.284166666665</v>
      </c>
      <c r="L12" s="203">
        <f t="shared" si="4"/>
        <v>7090067.7157952134</v>
      </c>
      <c r="M12" s="236">
        <f>+'COEF Art 14 F I '!AF13*'PART MES'!I$4</f>
        <v>-137453.36366098784</v>
      </c>
      <c r="N12" s="236">
        <f>+'COEF Art 14 F I '!AF13*'PART MES'!I$5</f>
        <v>-27387.668823627439</v>
      </c>
      <c r="O12" s="236">
        <f>+'COEF Art 14 F I '!AF13*'PART MES'!I$6</f>
        <v>-4419.5902474625182</v>
      </c>
      <c r="P12" s="236">
        <f>+'COEF Art 14 F I '!AF13*'PART MES'!I$7</f>
        <v>-74442.038385512627</v>
      </c>
      <c r="Q12" s="201">
        <f>+'COEF Art 14 F I '!AF13*'PART MES'!I$8</f>
        <v>36169.387396367682</v>
      </c>
      <c r="R12" s="201">
        <f>+'COEF Art 14 F I '!AF13*'PART MES'!I$9</f>
        <v>896.74033109361994</v>
      </c>
      <c r="S12" s="204">
        <f t="shared" si="5"/>
        <v>-206636.53339012913</v>
      </c>
      <c r="T12" s="205">
        <f t="shared" si="6"/>
        <v>6883431.1824050844</v>
      </c>
      <c r="V12" s="340">
        <v>318388.76416666666</v>
      </c>
      <c r="W12" s="341">
        <f t="shared" si="7"/>
        <v>1.0265070766898993E-2</v>
      </c>
    </row>
    <row r="13" spans="1:23" ht="12.75" customHeight="1">
      <c r="A13" s="200" t="s">
        <v>8</v>
      </c>
      <c r="B13" s="346">
        <f t="shared" si="0"/>
        <v>1.6322006516159586E-3</v>
      </c>
      <c r="C13" s="201">
        <v>894327.21833333327</v>
      </c>
      <c r="D13" s="346">
        <f t="shared" si="1"/>
        <v>1.6322006488577962E-3</v>
      </c>
      <c r="E13" s="202">
        <v>122139.84333333334</v>
      </c>
      <c r="F13" s="346">
        <f t="shared" si="2"/>
        <v>1.6322006615157286E-3</v>
      </c>
      <c r="G13" s="202">
        <v>30031.445833333331</v>
      </c>
      <c r="H13" s="346">
        <f t="shared" si="3"/>
        <v>1.632200652633072E-3</v>
      </c>
      <c r="I13" s="202">
        <v>50625.500833333332</v>
      </c>
      <c r="J13" s="202">
        <v>24898.541666666668</v>
      </c>
      <c r="K13" s="202">
        <v>5335.7858333333334</v>
      </c>
      <c r="L13" s="203">
        <f t="shared" si="4"/>
        <v>1127358.3407299353</v>
      </c>
      <c r="M13" s="236">
        <f>+'COEF Art 14 F I '!AF14*'PART MES'!I$4</f>
        <v>-39853.573015149668</v>
      </c>
      <c r="N13" s="236">
        <f>+'COEF Art 14 F I '!AF14*'PART MES'!I$5</f>
        <v>-7940.8493914286355</v>
      </c>
      <c r="O13" s="236">
        <f>+'COEF Art 14 F I '!AF14*'PART MES'!I$6</f>
        <v>-1281.4270813969329</v>
      </c>
      <c r="P13" s="236">
        <f>+'COEF Art 14 F I '!AF14*'PART MES'!I$7</f>
        <v>-21583.911322176227</v>
      </c>
      <c r="Q13" s="201">
        <f>+'COEF Art 14 F I '!AF14*'PART MES'!I$8</f>
        <v>10487.042900380442</v>
      </c>
      <c r="R13" s="201">
        <f>+'COEF Art 14 F I '!AF14*'PART MES'!I$9</f>
        <v>260.00314076717171</v>
      </c>
      <c r="S13" s="204">
        <f t="shared" si="5"/>
        <v>-59912.714769003847</v>
      </c>
      <c r="T13" s="205">
        <f t="shared" si="6"/>
        <v>1067445.6259609314</v>
      </c>
      <c r="V13" s="340">
        <v>50625.500833333332</v>
      </c>
      <c r="W13" s="341">
        <f t="shared" si="7"/>
        <v>1.632200652633072E-3</v>
      </c>
    </row>
    <row r="14" spans="1:23" ht="12.75" customHeight="1">
      <c r="A14" s="200" t="s">
        <v>236</v>
      </c>
      <c r="B14" s="346">
        <f t="shared" si="0"/>
        <v>1.6224393865143041E-2</v>
      </c>
      <c r="C14" s="201">
        <v>8889787.5516666677</v>
      </c>
      <c r="D14" s="346">
        <f t="shared" si="1"/>
        <v>1.6224393864622787E-2</v>
      </c>
      <c r="E14" s="202">
        <v>1214093.9450000001</v>
      </c>
      <c r="F14" s="346">
        <f t="shared" si="2"/>
        <v>1.6224393884598388E-2</v>
      </c>
      <c r="G14" s="202">
        <v>298518.44666666666</v>
      </c>
      <c r="H14" s="346">
        <f t="shared" si="3"/>
        <v>1.6224393859603142E-2</v>
      </c>
      <c r="I14" s="202">
        <v>503227.38416666671</v>
      </c>
      <c r="J14" s="202">
        <v>247496.37250000003</v>
      </c>
      <c r="K14" s="202">
        <v>53038.7575</v>
      </c>
      <c r="L14" s="203">
        <f t="shared" si="4"/>
        <v>11206162.506173184</v>
      </c>
      <c r="M14" s="236">
        <f>+'COEF Art 14 F I '!AF15*'PART MES'!I$4</f>
        <v>-400919.43658873404</v>
      </c>
      <c r="N14" s="236">
        <f>+'COEF Art 14 F I '!AF15*'PART MES'!I$5</f>
        <v>-79883.448915291796</v>
      </c>
      <c r="O14" s="236">
        <f>+'COEF Art 14 F I '!AF15*'PART MES'!I$6</f>
        <v>-12890.91503308652</v>
      </c>
      <c r="P14" s="236">
        <f>+'COEF Art 14 F I '!AF15*'PART MES'!I$7</f>
        <v>-217130.08174646329</v>
      </c>
      <c r="Q14" s="201">
        <f>+'COEF Art 14 F I '!AF15*'PART MES'!I$8</f>
        <v>105497.67594248462</v>
      </c>
      <c r="R14" s="201">
        <f>+'COEF Art 14 F I '!AF15*'PART MES'!I$9</f>
        <v>2615.582614588925</v>
      </c>
      <c r="S14" s="204">
        <f t="shared" si="5"/>
        <v>-602710.62372650206</v>
      </c>
      <c r="T14" s="205">
        <f t="shared" si="6"/>
        <v>10603451.882446682</v>
      </c>
      <c r="V14" s="340">
        <v>503227.38416666671</v>
      </c>
      <c r="W14" s="341">
        <f t="shared" si="7"/>
        <v>1.6224393859603142E-2</v>
      </c>
    </row>
    <row r="15" spans="1:23" ht="12.75" customHeight="1">
      <c r="A15" s="200" t="s">
        <v>237</v>
      </c>
      <c r="B15" s="346">
        <f t="shared" si="0"/>
        <v>2.8090677169562883E-3</v>
      </c>
      <c r="C15" s="201">
        <v>1539164.7558333334</v>
      </c>
      <c r="D15" s="346">
        <f t="shared" si="1"/>
        <v>2.8090677138504746E-3</v>
      </c>
      <c r="E15" s="202">
        <v>210206.44166666665</v>
      </c>
      <c r="F15" s="346">
        <f t="shared" si="2"/>
        <v>2.8090677054860482E-3</v>
      </c>
      <c r="G15" s="202">
        <v>51685.045000000006</v>
      </c>
      <c r="H15" s="346">
        <f t="shared" si="3"/>
        <v>2.8090677174893519E-3</v>
      </c>
      <c r="I15" s="202">
        <v>87128.05</v>
      </c>
      <c r="J15" s="202">
        <v>42851.158333333333</v>
      </c>
      <c r="K15" s="202">
        <v>9183.0524999999998</v>
      </c>
      <c r="L15" s="203">
        <f t="shared" si="4"/>
        <v>1940218.5117605366</v>
      </c>
      <c r="M15" s="236">
        <f>+'COEF Art 14 F I '!AF16*'PART MES'!I$4</f>
        <v>-280699.72433346172</v>
      </c>
      <c r="N15" s="236">
        <f>+'COEF Art 14 F I '!AF16*'PART MES'!I$5</f>
        <v>-55929.595931091069</v>
      </c>
      <c r="O15" s="236">
        <f>+'COEF Art 14 F I '!AF16*'PART MES'!I$6</f>
        <v>-9025.4449297386454</v>
      </c>
      <c r="P15" s="236">
        <f>+'COEF Art 14 F I '!AF16*'PART MES'!I$7</f>
        <v>-152021.45001828761</v>
      </c>
      <c r="Q15" s="201">
        <f>+'COEF Art 14 F I '!AF16*'PART MES'!I$8</f>
        <v>73863.140203037125</v>
      </c>
      <c r="R15" s="201">
        <f>+'COEF Art 14 F I '!AF16*'PART MES'!I$9</f>
        <v>1831.2739465401551</v>
      </c>
      <c r="S15" s="204">
        <f t="shared" si="5"/>
        <v>-421981.80106300174</v>
      </c>
      <c r="T15" s="205">
        <f t="shared" si="6"/>
        <v>1518236.710697535</v>
      </c>
      <c r="V15" s="340">
        <v>87128.05</v>
      </c>
      <c r="W15" s="341">
        <f t="shared" si="7"/>
        <v>2.8090677174893519E-3</v>
      </c>
    </row>
    <row r="16" spans="1:23" s="1" customFormat="1" ht="12.75" customHeight="1">
      <c r="A16" s="200" t="s">
        <v>226</v>
      </c>
      <c r="B16" s="346">
        <f t="shared" si="0"/>
        <v>3.9163993698195301E-3</v>
      </c>
      <c r="C16" s="201">
        <v>2145901.9458333333</v>
      </c>
      <c r="D16" s="346">
        <f t="shared" si="1"/>
        <v>3.9163993650843353E-3</v>
      </c>
      <c r="E16" s="202">
        <v>293069.60833333334</v>
      </c>
      <c r="F16" s="346">
        <f t="shared" si="2"/>
        <v>3.9163993558136443E-3</v>
      </c>
      <c r="G16" s="202">
        <v>72059.237500000003</v>
      </c>
      <c r="H16" s="346">
        <f t="shared" si="3"/>
        <v>3.9163993699225103E-3</v>
      </c>
      <c r="I16" s="202">
        <v>121473.83916666667</v>
      </c>
      <c r="J16" s="202">
        <v>59743.041666666664</v>
      </c>
      <c r="K16" s="202">
        <v>12803.002500000001</v>
      </c>
      <c r="L16" s="203">
        <f t="shared" si="4"/>
        <v>2705050.6867491985</v>
      </c>
      <c r="M16" s="236">
        <f>+'COEF Art 14 F I '!AF17*'PART MES'!I$4</f>
        <v>-104424.37925206676</v>
      </c>
      <c r="N16" s="236">
        <f>+'COEF Art 14 F I '!AF17*'PART MES'!I$5</f>
        <v>-20806.622987576899</v>
      </c>
      <c r="O16" s="236">
        <f>+'COEF Art 14 F I '!AF17*'PART MES'!I$6</f>
        <v>-3357.5967575302689</v>
      </c>
      <c r="P16" s="236">
        <f>+'COEF Art 14 F I '!AF17*'PART MES'!I$7</f>
        <v>-56554.190029414211</v>
      </c>
      <c r="Q16" s="201">
        <f>+'COEF Art 14 F I '!AF17*'PART MES'!I$8</f>
        <v>27478.162237692879</v>
      </c>
      <c r="R16" s="201">
        <f>+'COEF Art 14 F I '!AF17*'PART MES'!I$9</f>
        <v>681.26053761550497</v>
      </c>
      <c r="S16" s="204">
        <f t="shared" si="5"/>
        <v>-156983.36625127975</v>
      </c>
      <c r="T16" s="205">
        <f t="shared" si="6"/>
        <v>2548067.3204979189</v>
      </c>
      <c r="V16" s="340">
        <v>121473.83916666667</v>
      </c>
      <c r="W16" s="341">
        <f t="shared" si="7"/>
        <v>3.9163993699225103E-3</v>
      </c>
    </row>
    <row r="17" spans="1:23" ht="12.75" customHeight="1">
      <c r="A17" s="200" t="s">
        <v>12</v>
      </c>
      <c r="B17" s="346">
        <f t="shared" si="0"/>
        <v>8.2367609168836967E-3</v>
      </c>
      <c r="C17" s="201">
        <v>4513145.7774999999</v>
      </c>
      <c r="D17" s="346">
        <f t="shared" si="1"/>
        <v>8.2367609131725819E-3</v>
      </c>
      <c r="E17" s="202">
        <v>616368.26833333331</v>
      </c>
      <c r="F17" s="346">
        <f t="shared" si="2"/>
        <v>8.2367609288746951E-3</v>
      </c>
      <c r="G17" s="202">
        <v>151551.12083333332</v>
      </c>
      <c r="H17" s="346">
        <f t="shared" si="3"/>
        <v>8.2367609121972128E-3</v>
      </c>
      <c r="I17" s="202">
        <v>255477.25749999998</v>
      </c>
      <c r="J17" s="202">
        <v>125648.35833333334</v>
      </c>
      <c r="K17" s="202">
        <v>26926.587499999998</v>
      </c>
      <c r="L17" s="203">
        <f t="shared" si="4"/>
        <v>5689117.3947102847</v>
      </c>
      <c r="M17" s="236">
        <f>+'COEF Art 14 F I '!AF18*'PART MES'!I$4</f>
        <v>-136093.71939067508</v>
      </c>
      <c r="N17" s="236">
        <f>+'COEF Art 14 F I '!AF18*'PART MES'!I$5</f>
        <v>-27116.758850954015</v>
      </c>
      <c r="O17" s="236">
        <f>+'COEF Art 14 F I '!AF18*'PART MES'!I$6</f>
        <v>-4375.8730884418555</v>
      </c>
      <c r="P17" s="236">
        <f>+'COEF Art 14 F I '!AF18*'PART MES'!I$7</f>
        <v>-73705.681789606417</v>
      </c>
      <c r="Q17" s="201">
        <f>+'COEF Art 14 F I '!AF18*'PART MES'!I$8</f>
        <v>35811.611500424646</v>
      </c>
      <c r="R17" s="201">
        <f>+'COEF Art 14 F I '!AF18*'PART MES'!I$9</f>
        <v>887.87006542200697</v>
      </c>
      <c r="S17" s="204">
        <f t="shared" si="5"/>
        <v>-204592.55155383068</v>
      </c>
      <c r="T17" s="205">
        <f t="shared" si="6"/>
        <v>5484524.8431564542</v>
      </c>
      <c r="V17" s="340">
        <v>255477.25749999998</v>
      </c>
      <c r="W17" s="341">
        <f t="shared" si="7"/>
        <v>8.2367609121972128E-3</v>
      </c>
    </row>
    <row r="18" spans="1:23" ht="12.75" customHeight="1">
      <c r="A18" s="200" t="s">
        <v>238</v>
      </c>
      <c r="B18" s="346">
        <f t="shared" si="0"/>
        <v>4.2224552986780605E-3</v>
      </c>
      <c r="C18" s="201">
        <v>2313598.33</v>
      </c>
      <c r="D18" s="346">
        <f t="shared" si="1"/>
        <v>4.2224552973543043E-3</v>
      </c>
      <c r="E18" s="202">
        <v>315972.19916666666</v>
      </c>
      <c r="F18" s="346">
        <f t="shared" si="2"/>
        <v>4.22245530872465E-3</v>
      </c>
      <c r="G18" s="202">
        <v>77690.47083333334</v>
      </c>
      <c r="H18" s="346">
        <f t="shared" si="3"/>
        <v>4.2224552972740239E-3</v>
      </c>
      <c r="I18" s="202">
        <v>130966.68833333334</v>
      </c>
      <c r="J18" s="202">
        <v>64411.797499999993</v>
      </c>
      <c r="K18" s="202">
        <v>13803.522499999999</v>
      </c>
      <c r="L18" s="203">
        <f t="shared" si="4"/>
        <v>2916443.0210006996</v>
      </c>
      <c r="M18" s="236">
        <f>+'COEF Art 14 F I '!AF19*'PART MES'!I$4</f>
        <v>-208901.01372134907</v>
      </c>
      <c r="N18" s="236">
        <f>+'COEF Art 14 F I '!AF19*'PART MES'!I$5</f>
        <v>-41623.657859921754</v>
      </c>
      <c r="O18" s="236">
        <f>+'COEF Art 14 F I '!AF19*'PART MES'!I$6</f>
        <v>-6716.8736969217425</v>
      </c>
      <c r="P18" s="236">
        <f>+'COEF Art 14 F I '!AF19*'PART MES'!I$7</f>
        <v>-113136.68045673934</v>
      </c>
      <c r="Q18" s="201">
        <f>+'COEF Art 14 F I '!AF19*'PART MES'!I$8</f>
        <v>54970.074878756102</v>
      </c>
      <c r="R18" s="201">
        <f>+'COEF Art 14 F I '!AF19*'PART MES'!I$9</f>
        <v>1362.861986210117</v>
      </c>
      <c r="S18" s="204">
        <f t="shared" si="5"/>
        <v>-314045.28886996571</v>
      </c>
      <c r="T18" s="205">
        <f t="shared" si="6"/>
        <v>2602397.7321307338</v>
      </c>
      <c r="V18" s="340">
        <v>130966.68833333334</v>
      </c>
      <c r="W18" s="341">
        <f t="shared" si="7"/>
        <v>4.2224552972740239E-3</v>
      </c>
    </row>
    <row r="19" spans="1:23" ht="12.75" customHeight="1">
      <c r="A19" s="200" t="s">
        <v>14</v>
      </c>
      <c r="B19" s="346">
        <f t="shared" si="0"/>
        <v>2.3104377152994793E-2</v>
      </c>
      <c r="C19" s="201">
        <v>12659517.890833333</v>
      </c>
      <c r="D19" s="346">
        <f t="shared" si="1"/>
        <v>2.3104377149899193E-2</v>
      </c>
      <c r="E19" s="202">
        <v>1728932.6575</v>
      </c>
      <c r="F19" s="346">
        <f t="shared" si="2"/>
        <v>2.3104377153551708E-2</v>
      </c>
      <c r="G19" s="202">
        <v>425105.72833333333</v>
      </c>
      <c r="H19" s="346">
        <f t="shared" si="3"/>
        <v>2.310437715398651E-2</v>
      </c>
      <c r="I19" s="202">
        <v>716621.8583333334</v>
      </c>
      <c r="J19" s="202">
        <v>352447.65250000003</v>
      </c>
      <c r="K19" s="202">
        <v>75529.9375</v>
      </c>
      <c r="L19" s="203">
        <f t="shared" si="4"/>
        <v>15958155.794313133</v>
      </c>
      <c r="M19" s="236">
        <f>+'COEF Art 14 F I '!AF20*'PART MES'!I$4</f>
        <v>-304315.33719284157</v>
      </c>
      <c r="N19" s="236">
        <f>+'COEF Art 14 F I '!AF20*'PART MES'!I$5</f>
        <v>-60635.021588442665</v>
      </c>
      <c r="O19" s="236">
        <f>+'COEF Art 14 F I '!AF20*'PART MES'!I$6</f>
        <v>-9784.766706240127</v>
      </c>
      <c r="P19" s="236">
        <f>+'COEF Art 14 F I '!AF20*'PART MES'!I$7</f>
        <v>-164811.20148127282</v>
      </c>
      <c r="Q19" s="201">
        <f>+'COEF Art 14 F I '!AF20*'PART MES'!I$8</f>
        <v>80077.336984865178</v>
      </c>
      <c r="R19" s="201">
        <f>+'COEF Art 14 F I '!AF20*'PART MES'!I$9</f>
        <v>1985.3412747630546</v>
      </c>
      <c r="S19" s="204">
        <f t="shared" si="5"/>
        <v>-457483.64870916901</v>
      </c>
      <c r="T19" s="205">
        <f t="shared" si="6"/>
        <v>15500672.145603964</v>
      </c>
      <c r="V19" s="340">
        <v>716621.8583333334</v>
      </c>
      <c r="W19" s="341">
        <f t="shared" si="7"/>
        <v>2.310437715398651E-2</v>
      </c>
    </row>
    <row r="20" spans="1:23" ht="12.75" customHeight="1">
      <c r="A20" s="200" t="s">
        <v>15</v>
      </c>
      <c r="B20" s="346">
        <f t="shared" si="0"/>
        <v>2.9304992644483946E-3</v>
      </c>
      <c r="C20" s="201">
        <v>1605700.4100000001</v>
      </c>
      <c r="D20" s="346">
        <f t="shared" si="1"/>
        <v>2.9304992637007284E-3</v>
      </c>
      <c r="E20" s="202">
        <v>219293.33333333334</v>
      </c>
      <c r="F20" s="346">
        <f t="shared" si="2"/>
        <v>2.930499245969925E-3</v>
      </c>
      <c r="G20" s="202">
        <v>53919.307499999995</v>
      </c>
      <c r="H20" s="346">
        <f t="shared" si="3"/>
        <v>2.9304992624299281E-3</v>
      </c>
      <c r="I20" s="202">
        <v>90894.457500000004</v>
      </c>
      <c r="J20" s="202">
        <v>44703.545833333337</v>
      </c>
      <c r="K20" s="202">
        <v>9580.0216666666656</v>
      </c>
      <c r="L20" s="203">
        <f t="shared" si="4"/>
        <v>2024091.0846248309</v>
      </c>
      <c r="M20" s="236">
        <f>+'COEF Art 14 F I '!AF21*'PART MES'!I$4</f>
        <v>-44072.761792492369</v>
      </c>
      <c r="N20" s="236">
        <f>+'COEF Art 14 F I '!AF21*'PART MES'!I$5</f>
        <v>-8781.52539862499</v>
      </c>
      <c r="O20" s="236">
        <f>+'COEF Art 14 F I '!AF21*'PART MES'!I$6</f>
        <v>-1417.0882618576593</v>
      </c>
      <c r="P20" s="236">
        <f>+'COEF Art 14 F I '!AF21*'PART MES'!I$7</f>
        <v>-23868.940982805871</v>
      </c>
      <c r="Q20" s="201">
        <f>+'COEF Art 14 F I '!AF21*'PART MES'!I$8</f>
        <v>11597.277450642145</v>
      </c>
      <c r="R20" s="201">
        <f>+'COEF Art 14 F I '!AF21*'PART MES'!I$9</f>
        <v>287.52896218302573</v>
      </c>
      <c r="S20" s="204">
        <f t="shared" si="5"/>
        <v>-66255.510022955714</v>
      </c>
      <c r="T20" s="205">
        <f t="shared" si="6"/>
        <v>1957835.5746018752</v>
      </c>
      <c r="V20" s="340">
        <v>90894.457500000004</v>
      </c>
      <c r="W20" s="341">
        <f t="shared" si="7"/>
        <v>2.9304992624299281E-3</v>
      </c>
    </row>
    <row r="21" spans="1:23" ht="12.75" customHeight="1">
      <c r="A21" s="200" t="s">
        <v>239</v>
      </c>
      <c r="B21" s="346">
        <f t="shared" si="0"/>
        <v>2.0540740478368438E-3</v>
      </c>
      <c r="C21" s="201">
        <v>1125483.1491666667</v>
      </c>
      <c r="D21" s="346">
        <f t="shared" si="1"/>
        <v>2.0540740430941801E-3</v>
      </c>
      <c r="E21" s="202">
        <v>153709.21583333335</v>
      </c>
      <c r="F21" s="346">
        <f t="shared" si="2"/>
        <v>2.0540740553286548E-3</v>
      </c>
      <c r="G21" s="202">
        <v>37793.645833333336</v>
      </c>
      <c r="H21" s="346">
        <f t="shared" si="3"/>
        <v>2.0540740550401317E-3</v>
      </c>
      <c r="I21" s="202">
        <v>63710.627500000002</v>
      </c>
      <c r="J21" s="202">
        <v>31334.04416666667</v>
      </c>
      <c r="K21" s="202">
        <v>6714.9216666666662</v>
      </c>
      <c r="L21" s="203">
        <f t="shared" si="4"/>
        <v>1418745.6103288888</v>
      </c>
      <c r="M21" s="236">
        <f>+'COEF Art 14 F I '!AF22*'PART MES'!I$4</f>
        <v>-31818.853285492954</v>
      </c>
      <c r="N21" s="236">
        <f>+'COEF Art 14 F I '!AF22*'PART MES'!I$5</f>
        <v>-6339.9264515634777</v>
      </c>
      <c r="O21" s="236">
        <f>+'COEF Art 14 F I '!AF22*'PART MES'!I$6</f>
        <v>-1023.0836839529311</v>
      </c>
      <c r="P21" s="236">
        <f>+'COEF Art 14 F I '!AF22*'PART MES'!I$7</f>
        <v>-17232.465139985055</v>
      </c>
      <c r="Q21" s="201">
        <f>+'COEF Art 14 F I '!AF22*'PART MES'!I$8</f>
        <v>8372.7920535263111</v>
      </c>
      <c r="R21" s="201">
        <f>+'COEF Art 14 F I '!AF22*'PART MES'!I$9</f>
        <v>207.58494568838702</v>
      </c>
      <c r="S21" s="204">
        <f t="shared" si="5"/>
        <v>-47833.951561779715</v>
      </c>
      <c r="T21" s="205">
        <f t="shared" si="6"/>
        <v>1370911.658767109</v>
      </c>
      <c r="V21" s="340">
        <v>63710.627500000002</v>
      </c>
      <c r="W21" s="341">
        <f t="shared" si="7"/>
        <v>2.0540740550401317E-3</v>
      </c>
    </row>
    <row r="22" spans="1:23" ht="12.75" customHeight="1">
      <c r="A22" s="200" t="s">
        <v>17</v>
      </c>
      <c r="B22" s="346">
        <f t="shared" si="0"/>
        <v>1.7897398190793959E-2</v>
      </c>
      <c r="C22" s="201">
        <v>9806472.2149999999</v>
      </c>
      <c r="D22" s="346">
        <f t="shared" si="1"/>
        <v>1.7897398190023586E-2</v>
      </c>
      <c r="E22" s="202">
        <v>1339287.1841666668</v>
      </c>
      <c r="F22" s="346">
        <f t="shared" si="2"/>
        <v>1.7897398186924731E-2</v>
      </c>
      <c r="G22" s="202">
        <v>329300.65333333332</v>
      </c>
      <c r="H22" s="346">
        <f t="shared" si="3"/>
        <v>1.7897398184518628E-2</v>
      </c>
      <c r="I22" s="202">
        <v>555118.48083333333</v>
      </c>
      <c r="J22" s="202">
        <v>273017.35666666663</v>
      </c>
      <c r="K22" s="202">
        <v>58507.933333333327</v>
      </c>
      <c r="L22" s="203">
        <f t="shared" si="4"/>
        <v>12361703.877025524</v>
      </c>
      <c r="M22" s="236">
        <f>+'COEF Art 14 F I '!AF23*'PART MES'!I$4</f>
        <v>-284089.48182975961</v>
      </c>
      <c r="N22" s="236">
        <f>+'COEF Art 14 F I '!AF23*'PART MES'!I$5</f>
        <v>-56605.007235902696</v>
      </c>
      <c r="O22" s="236">
        <f>+'COEF Art 14 F I '!AF23*'PART MES'!I$6</f>
        <v>-9134.4370909552363</v>
      </c>
      <c r="P22" s="236">
        <f>+'COEF Art 14 F I '!AF23*'PART MES'!I$7</f>
        <v>-153857.27600999892</v>
      </c>
      <c r="Q22" s="201">
        <f>+'COEF Art 14 F I '!AF23*'PART MES'!I$8</f>
        <v>74755.118753418268</v>
      </c>
      <c r="R22" s="201">
        <f>+'COEF Art 14 F I '!AF23*'PART MES'!I$9</f>
        <v>1853.3885909445974</v>
      </c>
      <c r="S22" s="204">
        <f t="shared" si="5"/>
        <v>-427077.6948222536</v>
      </c>
      <c r="T22" s="205">
        <f t="shared" si="6"/>
        <v>11934626.18220327</v>
      </c>
      <c r="V22" s="340">
        <v>555118.48083333333</v>
      </c>
      <c r="W22" s="341">
        <f t="shared" si="7"/>
        <v>1.7897398184518628E-2</v>
      </c>
    </row>
    <row r="23" spans="1:23" ht="12.75" customHeight="1">
      <c r="A23" s="200" t="s">
        <v>240</v>
      </c>
      <c r="B23" s="346">
        <f t="shared" si="0"/>
        <v>2.2157092195119417E-2</v>
      </c>
      <c r="C23" s="201">
        <v>12140474.646666666</v>
      </c>
      <c r="D23" s="346">
        <f t="shared" si="1"/>
        <v>2.2157092193837855E-2</v>
      </c>
      <c r="E23" s="202">
        <v>1658046.0075000001</v>
      </c>
      <c r="F23" s="346">
        <f t="shared" si="2"/>
        <v>2.2157092202474311E-2</v>
      </c>
      <c r="G23" s="202">
        <v>407676.29249999998</v>
      </c>
      <c r="H23" s="346">
        <f t="shared" si="3"/>
        <v>2.2157092194442868E-2</v>
      </c>
      <c r="I23" s="202">
        <v>687240.19166666665</v>
      </c>
      <c r="J23" s="202">
        <v>337997.21500000003</v>
      </c>
      <c r="K23" s="202">
        <v>72433.191666666666</v>
      </c>
      <c r="L23" s="203">
        <f t="shared" si="4"/>
        <v>15303867.611471275</v>
      </c>
      <c r="M23" s="236">
        <f>+'COEF Art 14 F I '!AF24*'PART MES'!I$4</f>
        <v>-1140238.893413526</v>
      </c>
      <c r="N23" s="236">
        <f>+'COEF Art 14 F I '!AF24*'PART MES'!I$5</f>
        <v>-227193.3138693526</v>
      </c>
      <c r="O23" s="236">
        <f>+'COEF Art 14 F I '!AF24*'PART MES'!I$6</f>
        <v>-36662.534541802255</v>
      </c>
      <c r="P23" s="236">
        <f>+'COEF Art 14 F I '!AF24*'PART MES'!I$7</f>
        <v>-617530.95894760825</v>
      </c>
      <c r="Q23" s="201">
        <f>+'COEF Art 14 F I '!AF24*'PART MES'!I$8</f>
        <v>300041.70987039071</v>
      </c>
      <c r="R23" s="201">
        <f>+'COEF Art 14 F I '!AF24*'PART MES'!I$9</f>
        <v>7438.8736337317778</v>
      </c>
      <c r="S23" s="204">
        <f t="shared" si="5"/>
        <v>-1714145.1172681667</v>
      </c>
      <c r="T23" s="205">
        <f t="shared" si="6"/>
        <v>13589722.494203107</v>
      </c>
      <c r="V23" s="340">
        <v>687240.19166666665</v>
      </c>
      <c r="W23" s="341">
        <f t="shared" si="7"/>
        <v>2.2157092194442868E-2</v>
      </c>
    </row>
    <row r="24" spans="1:23" ht="12.75" customHeight="1">
      <c r="A24" s="200" t="s">
        <v>19</v>
      </c>
      <c r="B24" s="346">
        <f t="shared" si="0"/>
        <v>3.4398861364585672E-3</v>
      </c>
      <c r="C24" s="201">
        <v>1884807.3591666666</v>
      </c>
      <c r="D24" s="346">
        <f t="shared" si="1"/>
        <v>3.4398861332167515E-3</v>
      </c>
      <c r="E24" s="202">
        <v>257411.46083333332</v>
      </c>
      <c r="F24" s="346">
        <f t="shared" si="2"/>
        <v>3.4398861507291194E-3</v>
      </c>
      <c r="G24" s="202">
        <v>63291.700000000004</v>
      </c>
      <c r="H24" s="346">
        <f t="shared" si="3"/>
        <v>3.4398861261275677E-3</v>
      </c>
      <c r="I24" s="202">
        <v>106693.96416666667</v>
      </c>
      <c r="J24" s="202">
        <v>52474.030833333331</v>
      </c>
      <c r="K24" s="202">
        <v>11245.245000000001</v>
      </c>
      <c r="L24" s="203">
        <f t="shared" si="4"/>
        <v>2375923.7703196583</v>
      </c>
      <c r="M24" s="236">
        <f>+'COEF Art 14 F I '!AF25*'PART MES'!I$4</f>
        <v>-97529.39200926169</v>
      </c>
      <c r="N24" s="236">
        <f>+'COEF Art 14 F I '!AF25*'PART MES'!I$5</f>
        <v>-19432.792459756376</v>
      </c>
      <c r="O24" s="236">
        <f>+'COEF Art 14 F I '!AF25*'PART MES'!I$6</f>
        <v>-3135.8996119454014</v>
      </c>
      <c r="P24" s="236">
        <f>+'COEF Art 14 F I '!AF25*'PART MES'!I$7</f>
        <v>-52820.000546336509</v>
      </c>
      <c r="Q24" s="201">
        <f>+'COEF Art 14 F I '!AF25*'PART MES'!I$8</f>
        <v>25663.819845220663</v>
      </c>
      <c r="R24" s="201">
        <f>+'COEF Art 14 F I '!AF25*'PART MES'!I$9</f>
        <v>636.27791239398653</v>
      </c>
      <c r="S24" s="204">
        <f t="shared" si="5"/>
        <v>-146617.98686968532</v>
      </c>
      <c r="T24" s="205">
        <f t="shared" si="6"/>
        <v>2229305.783449973</v>
      </c>
      <c r="V24" s="340">
        <v>106693.96416666667</v>
      </c>
      <c r="W24" s="341">
        <f t="shared" si="7"/>
        <v>3.4398861261275677E-3</v>
      </c>
    </row>
    <row r="25" spans="1:23" ht="12.75" customHeight="1">
      <c r="A25" s="200" t="s">
        <v>20</v>
      </c>
      <c r="B25" s="346">
        <f t="shared" si="0"/>
        <v>4.7021207699974518E-2</v>
      </c>
      <c r="C25" s="201">
        <v>25764201.137499999</v>
      </c>
      <c r="D25" s="346">
        <f t="shared" si="1"/>
        <v>4.7021207703241037E-2</v>
      </c>
      <c r="E25" s="202">
        <v>3518662.3325</v>
      </c>
      <c r="F25" s="346">
        <f t="shared" si="2"/>
        <v>4.7021207703736086E-2</v>
      </c>
      <c r="G25" s="202">
        <v>865160.07833333325</v>
      </c>
      <c r="H25" s="346">
        <f t="shared" si="3"/>
        <v>4.70212076892908E-2</v>
      </c>
      <c r="I25" s="202">
        <v>1458443.3508333333</v>
      </c>
      <c r="J25" s="202">
        <v>717288.94416666671</v>
      </c>
      <c r="K25" s="202">
        <v>153715.845</v>
      </c>
      <c r="L25" s="203">
        <f t="shared" si="4"/>
        <v>32477471.829396952</v>
      </c>
      <c r="M25" s="236">
        <f>+'COEF Art 14 F I '!AF26*'PART MES'!I$4</f>
        <v>-1635305.2330811443</v>
      </c>
      <c r="N25" s="236">
        <f>+'COEF Art 14 F I '!AF26*'PART MES'!I$5</f>
        <v>-325835.59220590256</v>
      </c>
      <c r="O25" s="236">
        <f>+'COEF Art 14 F I '!AF26*'PART MES'!I$6</f>
        <v>-52580.590734580393</v>
      </c>
      <c r="P25" s="236">
        <f>+'COEF Art 14 F I '!AF26*'PART MES'!I$7</f>
        <v>-885649.15176104428</v>
      </c>
      <c r="Q25" s="201">
        <f>+'COEF Art 14 F I '!AF26*'PART MES'!I$8</f>
        <v>430313.13975335401</v>
      </c>
      <c r="R25" s="201">
        <f>+'COEF Art 14 F I '!AF26*'PART MES'!I$9</f>
        <v>10668.666936148049</v>
      </c>
      <c r="S25" s="204">
        <f t="shared" si="5"/>
        <v>-2458388.7610931695</v>
      </c>
      <c r="T25" s="205">
        <f t="shared" si="6"/>
        <v>30019083.068303782</v>
      </c>
      <c r="V25" s="340">
        <v>1458443.3508333333</v>
      </c>
      <c r="W25" s="341">
        <f t="shared" si="7"/>
        <v>4.70212076892908E-2</v>
      </c>
    </row>
    <row r="26" spans="1:23" s="1" customFormat="1" ht="12.75" customHeight="1">
      <c r="A26" s="200" t="s">
        <v>241</v>
      </c>
      <c r="B26" s="346">
        <f t="shared" si="0"/>
        <v>6.9425035917534987E-3</v>
      </c>
      <c r="C26" s="201">
        <v>3803986.9175</v>
      </c>
      <c r="D26" s="346">
        <f t="shared" si="1"/>
        <v>6.9425035948134234E-3</v>
      </c>
      <c r="E26" s="202">
        <v>519517.19416666665</v>
      </c>
      <c r="F26" s="346">
        <f t="shared" si="2"/>
        <v>6.9425036084074217E-3</v>
      </c>
      <c r="G26" s="202">
        <v>127737.61583333333</v>
      </c>
      <c r="H26" s="346">
        <f t="shared" si="3"/>
        <v>6.9425035912357887E-3</v>
      </c>
      <c r="I26" s="202">
        <v>215333.64833333332</v>
      </c>
      <c r="J26" s="202">
        <v>105905.00166666666</v>
      </c>
      <c r="K26" s="202">
        <v>22695.563333333335</v>
      </c>
      <c r="L26" s="203">
        <f t="shared" si="4"/>
        <v>4795175.9616608443</v>
      </c>
      <c r="M26" s="236">
        <f>+'COEF Art 14 F I '!AF27*'PART MES'!I$4</f>
        <v>-131516.09900852028</v>
      </c>
      <c r="N26" s="236">
        <f>+'COEF Art 14 F I '!AF27*'PART MES'!I$5</f>
        <v>-26204.66512194238</v>
      </c>
      <c r="O26" s="236">
        <f>+'COEF Art 14 F I '!AF27*'PART MES'!I$6</f>
        <v>-4228.6871203526716</v>
      </c>
      <c r="P26" s="236">
        <f>+'COEF Art 14 F I '!AF27*'PART MES'!I$7</f>
        <v>-71226.53262128825</v>
      </c>
      <c r="Q26" s="201">
        <f>+'COEF Art 14 F I '!AF27*'PART MES'!I$8</f>
        <v>34607.059494232759</v>
      </c>
      <c r="R26" s="201">
        <f>+'COEF Art 14 F I '!AF27*'PART MES'!I$9</f>
        <v>858.0058503327441</v>
      </c>
      <c r="S26" s="204">
        <f t="shared" si="5"/>
        <v>-197710.91852753807</v>
      </c>
      <c r="T26" s="205">
        <f t="shared" si="6"/>
        <v>4597465.0431333063</v>
      </c>
      <c r="V26" s="340">
        <v>215333.64833333332</v>
      </c>
      <c r="W26" s="341">
        <f t="shared" si="7"/>
        <v>6.9425035912357887E-3</v>
      </c>
    </row>
    <row r="27" spans="1:23" ht="12.75" customHeight="1">
      <c r="A27" s="200" t="s">
        <v>22</v>
      </c>
      <c r="B27" s="346">
        <f t="shared" si="0"/>
        <v>1.130412546866887E-3</v>
      </c>
      <c r="C27" s="201">
        <v>619383.84083333332</v>
      </c>
      <c r="D27" s="346">
        <f t="shared" si="1"/>
        <v>1.1304125512818862E-3</v>
      </c>
      <c r="E27" s="202">
        <v>84590.342499999999</v>
      </c>
      <c r="F27" s="346">
        <f t="shared" si="2"/>
        <v>1.1304125269341223E-3</v>
      </c>
      <c r="G27" s="202">
        <v>20798.865833333333</v>
      </c>
      <c r="H27" s="346">
        <f t="shared" si="3"/>
        <v>1.1304125414445905E-3</v>
      </c>
      <c r="I27" s="202">
        <v>35061.682500000003</v>
      </c>
      <c r="J27" s="202">
        <v>17243.9725</v>
      </c>
      <c r="K27" s="202">
        <v>3695.4033333333332</v>
      </c>
      <c r="L27" s="203">
        <f t="shared" si="4"/>
        <v>780774.11089123774</v>
      </c>
      <c r="M27" s="236">
        <f>+'COEF Art 14 F I '!AF28*'PART MES'!I$4</f>
        <v>-25779.516205112726</v>
      </c>
      <c r="N27" s="236">
        <f>+'COEF Art 14 F I '!AF28*'PART MES'!I$5</f>
        <v>-5136.5847546687091</v>
      </c>
      <c r="O27" s="236">
        <f>+'COEF Art 14 F I '!AF28*'PART MES'!I$6</f>
        <v>-828.89858327094021</v>
      </c>
      <c r="P27" s="236">
        <f>+'COEF Art 14 F I '!AF28*'PART MES'!I$7</f>
        <v>-13961.678956319509</v>
      </c>
      <c r="Q27" s="201">
        <f>+'COEF Art 14 F I '!AF28*'PART MES'!I$8</f>
        <v>6783.6048800768904</v>
      </c>
      <c r="R27" s="201">
        <f>+'COEF Art 14 F I '!AF28*'PART MES'!I$9</f>
        <v>168.18454842780517</v>
      </c>
      <c r="S27" s="204">
        <f t="shared" si="5"/>
        <v>-38754.88907086719</v>
      </c>
      <c r="T27" s="205">
        <f t="shared" si="6"/>
        <v>742019.22182037053</v>
      </c>
      <c r="V27" s="340">
        <v>35061.682500000003</v>
      </c>
      <c r="W27" s="341">
        <f t="shared" si="7"/>
        <v>1.1304125414445905E-3</v>
      </c>
    </row>
    <row r="28" spans="1:23" ht="12.75" customHeight="1">
      <c r="A28" s="200" t="s">
        <v>23</v>
      </c>
      <c r="B28" s="346">
        <f t="shared" si="0"/>
        <v>5.1639461677341339E-3</v>
      </c>
      <c r="C28" s="201">
        <v>2829466.8350000004</v>
      </c>
      <c r="D28" s="346">
        <f t="shared" si="1"/>
        <v>5.1639461719934724E-3</v>
      </c>
      <c r="E28" s="202">
        <v>386425.27</v>
      </c>
      <c r="F28" s="346">
        <f t="shared" si="2"/>
        <v>5.1639461720652041E-3</v>
      </c>
      <c r="G28" s="202">
        <v>95013.299166666679</v>
      </c>
      <c r="H28" s="346">
        <f t="shared" si="3"/>
        <v>5.1639461764604305E-3</v>
      </c>
      <c r="I28" s="202">
        <v>160168.64166666666</v>
      </c>
      <c r="J28" s="202">
        <v>78773.848333333342</v>
      </c>
      <c r="K28" s="202">
        <v>16881.326666666668</v>
      </c>
      <c r="L28" s="203">
        <f t="shared" si="4"/>
        <v>3566729.2363251722</v>
      </c>
      <c r="M28" s="236">
        <f>+'COEF Art 14 F I '!AF29*'PART MES'!I$4</f>
        <v>-73741.024762531903</v>
      </c>
      <c r="N28" s="236">
        <f>+'COEF Art 14 F I '!AF29*'PART MES'!I$5</f>
        <v>-14692.945382495122</v>
      </c>
      <c r="O28" s="236">
        <f>+'COEF Art 14 F I '!AF29*'PART MES'!I$6</f>
        <v>-2371.023197963957</v>
      </c>
      <c r="P28" s="236">
        <f>+'COEF Art 14 F I '!AF29*'PART MES'!I$7</f>
        <v>-39936.688704821085</v>
      </c>
      <c r="Q28" s="201">
        <f>+'COEF Art 14 F I '!AF29*'PART MES'!I$8</f>
        <v>19404.164587920935</v>
      </c>
      <c r="R28" s="201">
        <f>+'COEF Art 14 F I '!AF29*'PART MES'!I$9</f>
        <v>481.0835413517334</v>
      </c>
      <c r="S28" s="204">
        <f t="shared" si="5"/>
        <v>-110856.43391853939</v>
      </c>
      <c r="T28" s="205">
        <f t="shared" si="6"/>
        <v>3455872.8024066328</v>
      </c>
      <c r="V28" s="340">
        <v>160168.64166666666</v>
      </c>
      <c r="W28" s="341">
        <f t="shared" si="7"/>
        <v>5.1639461764604305E-3</v>
      </c>
    </row>
    <row r="29" spans="1:23" ht="12.75" customHeight="1">
      <c r="A29" s="200" t="s">
        <v>24</v>
      </c>
      <c r="B29" s="346">
        <f t="shared" si="0"/>
        <v>5.1356521485919748E-3</v>
      </c>
      <c r="C29" s="201">
        <v>2813963.7708333335</v>
      </c>
      <c r="D29" s="346">
        <f t="shared" si="1"/>
        <v>5.1356521521579504E-3</v>
      </c>
      <c r="E29" s="202">
        <v>384307.9891666667</v>
      </c>
      <c r="F29" s="346">
        <f t="shared" si="2"/>
        <v>5.1356521609333865E-3</v>
      </c>
      <c r="G29" s="202">
        <v>94492.707500000004</v>
      </c>
      <c r="H29" s="346">
        <f t="shared" si="3"/>
        <v>5.1356521573067571E-3</v>
      </c>
      <c r="I29" s="202">
        <v>159291.05416666667</v>
      </c>
      <c r="J29" s="202">
        <v>78342.235000000001</v>
      </c>
      <c r="K29" s="202">
        <v>16788.830833333333</v>
      </c>
      <c r="L29" s="203">
        <f t="shared" si="4"/>
        <v>3547186.6029069568</v>
      </c>
      <c r="M29" s="236">
        <f>+'COEF Art 14 F I '!AF30*'PART MES'!I$4</f>
        <v>-273003.44988598948</v>
      </c>
      <c r="N29" s="236">
        <f>+'COEF Art 14 F I '!AF30*'PART MES'!I$5</f>
        <v>-54396.108425736253</v>
      </c>
      <c r="O29" s="236">
        <f>+'COEF Art 14 F I '!AF30*'PART MES'!I$6</f>
        <v>-8777.9836920949037</v>
      </c>
      <c r="P29" s="236">
        <f>+'COEF Art 14 F I '!AF30*'PART MES'!I$7</f>
        <v>-147853.29914453218</v>
      </c>
      <c r="Q29" s="201">
        <f>+'COEF Art 14 F I '!AF30*'PART MES'!I$8</f>
        <v>71837.947624367647</v>
      </c>
      <c r="R29" s="201">
        <f>+'COEF Art 14 F I '!AF30*'PART MES'!I$9</f>
        <v>1781.0637551530929</v>
      </c>
      <c r="S29" s="204">
        <f t="shared" si="5"/>
        <v>-410411.82976883207</v>
      </c>
      <c r="T29" s="205">
        <f t="shared" si="6"/>
        <v>3136774.7731381245</v>
      </c>
      <c r="V29" s="340">
        <v>159291.05416666667</v>
      </c>
      <c r="W29" s="341">
        <f t="shared" si="7"/>
        <v>5.1356521573067571E-3</v>
      </c>
    </row>
    <row r="30" spans="1:23" ht="12.75" customHeight="1">
      <c r="A30" s="200" t="s">
        <v>25</v>
      </c>
      <c r="B30" s="346">
        <f t="shared" si="0"/>
        <v>8.0421059107526963E-2</v>
      </c>
      <c r="C30" s="201">
        <v>44064889.94833333</v>
      </c>
      <c r="D30" s="346">
        <f t="shared" si="1"/>
        <v>8.042105910582982E-2</v>
      </c>
      <c r="E30" s="202">
        <v>6018019.6391666671</v>
      </c>
      <c r="F30" s="346">
        <f t="shared" si="2"/>
        <v>8.0421059088268451E-2</v>
      </c>
      <c r="G30" s="202">
        <v>1479695.9325000001</v>
      </c>
      <c r="H30" s="346">
        <f t="shared" si="3"/>
        <v>8.0421059110259083E-2</v>
      </c>
      <c r="I30" s="202">
        <v>2494396.9899999998</v>
      </c>
      <c r="J30" s="202">
        <v>1226789.7691666668</v>
      </c>
      <c r="K30" s="202">
        <v>262902.45750000002</v>
      </c>
      <c r="L30" s="203">
        <f t="shared" si="4"/>
        <v>55546694.977929845</v>
      </c>
      <c r="M30" s="236">
        <f>+'COEF Art 14 F I '!AF31*'PART MES'!I$4</f>
        <v>-1928379.8445186908</v>
      </c>
      <c r="N30" s="236">
        <f>+'COEF Art 14 F I '!AF31*'PART MES'!I$5</f>
        <v>-384230.89214531716</v>
      </c>
      <c r="O30" s="236">
        <f>+'COEF Art 14 F I '!AF31*'PART MES'!I$6</f>
        <v>-62003.930113039511</v>
      </c>
      <c r="P30" s="236">
        <f>+'COEF Art 14 F I '!AF31*'PART MES'!I$7</f>
        <v>-1044372.5972509795</v>
      </c>
      <c r="Q30" s="201">
        <f>+'COEF Art 14 F I '!AF31*'PART MES'!I$8</f>
        <v>507432.59958169976</v>
      </c>
      <c r="R30" s="201">
        <f>+'COEF Art 14 F I '!AF31*'PART MES'!I$9</f>
        <v>12580.674158785636</v>
      </c>
      <c r="S30" s="204">
        <f t="shared" si="5"/>
        <v>-2898973.9902875414</v>
      </c>
      <c r="T30" s="205">
        <f t="shared" si="6"/>
        <v>52647720.987642303</v>
      </c>
      <c r="V30" s="340">
        <v>2494396.9899999998</v>
      </c>
      <c r="W30" s="341">
        <f t="shared" si="7"/>
        <v>8.0421059110259083E-2</v>
      </c>
    </row>
    <row r="31" spans="1:23" ht="12.75" customHeight="1">
      <c r="A31" s="200" t="s">
        <v>212</v>
      </c>
      <c r="B31" s="346">
        <f t="shared" si="0"/>
        <v>2.0708092454272318E-3</v>
      </c>
      <c r="C31" s="201">
        <v>1134652.82</v>
      </c>
      <c r="D31" s="346">
        <f t="shared" si="1"/>
        <v>2.0708092438317862E-3</v>
      </c>
      <c r="E31" s="202">
        <v>154961.53416666665</v>
      </c>
      <c r="F31" s="346">
        <f t="shared" si="2"/>
        <v>2.0708092398353966E-3</v>
      </c>
      <c r="G31" s="202">
        <v>38101.5625</v>
      </c>
      <c r="H31" s="346">
        <f t="shared" si="3"/>
        <v>2.0708092524995832E-3</v>
      </c>
      <c r="I31" s="202">
        <v>64229.698333333334</v>
      </c>
      <c r="J31" s="202">
        <v>31589.3325</v>
      </c>
      <c r="K31" s="202">
        <v>6769.63</v>
      </c>
      <c r="L31" s="203">
        <f t="shared" si="4"/>
        <v>1430304.5837124276</v>
      </c>
      <c r="M31" s="236">
        <f>+'COEF Art 14 F I '!AF32*'PART MES'!I$4</f>
        <v>-26869.654020701313</v>
      </c>
      <c r="N31" s="236">
        <f>+'COEF Art 14 F I '!AF32*'PART MES'!I$5</f>
        <v>-5353.7953973932472</v>
      </c>
      <c r="O31" s="236">
        <f>+'COEF Art 14 F I '!AF32*'PART MES'!I$6</f>
        <v>-863.95019881414612</v>
      </c>
      <c r="P31" s="236">
        <f>+'COEF Art 14 F I '!AF32*'PART MES'!I$7</f>
        <v>-14552.07615688345</v>
      </c>
      <c r="Q31" s="201">
        <f>+'COEF Art 14 F I '!AF32*'PART MES'!I$8</f>
        <v>7070.4630253944688</v>
      </c>
      <c r="R31" s="201">
        <f>+'COEF Art 14 F I '!AF32*'PART MES'!I$9</f>
        <v>175.29656460297602</v>
      </c>
      <c r="S31" s="204">
        <f t="shared" si="5"/>
        <v>-40393.716183794713</v>
      </c>
      <c r="T31" s="205">
        <f t="shared" si="6"/>
        <v>1389910.867528633</v>
      </c>
      <c r="V31" s="340">
        <v>64229.698333333334</v>
      </c>
      <c r="W31" s="341">
        <f t="shared" si="7"/>
        <v>2.0708092524995832E-3</v>
      </c>
    </row>
    <row r="32" spans="1:23" ht="12.75" customHeight="1">
      <c r="A32" s="200" t="s">
        <v>27</v>
      </c>
      <c r="B32" s="346">
        <f t="shared" si="0"/>
        <v>3.5645779099368535E-3</v>
      </c>
      <c r="C32" s="201">
        <v>1953129.38</v>
      </c>
      <c r="D32" s="346">
        <f t="shared" si="1"/>
        <v>3.5645779124969176E-3</v>
      </c>
      <c r="E32" s="202">
        <v>266742.32</v>
      </c>
      <c r="F32" s="346">
        <f t="shared" si="2"/>
        <v>3.5645779044372154E-3</v>
      </c>
      <c r="G32" s="202">
        <v>65585.948333333334</v>
      </c>
      <c r="H32" s="346">
        <f t="shared" si="3"/>
        <v>3.5645779025248567E-3</v>
      </c>
      <c r="I32" s="202">
        <v>110561.49333333333</v>
      </c>
      <c r="J32" s="202">
        <v>54376.151666666665</v>
      </c>
      <c r="K32" s="202">
        <v>11652.871666666666</v>
      </c>
      <c r="L32" s="203">
        <f t="shared" si="4"/>
        <v>2462048.1756937336</v>
      </c>
      <c r="M32" s="236">
        <f>+'COEF Art 14 F I '!AF33*'PART MES'!I$4</f>
        <v>-51020.699004347152</v>
      </c>
      <c r="N32" s="236">
        <f>+'COEF Art 14 F I '!AF33*'PART MES'!I$5</f>
        <v>-10165.906240951686</v>
      </c>
      <c r="O32" s="236">
        <f>+'COEF Art 14 F I '!AF33*'PART MES'!I$6</f>
        <v>-1640.4879279235295</v>
      </c>
      <c r="P32" s="236">
        <f>+'COEF Art 14 F I '!AF33*'PART MES'!I$7</f>
        <v>-27631.807127723812</v>
      </c>
      <c r="Q32" s="201">
        <f>+'COEF Art 14 F I '!AF33*'PART MES'!I$8</f>
        <v>13425.553063023825</v>
      </c>
      <c r="R32" s="201">
        <f>+'COEF Art 14 F I '!AF33*'PART MES'!I$9</f>
        <v>332.85703091725549</v>
      </c>
      <c r="S32" s="204">
        <f t="shared" si="5"/>
        <v>-76700.490207005103</v>
      </c>
      <c r="T32" s="205">
        <f t="shared" si="6"/>
        <v>2385347.6854867283</v>
      </c>
      <c r="V32" s="340">
        <v>110561.49333333333</v>
      </c>
      <c r="W32" s="341">
        <f t="shared" si="7"/>
        <v>3.5645779025248567E-3</v>
      </c>
    </row>
    <row r="33" spans="1:23" ht="12.75" customHeight="1">
      <c r="A33" s="200" t="s">
        <v>28</v>
      </c>
      <c r="B33" s="346">
        <f t="shared" si="0"/>
        <v>2.045796338559747E-3</v>
      </c>
      <c r="C33" s="201">
        <v>1120947.5666666667</v>
      </c>
      <c r="D33" s="346">
        <f t="shared" si="1"/>
        <v>2.0457963337011491E-3</v>
      </c>
      <c r="E33" s="202">
        <v>153089.78333333333</v>
      </c>
      <c r="F33" s="346">
        <f t="shared" si="2"/>
        <v>2.0457963212784269E-3</v>
      </c>
      <c r="G33" s="202">
        <v>37641.340833333335</v>
      </c>
      <c r="H33" s="346">
        <f t="shared" si="3"/>
        <v>2.0457963406439513E-3</v>
      </c>
      <c r="I33" s="202">
        <v>63453.880000000005</v>
      </c>
      <c r="J33" s="202">
        <v>31207.771666666667</v>
      </c>
      <c r="K33" s="202">
        <v>6687.8616666666667</v>
      </c>
      <c r="L33" s="203">
        <f t="shared" si="4"/>
        <v>1413028.2103040554</v>
      </c>
      <c r="M33" s="236">
        <f>+'COEF Art 14 F I '!AF34*'PART MES'!I$4</f>
        <v>-38540.661343238186</v>
      </c>
      <c r="N33" s="236">
        <f>+'COEF Art 14 F I '!AF34*'PART MES'!I$5</f>
        <v>-7679.2509182645181</v>
      </c>
      <c r="O33" s="236">
        <f>+'COEF Art 14 F I '!AF34*'PART MES'!I$6</f>
        <v>-1239.212533375606</v>
      </c>
      <c r="P33" s="236">
        <f>+'COEF Art 14 F I '!AF34*'PART MES'!I$7</f>
        <v>-20872.864182447618</v>
      </c>
      <c r="Q33" s="201">
        <f>+'COEF Art 14 F I '!AF34*'PART MES'!I$8</f>
        <v>10141.564189537827</v>
      </c>
      <c r="R33" s="201">
        <f>+'COEF Art 14 F I '!AF34*'PART MES'!I$9</f>
        <v>251.43775672702304</v>
      </c>
      <c r="S33" s="204">
        <f t="shared" si="5"/>
        <v>-57938.987031061071</v>
      </c>
      <c r="T33" s="205">
        <f t="shared" si="6"/>
        <v>1355089.2232729944</v>
      </c>
      <c r="V33" s="340">
        <v>63453.880000000005</v>
      </c>
      <c r="W33" s="341">
        <f t="shared" si="7"/>
        <v>2.0457963406439513E-3</v>
      </c>
    </row>
    <row r="34" spans="1:23" ht="12.75" customHeight="1">
      <c r="A34" s="200" t="s">
        <v>29</v>
      </c>
      <c r="B34" s="346">
        <f t="shared" si="0"/>
        <v>2.8536600265404799E-3</v>
      </c>
      <c r="C34" s="201">
        <v>1563598.0975000001</v>
      </c>
      <c r="D34" s="346">
        <f t="shared" si="1"/>
        <v>2.8536600299820152E-3</v>
      </c>
      <c r="E34" s="202">
        <v>213543.34666666668</v>
      </c>
      <c r="F34" s="346">
        <f t="shared" si="2"/>
        <v>2.8536600199615442E-3</v>
      </c>
      <c r="G34" s="202">
        <v>52505.515000000007</v>
      </c>
      <c r="H34" s="346">
        <f t="shared" si="3"/>
        <v>2.8536600191324808E-3</v>
      </c>
      <c r="I34" s="202">
        <v>88511.156666666662</v>
      </c>
      <c r="J34" s="202">
        <v>43531.395833333336</v>
      </c>
      <c r="K34" s="202">
        <v>9328.8283333333329</v>
      </c>
      <c r="L34" s="203">
        <f t="shared" si="4"/>
        <v>1971018.3485609801</v>
      </c>
      <c r="M34" s="236">
        <f>+'COEF Art 14 F I '!AF35*'PART MES'!I$4</f>
        <v>-45047.847114344724</v>
      </c>
      <c r="N34" s="236">
        <f>+'COEF Art 14 F I '!AF35*'PART MES'!I$5</f>
        <v>-8975.8117598924928</v>
      </c>
      <c r="O34" s="236">
        <f>+'COEF Art 14 F I '!AF35*'PART MES'!I$6</f>
        <v>-1448.4405508386064</v>
      </c>
      <c r="P34" s="236">
        <f>+'COEF Art 14 F I '!AF35*'PART MES'!I$7</f>
        <v>-24397.028015564927</v>
      </c>
      <c r="Q34" s="201">
        <f>+'COEF Art 14 F I '!AF35*'PART MES'!I$8</f>
        <v>11853.86075869108</v>
      </c>
      <c r="R34" s="201">
        <f>+'COEF Art 14 F I '!AF35*'PART MES'!I$9</f>
        <v>293.89038042026147</v>
      </c>
      <c r="S34" s="204">
        <f t="shared" si="5"/>
        <v>-67721.37630152941</v>
      </c>
      <c r="T34" s="205">
        <f t="shared" si="6"/>
        <v>1903296.9722594507</v>
      </c>
      <c r="V34" s="340">
        <v>88511.156666666662</v>
      </c>
      <c r="W34" s="341">
        <f t="shared" si="7"/>
        <v>2.8536600191324808E-3</v>
      </c>
    </row>
    <row r="35" spans="1:23" ht="12.75" customHeight="1">
      <c r="A35" s="200" t="s">
        <v>30</v>
      </c>
      <c r="B35" s="346">
        <f t="shared" si="0"/>
        <v>2.7195745105938825E-3</v>
      </c>
      <c r="C35" s="201">
        <v>1490128.9891666668</v>
      </c>
      <c r="D35" s="346">
        <f t="shared" si="1"/>
        <v>2.7195745100998207E-3</v>
      </c>
      <c r="E35" s="202">
        <v>203509.54083333336</v>
      </c>
      <c r="F35" s="346">
        <f t="shared" si="2"/>
        <v>2.7195745060017837E-3</v>
      </c>
      <c r="G35" s="202">
        <v>50038.427499999998</v>
      </c>
      <c r="H35" s="346">
        <f t="shared" si="3"/>
        <v>2.7195745171458207E-3</v>
      </c>
      <c r="I35" s="202">
        <v>84352.264999999999</v>
      </c>
      <c r="J35" s="202">
        <v>41485.976666666662</v>
      </c>
      <c r="K35" s="202">
        <v>8890.4925000000003</v>
      </c>
      <c r="L35" s="203">
        <f t="shared" si="4"/>
        <v>1878405.6998253902</v>
      </c>
      <c r="M35" s="236">
        <f>+'COEF Art 14 F I '!AF36*'PART MES'!I$4</f>
        <v>-46997.121449726408</v>
      </c>
      <c r="N35" s="236">
        <f>+'COEF Art 14 F I '!AF36*'PART MES'!I$5</f>
        <v>-9364.2058924326066</v>
      </c>
      <c r="O35" s="236">
        <f>+'COEF Art 14 F I '!AF36*'PART MES'!I$6</f>
        <v>-1511.116309458306</v>
      </c>
      <c r="P35" s="236">
        <f>+'COEF Art 14 F I '!AF36*'PART MES'!I$7</f>
        <v>-25452.7166581235</v>
      </c>
      <c r="Q35" s="201">
        <f>+'COEF Art 14 F I '!AF36*'PART MES'!I$8</f>
        <v>12366.791520808383</v>
      </c>
      <c r="R35" s="201">
        <f>+'COEF Art 14 F I '!AF36*'PART MES'!I$9</f>
        <v>306.60736941453359</v>
      </c>
      <c r="S35" s="204">
        <f t="shared" si="5"/>
        <v>-70651.76141951789</v>
      </c>
      <c r="T35" s="205">
        <f t="shared" si="6"/>
        <v>1807753.9384058723</v>
      </c>
      <c r="V35" s="340">
        <v>84352.264999999999</v>
      </c>
      <c r="W35" s="341">
        <f t="shared" si="7"/>
        <v>2.7195745171458207E-3</v>
      </c>
    </row>
    <row r="36" spans="1:23" ht="12.75" customHeight="1">
      <c r="A36" s="200" t="s">
        <v>242</v>
      </c>
      <c r="B36" s="346">
        <f t="shared" si="0"/>
        <v>2.522123925925621E-2</v>
      </c>
      <c r="C36" s="201">
        <v>13819404.328333333</v>
      </c>
      <c r="D36" s="346">
        <f t="shared" si="1"/>
        <v>2.5221239260040482E-2</v>
      </c>
      <c r="E36" s="202">
        <v>1887340.3916666666</v>
      </c>
      <c r="F36" s="346">
        <f t="shared" si="2"/>
        <v>2.5221239265995142E-2</v>
      </c>
      <c r="G36" s="202">
        <v>464054.63416666671</v>
      </c>
      <c r="H36" s="346">
        <f t="shared" si="3"/>
        <v>2.5221239264739653E-2</v>
      </c>
      <c r="I36" s="202">
        <v>782279.96499999997</v>
      </c>
      <c r="J36" s="202">
        <v>384739.5025</v>
      </c>
      <c r="K36" s="202">
        <v>82450.117500000008</v>
      </c>
      <c r="L36" s="203">
        <f t="shared" si="4"/>
        <v>17420269.014830388</v>
      </c>
      <c r="M36" s="236">
        <f>+'COEF Art 14 F I '!AF37*'PART MES'!I$4</f>
        <v>-1403985.0426859721</v>
      </c>
      <c r="N36" s="236">
        <f>+'COEF Art 14 F I '!AF37*'PART MES'!I$5</f>
        <v>-279744.89934816549</v>
      </c>
      <c r="O36" s="236">
        <f>+'COEF Art 14 F I '!AF37*'PART MES'!I$6</f>
        <v>-45142.86472859369</v>
      </c>
      <c r="P36" s="236">
        <f>+'COEF Art 14 F I '!AF37*'PART MES'!I$7</f>
        <v>-760370.68614842801</v>
      </c>
      <c r="Q36" s="201">
        <f>+'COEF Art 14 F I '!AF37*'PART MES'!I$8</f>
        <v>369443.69752100529</v>
      </c>
      <c r="R36" s="201">
        <f>+'COEF Art 14 F I '!AF37*'PART MES'!I$9</f>
        <v>9159.5431242694449</v>
      </c>
      <c r="S36" s="204">
        <f t="shared" si="5"/>
        <v>-2110640.2522658845</v>
      </c>
      <c r="T36" s="205">
        <f t="shared" si="6"/>
        <v>15309628.762564503</v>
      </c>
      <c r="V36" s="340">
        <v>782279.96499999997</v>
      </c>
      <c r="W36" s="341">
        <f t="shared" si="7"/>
        <v>2.5221239264739653E-2</v>
      </c>
    </row>
    <row r="37" spans="1:23" ht="12.75" customHeight="1">
      <c r="A37" s="200" t="s">
        <v>32</v>
      </c>
      <c r="B37" s="346">
        <f t="shared" si="0"/>
        <v>4.8624005988842384E-3</v>
      </c>
      <c r="C37" s="201">
        <v>2664241.8000000003</v>
      </c>
      <c r="D37" s="346">
        <f t="shared" si="1"/>
        <v>4.8624006018403937E-3</v>
      </c>
      <c r="E37" s="202">
        <v>363860.1958333333</v>
      </c>
      <c r="F37" s="346">
        <f t="shared" si="2"/>
        <v>4.862400611804504E-3</v>
      </c>
      <c r="G37" s="202">
        <v>89465.054166666654</v>
      </c>
      <c r="H37" s="346">
        <f t="shared" si="3"/>
        <v>4.8624005861269944E-3</v>
      </c>
      <c r="I37" s="202">
        <v>150815.68833333332</v>
      </c>
      <c r="J37" s="202">
        <v>74173.896666666667</v>
      </c>
      <c r="K37" s="202">
        <v>15895.551666666666</v>
      </c>
      <c r="L37" s="203">
        <f t="shared" si="4"/>
        <v>3358452.2012538691</v>
      </c>
      <c r="M37" s="236">
        <f>+'COEF Art 14 F I '!AF38*'PART MES'!I$4</f>
        <v>-111757.15073828507</v>
      </c>
      <c r="N37" s="236">
        <f>+'COEF Art 14 F I '!AF38*'PART MES'!I$5</f>
        <v>-22267.682300168202</v>
      </c>
      <c r="O37" s="236">
        <f>+'COEF Art 14 F I '!AF38*'PART MES'!I$6</f>
        <v>-3593.3701462942695</v>
      </c>
      <c r="P37" s="236">
        <f>+'COEF Art 14 F I '!AF38*'PART MES'!I$7</f>
        <v>-60525.474848573445</v>
      </c>
      <c r="Q37" s="201">
        <f>+'COEF Art 14 F I '!AF38*'PART MES'!I$8</f>
        <v>29407.702887045092</v>
      </c>
      <c r="R37" s="201">
        <f>+'COEF Art 14 F I '!AF38*'PART MES'!I$9</f>
        <v>729.09924999946065</v>
      </c>
      <c r="S37" s="204">
        <f t="shared" si="5"/>
        <v>-168006.87589627644</v>
      </c>
      <c r="T37" s="205">
        <f t="shared" si="6"/>
        <v>3190445.3253575927</v>
      </c>
      <c r="V37" s="340">
        <v>150815.68833333332</v>
      </c>
      <c r="W37" s="341">
        <f t="shared" si="7"/>
        <v>4.8624005861269944E-3</v>
      </c>
    </row>
    <row r="38" spans="1:23" s="1" customFormat="1" ht="12.75" customHeight="1">
      <c r="A38" s="200" t="s">
        <v>33</v>
      </c>
      <c r="B38" s="346">
        <f t="shared" si="0"/>
        <v>1.7827541222552108E-2</v>
      </c>
      <c r="C38" s="201">
        <v>9768195.6783333328</v>
      </c>
      <c r="D38" s="346">
        <f t="shared" si="1"/>
        <v>1.7827541220030194E-2</v>
      </c>
      <c r="E38" s="202">
        <v>1334059.69</v>
      </c>
      <c r="F38" s="346">
        <f t="shared" si="2"/>
        <v>1.7827541224107457E-2</v>
      </c>
      <c r="G38" s="202">
        <v>328015.33</v>
      </c>
      <c r="H38" s="346">
        <f t="shared" si="3"/>
        <v>1.7827541225031125E-2</v>
      </c>
      <c r="I38" s="202">
        <v>552951.74749999994</v>
      </c>
      <c r="J38" s="202">
        <v>271951.71833333332</v>
      </c>
      <c r="K38" s="202">
        <v>58279.565833333334</v>
      </c>
      <c r="L38" s="203">
        <f t="shared" si="4"/>
        <v>12313453.783482622</v>
      </c>
      <c r="M38" s="236">
        <f>+'COEF Art 14 F I '!AF39*'PART MES'!I$4</f>
        <v>-312799.45497573714</v>
      </c>
      <c r="N38" s="236">
        <f>+'COEF Art 14 F I '!AF39*'PART MES'!I$5</f>
        <v>-62325.487371962379</v>
      </c>
      <c r="O38" s="236">
        <f>+'COEF Art 14 F I '!AF39*'PART MES'!I$6</f>
        <v>-10057.559770104965</v>
      </c>
      <c r="P38" s="236">
        <f>+'COEF Art 14 F I '!AF39*'PART MES'!I$7</f>
        <v>-169406.03281053173</v>
      </c>
      <c r="Q38" s="201">
        <f>+'COEF Art 14 F I '!AF39*'PART MES'!I$8</f>
        <v>82309.842138851862</v>
      </c>
      <c r="R38" s="201">
        <f>+'COEF Art 14 F I '!AF39*'PART MES'!I$9</f>
        <v>2040.6913250421835</v>
      </c>
      <c r="S38" s="204">
        <f t="shared" si="5"/>
        <v>-470238.00146444223</v>
      </c>
      <c r="T38" s="205">
        <f t="shared" si="6"/>
        <v>11843215.782018181</v>
      </c>
      <c r="V38" s="340">
        <v>552951.74749999994</v>
      </c>
      <c r="W38" s="341">
        <f t="shared" si="7"/>
        <v>1.7827541225031125E-2</v>
      </c>
    </row>
    <row r="39" spans="1:23" ht="12.75" customHeight="1">
      <c r="A39" s="200" t="s">
        <v>243</v>
      </c>
      <c r="B39" s="346">
        <f t="shared" si="0"/>
        <v>3.8037956441703239E-3</v>
      </c>
      <c r="C39" s="201">
        <v>2084203.2958333334</v>
      </c>
      <c r="D39" s="346">
        <f t="shared" si="1"/>
        <v>3.8037956391355618E-3</v>
      </c>
      <c r="E39" s="202">
        <v>284643.315</v>
      </c>
      <c r="F39" s="346">
        <f t="shared" si="2"/>
        <v>3.8037956591256469E-3</v>
      </c>
      <c r="G39" s="202">
        <v>69987.401666666658</v>
      </c>
      <c r="H39" s="346">
        <f t="shared" si="3"/>
        <v>3.8037956460077195E-3</v>
      </c>
      <c r="I39" s="202">
        <v>117981.24166666665</v>
      </c>
      <c r="J39" s="202">
        <v>58025.318333333329</v>
      </c>
      <c r="K39" s="202">
        <v>12434.8925</v>
      </c>
      <c r="L39" s="203">
        <f t="shared" si="4"/>
        <v>2627275.4764113873</v>
      </c>
      <c r="M39" s="236">
        <f>+'COEF Art 14 F I '!AF40*'PART MES'!I$4</f>
        <v>-56909.562405211815</v>
      </c>
      <c r="N39" s="236">
        <f>+'COEF Art 14 F I '!AF40*'PART MES'!I$5</f>
        <v>-11339.265962931608</v>
      </c>
      <c r="O39" s="236">
        <f>+'COEF Art 14 F I '!AF40*'PART MES'!I$6</f>
        <v>-1829.834791193397</v>
      </c>
      <c r="P39" s="236">
        <f>+'COEF Art 14 F I '!AF40*'PART MES'!I$7</f>
        <v>-30821.099726014945</v>
      </c>
      <c r="Q39" s="201">
        <f>+'COEF Art 14 F I '!AF40*'PART MES'!I$8</f>
        <v>14975.144691756139</v>
      </c>
      <c r="R39" s="201">
        <f>+'COEF Art 14 F I '!AF40*'PART MES'!I$9</f>
        <v>371.27574381889747</v>
      </c>
      <c r="S39" s="204">
        <f t="shared" si="5"/>
        <v>-85553.342449776726</v>
      </c>
      <c r="T39" s="205">
        <f t="shared" si="6"/>
        <v>2541722.1339616105</v>
      </c>
      <c r="V39" s="340">
        <v>117981.24166666665</v>
      </c>
      <c r="W39" s="341">
        <f t="shared" si="7"/>
        <v>3.8037956460077195E-3</v>
      </c>
    </row>
    <row r="40" spans="1:23" ht="12.75" customHeight="1">
      <c r="A40" s="200" t="s">
        <v>35</v>
      </c>
      <c r="B40" s="346">
        <f t="shared" si="0"/>
        <v>3.6562210002390257E-3</v>
      </c>
      <c r="C40" s="201">
        <v>2003343.1266666667</v>
      </c>
      <c r="D40" s="346">
        <f t="shared" si="1"/>
        <v>3.6562210050394253E-3</v>
      </c>
      <c r="E40" s="202">
        <v>273600.10000000003</v>
      </c>
      <c r="F40" s="346">
        <f t="shared" si="2"/>
        <v>3.6562209976648244E-3</v>
      </c>
      <c r="G40" s="202">
        <v>67272.122499999998</v>
      </c>
      <c r="H40" s="346">
        <f t="shared" si="3"/>
        <v>3.6562209921184221E-3</v>
      </c>
      <c r="I40" s="202">
        <v>113403.96083333333</v>
      </c>
      <c r="J40" s="202">
        <v>55774.129166666673</v>
      </c>
      <c r="K40" s="202">
        <v>11952.46</v>
      </c>
      <c r="L40" s="203">
        <f t="shared" si="4"/>
        <v>2525345.9101353302</v>
      </c>
      <c r="M40" s="236">
        <f>+'COEF Art 14 F I '!AF41*'PART MES'!I$4</f>
        <v>-10427.569977208059</v>
      </c>
      <c r="N40" s="236">
        <f>+'COEF Art 14 F I '!AF41*'PART MES'!I$5</f>
        <v>-2077.6998508042348</v>
      </c>
      <c r="O40" s="236">
        <f>+'COEF Art 14 F I '!AF41*'PART MES'!I$6</f>
        <v>-335.28162096975848</v>
      </c>
      <c r="P40" s="236">
        <f>+'COEF Art 14 F I '!AF41*'PART MES'!I$7</f>
        <v>-5647.3668147217377</v>
      </c>
      <c r="Q40" s="201">
        <f>+'COEF Art 14 F I '!AF41*'PART MES'!I$8</f>
        <v>2743.9038817455789</v>
      </c>
      <c r="R40" s="201">
        <f>+'COEF Art 14 F I '!AF41*'PART MES'!I$9</f>
        <v>68.02905585436325</v>
      </c>
      <c r="S40" s="204">
        <f t="shared" si="5"/>
        <v>-15675.985326103846</v>
      </c>
      <c r="T40" s="205">
        <f t="shared" si="6"/>
        <v>2509669.9248092263</v>
      </c>
      <c r="V40" s="340">
        <v>113403.96083333333</v>
      </c>
      <c r="W40" s="341">
        <f t="shared" si="7"/>
        <v>3.6562209921184221E-3</v>
      </c>
    </row>
    <row r="41" spans="1:23" ht="12.75" customHeight="1">
      <c r="A41" s="200" t="s">
        <v>36</v>
      </c>
      <c r="B41" s="346">
        <f t="shared" si="0"/>
        <v>3.9344779604671204E-3</v>
      </c>
      <c r="C41" s="201">
        <v>2155807.6983333332</v>
      </c>
      <c r="D41" s="346">
        <f t="shared" si="1"/>
        <v>3.9344779637371288E-3</v>
      </c>
      <c r="E41" s="202">
        <v>294422.45500000002</v>
      </c>
      <c r="F41" s="346">
        <f t="shared" si="2"/>
        <v>3.934477974807094E-3</v>
      </c>
      <c r="G41" s="202">
        <v>72391.872499999998</v>
      </c>
      <c r="H41" s="346">
        <f t="shared" si="3"/>
        <v>3.9344779559820561E-3</v>
      </c>
      <c r="I41" s="202">
        <v>122034.5775</v>
      </c>
      <c r="J41" s="202">
        <v>60018.823333333334</v>
      </c>
      <c r="K41" s="202">
        <v>12862.102500000001</v>
      </c>
      <c r="L41" s="203">
        <f t="shared" si="4"/>
        <v>2717537.5409701006</v>
      </c>
      <c r="M41" s="236">
        <f>+'COEF Art 14 F I '!AF42*'PART MES'!I$4</f>
        <v>-81208.205884178213</v>
      </c>
      <c r="N41" s="236">
        <f>+'COEF Art 14 F I '!AF42*'PART MES'!I$5</f>
        <v>-16180.785899152743</v>
      </c>
      <c r="O41" s="236">
        <f>+'COEF Art 14 F I '!AF42*'PART MES'!I$6</f>
        <v>-2611.1183108246319</v>
      </c>
      <c r="P41" s="236">
        <f>+'COEF Art 14 F I '!AF42*'PART MES'!I$7</f>
        <v>-43980.767139017589</v>
      </c>
      <c r="Q41" s="201">
        <f>+'COEF Art 14 F I '!AF42*'PART MES'!I$8</f>
        <v>21369.073700031113</v>
      </c>
      <c r="R41" s="201">
        <f>+'COEF Art 14 F I '!AF42*'PART MES'!I$9</f>
        <v>529.79913690366413</v>
      </c>
      <c r="S41" s="204">
        <f t="shared" si="5"/>
        <v>-122082.00439623839</v>
      </c>
      <c r="T41" s="205">
        <f t="shared" si="6"/>
        <v>2595455.5365738622</v>
      </c>
      <c r="V41" s="340">
        <v>122034.5775</v>
      </c>
      <c r="W41" s="341">
        <f t="shared" si="7"/>
        <v>3.9344779559820561E-3</v>
      </c>
    </row>
    <row r="42" spans="1:23" ht="12.75" customHeight="1">
      <c r="A42" s="200" t="s">
        <v>37</v>
      </c>
      <c r="B42" s="346">
        <f t="shared" si="0"/>
        <v>5.4073805596657433E-3</v>
      </c>
      <c r="C42" s="201">
        <v>2962851.1724999999</v>
      </c>
      <c r="D42" s="346">
        <f t="shared" si="1"/>
        <v>5.407380556017213E-3</v>
      </c>
      <c r="E42" s="202">
        <v>404641.80333333329</v>
      </c>
      <c r="F42" s="346">
        <f t="shared" si="2"/>
        <v>5.4073805591692723E-3</v>
      </c>
      <c r="G42" s="202">
        <v>99492.335833333331</v>
      </c>
      <c r="H42" s="346">
        <f t="shared" si="3"/>
        <v>5.4073805712193338E-3</v>
      </c>
      <c r="I42" s="202">
        <v>167719.17666666667</v>
      </c>
      <c r="J42" s="202">
        <v>82487.339166666658</v>
      </c>
      <c r="K42" s="202">
        <v>17677.131666666664</v>
      </c>
      <c r="L42" s="203">
        <f t="shared" si="4"/>
        <v>3734868.9753888082</v>
      </c>
      <c r="M42" s="236">
        <f>+'COEF Art 14 F I '!AF43*'PART MES'!I$4</f>
        <v>-106036.71600323125</v>
      </c>
      <c r="N42" s="236">
        <f>+'COEF Art 14 F I '!AF43*'PART MES'!I$5</f>
        <v>-21127.882095371213</v>
      </c>
      <c r="O42" s="236">
        <f>+'COEF Art 14 F I '!AF43*'PART MES'!I$6</f>
        <v>-3409.4388339355223</v>
      </c>
      <c r="P42" s="236">
        <f>+'COEF Art 14 F I '!AF43*'PART MES'!I$7</f>
        <v>-57427.399903103353</v>
      </c>
      <c r="Q42" s="201">
        <f>+'COEF Art 14 F I '!AF43*'PART MES'!I$8</f>
        <v>27902.431466273574</v>
      </c>
      <c r="R42" s="201">
        <f>+'COEF Art 14 F I '!AF43*'PART MES'!I$9</f>
        <v>691.77935908021402</v>
      </c>
      <c r="S42" s="204">
        <f t="shared" si="5"/>
        <v>-159407.22601028753</v>
      </c>
      <c r="T42" s="205">
        <f t="shared" si="6"/>
        <v>3575461.7493785205</v>
      </c>
      <c r="V42" s="340">
        <v>167719.17666666667</v>
      </c>
      <c r="W42" s="341">
        <f t="shared" si="7"/>
        <v>5.4073805712193338E-3</v>
      </c>
    </row>
    <row r="43" spans="1:23" s="1" customFormat="1" ht="12.75" customHeight="1">
      <c r="A43" s="200" t="s">
        <v>38</v>
      </c>
      <c r="B43" s="346">
        <f t="shared" si="0"/>
        <v>1.2686214131127917E-2</v>
      </c>
      <c r="C43" s="201">
        <v>6951122.4516666671</v>
      </c>
      <c r="D43" s="346">
        <f t="shared" si="1"/>
        <v>1.2686214132083101E-2</v>
      </c>
      <c r="E43" s="202">
        <v>949327.03749999998</v>
      </c>
      <c r="F43" s="346">
        <f t="shared" si="2"/>
        <v>1.2686214137197546E-2</v>
      </c>
      <c r="G43" s="202">
        <v>233418.20750000002</v>
      </c>
      <c r="H43" s="346">
        <f t="shared" si="3"/>
        <v>1.2686214143552841E-2</v>
      </c>
      <c r="I43" s="202">
        <v>393484.67583333334</v>
      </c>
      <c r="J43" s="202">
        <v>193522.91416666668</v>
      </c>
      <c r="K43" s="202">
        <v>41472.183333333334</v>
      </c>
      <c r="L43" s="203">
        <f t="shared" si="4"/>
        <v>8762347.5080586448</v>
      </c>
      <c r="M43" s="236">
        <f>+'COEF Art 14 F I '!AF44*'PART MES'!I$4</f>
        <v>-242835.72557870703</v>
      </c>
      <c r="N43" s="236">
        <f>+'COEF Art 14 F I '!AF44*'PART MES'!I$5</f>
        <v>-48385.170457509237</v>
      </c>
      <c r="O43" s="236">
        <f>+'COEF Art 14 F I '!AF44*'PART MES'!I$6</f>
        <v>-7807.9893857682628</v>
      </c>
      <c r="P43" s="236">
        <f>+'COEF Art 14 F I '!AF44*'PART MES'!I$7</f>
        <v>-131515.05298545567</v>
      </c>
      <c r="Q43" s="201">
        <f>+'COEF Art 14 F I '!AF44*'PART MES'!I$8</f>
        <v>63899.632560444574</v>
      </c>
      <c r="R43" s="201">
        <f>+'COEF Art 14 F I '!AF44*'PART MES'!I$9</f>
        <v>1584.2507098908793</v>
      </c>
      <c r="S43" s="204">
        <f t="shared" si="5"/>
        <v>-365060.05513710476</v>
      </c>
      <c r="T43" s="205">
        <f t="shared" si="6"/>
        <v>8397287.4529215395</v>
      </c>
      <c r="V43" s="340">
        <v>393484.67583333334</v>
      </c>
      <c r="W43" s="341">
        <f t="shared" si="7"/>
        <v>1.2686214143552841E-2</v>
      </c>
    </row>
    <row r="44" spans="1:23" ht="12.75" customHeight="1">
      <c r="A44" s="200" t="s">
        <v>39</v>
      </c>
      <c r="B44" s="346">
        <f t="shared" si="0"/>
        <v>0.26254387381838923</v>
      </c>
      <c r="C44" s="201">
        <v>143854943.40416667</v>
      </c>
      <c r="D44" s="346">
        <f t="shared" si="1"/>
        <v>0.26254387382378169</v>
      </c>
      <c r="E44" s="202">
        <v>19646523.017500002</v>
      </c>
      <c r="F44" s="346">
        <f t="shared" si="2"/>
        <v>0.26254387380665273</v>
      </c>
      <c r="G44" s="202">
        <v>4830638.9716666667</v>
      </c>
      <c r="H44" s="346">
        <f t="shared" si="3"/>
        <v>0.26254387384492123</v>
      </c>
      <c r="I44" s="202">
        <v>8143248.2474999996</v>
      </c>
      <c r="J44" s="202">
        <v>4004997.4716666662</v>
      </c>
      <c r="K44" s="202">
        <v>858275.56166666665</v>
      </c>
      <c r="L44" s="203">
        <f t="shared" si="4"/>
        <v>181338627.46179834</v>
      </c>
      <c r="M44" s="236">
        <f>+'COEF Art 14 F I '!AF45*'PART MES'!I$4</f>
        <v>-8295731.8760363897</v>
      </c>
      <c r="N44" s="236">
        <f>+'COEF Art 14 F I '!AF45*'PART MES'!I$5</f>
        <v>-1652929.7735547416</v>
      </c>
      <c r="O44" s="236">
        <f>+'COEF Art 14 F I '!AF45*'PART MES'!I$6</f>
        <v>-266735.82019659452</v>
      </c>
      <c r="P44" s="236">
        <f>+'COEF Art 14 F I '!AF45*'PART MES'!I$7</f>
        <v>-4492805.2271964569</v>
      </c>
      <c r="Q44" s="201">
        <f>+'COEF Art 14 F I '!AF45*'PART MES'!I$8</f>
        <v>2182933.4107879465</v>
      </c>
      <c r="R44" s="201">
        <f>+'COEF Art 14 F I '!AF45*'PART MES'!I$9</f>
        <v>54121.028042125297</v>
      </c>
      <c r="S44" s="204">
        <f t="shared" si="5"/>
        <v>-12471148.258154111</v>
      </c>
      <c r="T44" s="205">
        <f t="shared" si="6"/>
        <v>168867479.20364422</v>
      </c>
      <c r="V44" s="340">
        <v>8143248.2474999996</v>
      </c>
      <c r="W44" s="341">
        <f t="shared" si="7"/>
        <v>0.26254387384492123</v>
      </c>
    </row>
    <row r="45" spans="1:23" ht="12.75" customHeight="1">
      <c r="A45" s="200" t="s">
        <v>244</v>
      </c>
      <c r="B45" s="346">
        <f t="shared" si="0"/>
        <v>1.394574012118E-3</v>
      </c>
      <c r="C45" s="201">
        <v>764125.10666666657</v>
      </c>
      <c r="D45" s="346">
        <f t="shared" si="1"/>
        <v>1.3945740103081671E-3</v>
      </c>
      <c r="E45" s="202">
        <v>104357.91166666667</v>
      </c>
      <c r="F45" s="346">
        <f t="shared" si="2"/>
        <v>1.3945739948698454E-3</v>
      </c>
      <c r="G45" s="202">
        <v>25659.267500000002</v>
      </c>
      <c r="H45" s="346">
        <f t="shared" si="3"/>
        <v>1.394574013653843E-3</v>
      </c>
      <c r="I45" s="202">
        <v>43255.103333333333</v>
      </c>
      <c r="J45" s="202">
        <v>21273.645833333332</v>
      </c>
      <c r="K45" s="202">
        <v>4558.9666666666662</v>
      </c>
      <c r="L45" s="203">
        <f t="shared" si="4"/>
        <v>963230.00585038867</v>
      </c>
      <c r="M45" s="236">
        <f>+'COEF Art 14 F I '!AF46*'PART MES'!I$4</f>
        <v>-53317.103415738558</v>
      </c>
      <c r="N45" s="236">
        <f>+'COEF Art 14 F I '!AF46*'PART MES'!I$5</f>
        <v>-10623.466258612827</v>
      </c>
      <c r="O45" s="236">
        <f>+'COEF Art 14 F I '!AF46*'PART MES'!I$6</f>
        <v>-1714.3250918204208</v>
      </c>
      <c r="P45" s="236">
        <f>+'COEF Art 14 F I '!AF46*'PART MES'!I$7</f>
        <v>-28875.494592245122</v>
      </c>
      <c r="Q45" s="201">
        <f>+'COEF Art 14 F I '!AF46*'PART MES'!I$8</f>
        <v>14029.82740424111</v>
      </c>
      <c r="R45" s="201">
        <f>+'COEF Art 14 F I '!AF46*'PART MES'!I$9</f>
        <v>347.83868285612647</v>
      </c>
      <c r="S45" s="204">
        <f t="shared" si="5"/>
        <v>-80152.723271319701</v>
      </c>
      <c r="T45" s="205">
        <f t="shared" si="6"/>
        <v>883077.28257906903</v>
      </c>
      <c r="V45" s="340">
        <v>43255.103333333333</v>
      </c>
      <c r="W45" s="341">
        <f t="shared" si="7"/>
        <v>1.394574013653843E-3</v>
      </c>
    </row>
    <row r="46" spans="1:23" s="1" customFormat="1" ht="12.75" customHeight="1">
      <c r="A46" s="200" t="s">
        <v>245</v>
      </c>
      <c r="B46" s="346">
        <f t="shared" si="0"/>
        <v>5.8189583540360574E-3</v>
      </c>
      <c r="C46" s="201">
        <v>3188365.8625000003</v>
      </c>
      <c r="D46" s="346">
        <f t="shared" si="1"/>
        <v>5.8189583488149777E-3</v>
      </c>
      <c r="E46" s="202">
        <v>435440.7416666667</v>
      </c>
      <c r="F46" s="346">
        <f t="shared" si="2"/>
        <v>5.8189583497159246E-3</v>
      </c>
      <c r="G46" s="202">
        <v>107065.10333333333</v>
      </c>
      <c r="H46" s="346">
        <f t="shared" si="3"/>
        <v>5.8189583418368149E-3</v>
      </c>
      <c r="I46" s="202">
        <v>180484.96666666667</v>
      </c>
      <c r="J46" s="202">
        <v>88765.786666666667</v>
      </c>
      <c r="K46" s="202">
        <v>19022.61</v>
      </c>
      <c r="L46" s="203">
        <f t="shared" si="4"/>
        <v>4019145.088290209</v>
      </c>
      <c r="M46" s="236">
        <f>+'COEF Art 14 F I '!AF47*'PART MES'!I$4</f>
        <v>-390711.2288110574</v>
      </c>
      <c r="N46" s="236">
        <f>+'COEF Art 14 F I '!AF47*'PART MES'!I$5</f>
        <v>-77849.457120174062</v>
      </c>
      <c r="O46" s="236">
        <f>+'COEF Art 14 F I '!AF47*'PART MES'!I$6</f>
        <v>-12562.686648297306</v>
      </c>
      <c r="P46" s="236">
        <f>+'COEF Art 14 F I '!AF47*'PART MES'!I$7</f>
        <v>-211601.51718468696</v>
      </c>
      <c r="Q46" s="201">
        <f>+'COEF Art 14 F I '!AF47*'PART MES'!I$8</f>
        <v>102811.49488514764</v>
      </c>
      <c r="R46" s="201">
        <f>+'COEF Art 14 F I '!AF47*'PART MES'!I$9</f>
        <v>2548.9846690849963</v>
      </c>
      <c r="S46" s="204">
        <f t="shared" si="5"/>
        <v>-587364.41020998312</v>
      </c>
      <c r="T46" s="205">
        <f t="shared" si="6"/>
        <v>3431780.6780802258</v>
      </c>
      <c r="V46" s="340">
        <v>180484.96666666667</v>
      </c>
      <c r="W46" s="341">
        <f t="shared" si="7"/>
        <v>5.8189583418368149E-3</v>
      </c>
    </row>
    <row r="47" spans="1:23" ht="12.75" customHeight="1">
      <c r="A47" s="200" t="s">
        <v>213</v>
      </c>
      <c r="B47" s="346">
        <f t="shared" si="0"/>
        <v>2.8758962509314889E-3</v>
      </c>
      <c r="C47" s="201">
        <v>1575781.9308333334</v>
      </c>
      <c r="D47" s="346">
        <f t="shared" si="1"/>
        <v>2.8758962533065057E-3</v>
      </c>
      <c r="E47" s="202">
        <v>215207.31416666668</v>
      </c>
      <c r="F47" s="346">
        <f t="shared" si="2"/>
        <v>2.8758962566333849E-3</v>
      </c>
      <c r="G47" s="202">
        <v>52914.647499999999</v>
      </c>
      <c r="H47" s="346">
        <f t="shared" si="3"/>
        <v>2.8758962560207599E-3</v>
      </c>
      <c r="I47" s="202">
        <v>89200.851666666669</v>
      </c>
      <c r="J47" s="202">
        <v>43870.6</v>
      </c>
      <c r="K47" s="202">
        <v>9401.52</v>
      </c>
      <c r="L47" s="203">
        <f t="shared" si="4"/>
        <v>1986376.8727943553</v>
      </c>
      <c r="M47" s="236">
        <f>+'COEF Art 14 F I '!AF48*'PART MES'!I$4</f>
        <v>-59729.336772000286</v>
      </c>
      <c r="N47" s="236">
        <f>+'COEF Art 14 F I '!AF48*'PART MES'!I$5</f>
        <v>-11901.107772095533</v>
      </c>
      <c r="O47" s="236">
        <f>+'COEF Art 14 F I '!AF48*'PART MES'!I$6</f>
        <v>-1920.5000681977469</v>
      </c>
      <c r="P47" s="236">
        <f>+'COEF Art 14 F I '!AF48*'PART MES'!I$7</f>
        <v>-32348.234064965491</v>
      </c>
      <c r="Q47" s="201">
        <f>+'COEF Art 14 F I '!AF48*'PART MES'!I$8</f>
        <v>15717.138257619426</v>
      </c>
      <c r="R47" s="201">
        <f>+'COEF Art 14 F I '!AF48*'PART MES'!I$9</f>
        <v>389.67184073450073</v>
      </c>
      <c r="S47" s="204">
        <f t="shared" si="5"/>
        <v>-89792.368578905123</v>
      </c>
      <c r="T47" s="205">
        <f t="shared" si="6"/>
        <v>1896584.50421545</v>
      </c>
      <c r="V47" s="340">
        <v>89200.851666666669</v>
      </c>
      <c r="W47" s="341">
        <f t="shared" si="7"/>
        <v>2.8758962560207599E-3</v>
      </c>
    </row>
    <row r="48" spans="1:23" ht="12.75" customHeight="1">
      <c r="A48" s="200" t="s">
        <v>43</v>
      </c>
      <c r="B48" s="346">
        <f t="shared" si="0"/>
        <v>3.2226555439758839E-3</v>
      </c>
      <c r="C48" s="201">
        <v>1765780.7975000001</v>
      </c>
      <c r="D48" s="346">
        <f t="shared" si="1"/>
        <v>3.2226555477104383E-3</v>
      </c>
      <c r="E48" s="202">
        <v>241155.79416666666</v>
      </c>
      <c r="F48" s="346">
        <f t="shared" si="2"/>
        <v>3.2226555298308316E-3</v>
      </c>
      <c r="G48" s="202">
        <v>59294.795833333337</v>
      </c>
      <c r="H48" s="346">
        <f t="shared" si="3"/>
        <v>3.2226555334004762E-3</v>
      </c>
      <c r="I48" s="202">
        <v>99956.184999999998</v>
      </c>
      <c r="J48" s="202">
        <v>49160.268333333333</v>
      </c>
      <c r="K48" s="202">
        <v>10535.101666666667</v>
      </c>
      <c r="L48" s="203">
        <f t="shared" si="4"/>
        <v>2225882.9521679669</v>
      </c>
      <c r="M48" s="236">
        <f>+'COEF Art 14 F I '!AF49*'PART MES'!I$4</f>
        <v>-55119.975145962315</v>
      </c>
      <c r="N48" s="236">
        <f>+'COEF Art 14 F I '!AF49*'PART MES'!I$5</f>
        <v>-10982.689580354372</v>
      </c>
      <c r="O48" s="236">
        <f>+'COEF Art 14 F I '!AF49*'PART MES'!I$6</f>
        <v>-1772.2935118292232</v>
      </c>
      <c r="P48" s="236">
        <f>+'COEF Art 14 F I '!AF49*'PART MES'!I$7</f>
        <v>-29851.89446323325</v>
      </c>
      <c r="Q48" s="201">
        <f>+'COEF Art 14 F I '!AF49*'PART MES'!I$8</f>
        <v>14504.233881460921</v>
      </c>
      <c r="R48" s="201">
        <f>+'COEF Art 14 F I '!AF49*'PART MES'!I$9</f>
        <v>359.60054702023376</v>
      </c>
      <c r="S48" s="204">
        <f t="shared" si="5"/>
        <v>-82863.018272898</v>
      </c>
      <c r="T48" s="205">
        <f t="shared" si="6"/>
        <v>2143019.9338950687</v>
      </c>
      <c r="V48" s="340">
        <v>99956.184999999998</v>
      </c>
      <c r="W48" s="341">
        <f t="shared" si="7"/>
        <v>3.2226555334004762E-3</v>
      </c>
    </row>
    <row r="49" spans="1:23" ht="12.75" customHeight="1">
      <c r="A49" s="200" t="s">
        <v>44</v>
      </c>
      <c r="B49" s="346">
        <f t="shared" si="0"/>
        <v>9.2720853114895158E-3</v>
      </c>
      <c r="C49" s="201">
        <v>5080428.2283333335</v>
      </c>
      <c r="D49" s="346">
        <f t="shared" si="1"/>
        <v>9.2720853158560698E-3</v>
      </c>
      <c r="E49" s="202">
        <v>693843.03249999997</v>
      </c>
      <c r="F49" s="346">
        <f t="shared" si="2"/>
        <v>9.2720853150187726E-3</v>
      </c>
      <c r="G49" s="202">
        <v>170600.42583333334</v>
      </c>
      <c r="H49" s="346">
        <f t="shared" si="3"/>
        <v>9.2720853128843185E-3</v>
      </c>
      <c r="I49" s="202">
        <v>287589.61833333335</v>
      </c>
      <c r="J49" s="202">
        <v>141441.80083333334</v>
      </c>
      <c r="K49" s="202">
        <v>30311.140833333335</v>
      </c>
      <c r="L49" s="203">
        <f t="shared" si="4"/>
        <v>6404214.2744829226</v>
      </c>
      <c r="M49" s="236">
        <f>+'COEF Art 14 F I '!AF50*'PART MES'!I$4</f>
        <v>-145680.36006213236</v>
      </c>
      <c r="N49" s="236">
        <f>+'COEF Art 14 F I '!AF50*'PART MES'!I$5</f>
        <v>-29026.903010747374</v>
      </c>
      <c r="O49" s="236">
        <f>+'COEF Art 14 F I '!AF50*'PART MES'!I$6</f>
        <v>-4684.1159898087371</v>
      </c>
      <c r="P49" s="236">
        <f>+'COEF Art 14 F I '!AF50*'PART MES'!I$7</f>
        <v>-78897.617831367228</v>
      </c>
      <c r="Q49" s="201">
        <f>+'COEF Art 14 F I '!AF50*'PART MES'!I$8</f>
        <v>38334.233799657071</v>
      </c>
      <c r="R49" s="201">
        <f>+'COEF Art 14 F I '!AF50*'PART MES'!I$9</f>
        <v>950.41293160461225</v>
      </c>
      <c r="S49" s="204">
        <f t="shared" si="5"/>
        <v>-219004.350162794</v>
      </c>
      <c r="T49" s="205">
        <f t="shared" si="6"/>
        <v>6185209.9243201287</v>
      </c>
      <c r="V49" s="340">
        <v>287589.61833333335</v>
      </c>
      <c r="W49" s="341">
        <f t="shared" si="7"/>
        <v>9.2720853128843185E-3</v>
      </c>
    </row>
    <row r="50" spans="1:23" ht="12.75" customHeight="1">
      <c r="A50" s="200" t="s">
        <v>45</v>
      </c>
      <c r="B50" s="346">
        <f t="shared" si="0"/>
        <v>8.0282653571620618E-3</v>
      </c>
      <c r="C50" s="201">
        <v>4398905.3783333329</v>
      </c>
      <c r="D50" s="346">
        <f t="shared" si="1"/>
        <v>8.0282653540577013E-3</v>
      </c>
      <c r="E50" s="202">
        <v>600766.25583333336</v>
      </c>
      <c r="F50" s="346">
        <f t="shared" si="2"/>
        <v>8.028265349625998E-3</v>
      </c>
      <c r="G50" s="202">
        <v>147714.93583333332</v>
      </c>
      <c r="H50" s="346">
        <f t="shared" si="3"/>
        <v>8.0282653679346373E-3</v>
      </c>
      <c r="I50" s="202">
        <v>249010.41083333336</v>
      </c>
      <c r="J50" s="202">
        <v>122467.84499999999</v>
      </c>
      <c r="K50" s="202">
        <v>26245</v>
      </c>
      <c r="L50" s="203">
        <f t="shared" si="4"/>
        <v>5545109.849918128</v>
      </c>
      <c r="M50" s="236">
        <f>+'COEF Art 14 F I '!AF51*'PART MES'!I$4</f>
        <v>-299205.14636396832</v>
      </c>
      <c r="N50" s="236">
        <f>+'COEF Art 14 F I '!AF51*'PART MES'!I$5</f>
        <v>-59616.812864268381</v>
      </c>
      <c r="O50" s="236">
        <f>+'COEF Art 14 F I '!AF51*'PART MES'!I$6</f>
        <v>-9620.4567981489472</v>
      </c>
      <c r="P50" s="236">
        <f>+'COEF Art 14 F I '!AF51*'PART MES'!I$7</f>
        <v>-162043.62263337706</v>
      </c>
      <c r="Q50" s="201">
        <f>+'COEF Art 14 F I '!AF51*'PART MES'!I$8</f>
        <v>78732.64474281318</v>
      </c>
      <c r="R50" s="201">
        <f>+'COEF Art 14 F I '!AF51*'PART MES'!I$9</f>
        <v>1952.0025910540289</v>
      </c>
      <c r="S50" s="204">
        <f t="shared" si="5"/>
        <v>-449801.3913258955</v>
      </c>
      <c r="T50" s="205">
        <f t="shared" si="6"/>
        <v>5095308.4585922323</v>
      </c>
      <c r="V50" s="340">
        <v>249010.41083333336</v>
      </c>
      <c r="W50" s="341">
        <f t="shared" si="7"/>
        <v>8.0282653679346373E-3</v>
      </c>
    </row>
    <row r="51" spans="1:23" ht="12.75" customHeight="1">
      <c r="A51" s="200" t="s">
        <v>246</v>
      </c>
      <c r="B51" s="346">
        <f t="shared" si="0"/>
        <v>7.2199427408614625E-2</v>
      </c>
      <c r="C51" s="201">
        <v>39560033.881666668</v>
      </c>
      <c r="D51" s="346">
        <f t="shared" si="1"/>
        <v>7.2199427405141597E-2</v>
      </c>
      <c r="E51" s="202">
        <v>5402783.5108333332</v>
      </c>
      <c r="F51" s="346">
        <f t="shared" si="2"/>
        <v>7.2199427400267899E-2</v>
      </c>
      <c r="G51" s="202">
        <v>1328423.18</v>
      </c>
      <c r="H51" s="346">
        <f t="shared" si="3"/>
        <v>7.2199427406569691E-2</v>
      </c>
      <c r="I51" s="202">
        <v>2239388.9908333332</v>
      </c>
      <c r="J51" s="202">
        <v>1101372.2016666667</v>
      </c>
      <c r="K51" s="202">
        <v>236025.32833333334</v>
      </c>
      <c r="L51" s="203">
        <f t="shared" si="4"/>
        <v>49868027.309931614</v>
      </c>
      <c r="M51" s="236">
        <f>+'COEF Art 14 F I '!AF52*'PART MES'!I$4</f>
        <v>-1972191.5526510251</v>
      </c>
      <c r="N51" s="236">
        <f>+'COEF Art 14 F I '!AF52*'PART MES'!I$5</f>
        <v>-392960.40243860625</v>
      </c>
      <c r="O51" s="236">
        <f>+'COEF Art 14 F I '!AF52*'PART MES'!I$6</f>
        <v>-63412.624617336282</v>
      </c>
      <c r="P51" s="236">
        <f>+'COEF Art 14 F I '!AF52*'PART MES'!I$7</f>
        <v>-1068100.1567057343</v>
      </c>
      <c r="Q51" s="201">
        <f>+'COEF Art 14 F I '!AF52*'PART MES'!I$8</f>
        <v>518961.18354449986</v>
      </c>
      <c r="R51" s="201">
        <f>+'COEF Art 14 F I '!AF52*'PART MES'!I$9</f>
        <v>12866.500017171065</v>
      </c>
      <c r="S51" s="204">
        <f t="shared" si="5"/>
        <v>-2964837.0528510311</v>
      </c>
      <c r="T51" s="205">
        <f t="shared" si="6"/>
        <v>46903190.257080585</v>
      </c>
      <c r="V51" s="340">
        <v>2239388.9908333332</v>
      </c>
      <c r="W51" s="341">
        <f t="shared" si="7"/>
        <v>7.2199427406569691E-2</v>
      </c>
    </row>
    <row r="52" spans="1:23" ht="12.75" customHeight="1">
      <c r="A52" s="200" t="s">
        <v>247</v>
      </c>
      <c r="B52" s="346">
        <f t="shared" si="0"/>
        <v>0.13950769392075885</v>
      </c>
      <c r="C52" s="201">
        <v>76440067.412500009</v>
      </c>
      <c r="D52" s="346">
        <f t="shared" si="1"/>
        <v>0.13950769391814699</v>
      </c>
      <c r="E52" s="202">
        <v>10439554.653333334</v>
      </c>
      <c r="F52" s="346">
        <f t="shared" si="2"/>
        <v>0.13950769390229639</v>
      </c>
      <c r="G52" s="202">
        <v>2566852.1350000002</v>
      </c>
      <c r="H52" s="346">
        <f t="shared" si="3"/>
        <v>0.13950769392700124</v>
      </c>
      <c r="I52" s="202">
        <v>4327070.2433333332</v>
      </c>
      <c r="J52" s="202">
        <v>2128131.7799999998</v>
      </c>
      <c r="K52" s="202">
        <v>456061.08666666667</v>
      </c>
      <c r="L52" s="203">
        <f t="shared" si="4"/>
        <v>96357737.729356453</v>
      </c>
      <c r="M52" s="236">
        <f>+'COEF Art 14 F I '!AF53*'PART MES'!I$4</f>
        <v>-3761778.4439443219</v>
      </c>
      <c r="N52" s="236">
        <f>+'COEF Art 14 F I '!AF53*'PART MES'!I$5</f>
        <v>-749536.71170033864</v>
      </c>
      <c r="O52" s="236">
        <f>+'COEF Art 14 F I '!AF53*'PART MES'!I$6</f>
        <v>-120953.89215047436</v>
      </c>
      <c r="P52" s="236">
        <f>+'COEF Art 14 F I '!AF53*'PART MES'!I$7</f>
        <v>-2037305.2202095867</v>
      </c>
      <c r="Q52" s="201">
        <f>+'COEF Art 14 F I '!AF53*'PART MES'!I$8</f>
        <v>989871.89701596531</v>
      </c>
      <c r="R52" s="201">
        <f>+'COEF Art 14 F I '!AF53*'PART MES'!I$9</f>
        <v>24541.694415302973</v>
      </c>
      <c r="S52" s="204">
        <f t="shared" si="5"/>
        <v>-5655160.6765734535</v>
      </c>
      <c r="T52" s="205">
        <f t="shared" si="6"/>
        <v>90702577.052782997</v>
      </c>
      <c r="V52" s="340">
        <v>4327070.2433333332</v>
      </c>
      <c r="W52" s="341">
        <f t="shared" si="7"/>
        <v>0.13950769392700124</v>
      </c>
    </row>
    <row r="53" spans="1:23" s="1" customFormat="1" ht="12.75" customHeight="1">
      <c r="A53" s="200" t="s">
        <v>48</v>
      </c>
      <c r="B53" s="346">
        <f t="shared" si="0"/>
        <v>3.7592415872311255E-2</v>
      </c>
      <c r="C53" s="201">
        <v>20597909.138333332</v>
      </c>
      <c r="D53" s="346">
        <f t="shared" si="1"/>
        <v>3.7592415868039158E-2</v>
      </c>
      <c r="E53" s="202">
        <v>2813092.7333333329</v>
      </c>
      <c r="F53" s="346">
        <f t="shared" si="2"/>
        <v>3.7592415887362077E-2</v>
      </c>
      <c r="G53" s="202">
        <v>691676.35333333339</v>
      </c>
      <c r="H53" s="346">
        <f t="shared" si="3"/>
        <v>3.7592415871864023E-2</v>
      </c>
      <c r="I53" s="202">
        <v>1165993.2116666667</v>
      </c>
      <c r="J53" s="202">
        <v>573456.65083333326</v>
      </c>
      <c r="K53" s="202">
        <v>122892.41916666667</v>
      </c>
      <c r="L53" s="203">
        <f t="shared" si="4"/>
        <v>25965020.619443908</v>
      </c>
      <c r="M53" s="236">
        <f>+'COEF Art 14 F I '!AF54*'PART MES'!I$4</f>
        <v>-1055682.7436107993</v>
      </c>
      <c r="N53" s="236">
        <f>+'COEF Art 14 F I '!AF54*'PART MES'!I$5</f>
        <v>-210345.44804695089</v>
      </c>
      <c r="O53" s="236">
        <f>+'COEF Art 14 F I '!AF54*'PART MES'!I$6</f>
        <v>-33943.768517619646</v>
      </c>
      <c r="P53" s="236">
        <f>+'COEF Art 14 F I '!AF54*'PART MES'!I$7</f>
        <v>-571737.01122821716</v>
      </c>
      <c r="Q53" s="201">
        <f>+'COEF Art 14 F I '!AF54*'PART MES'!I$8</f>
        <v>277791.66041723103</v>
      </c>
      <c r="R53" s="201">
        <f>+'COEF Art 14 F I '!AF54*'PART MES'!I$9</f>
        <v>6887.2326425581323</v>
      </c>
      <c r="S53" s="204">
        <f t="shared" si="5"/>
        <v>-1587030.0783437979</v>
      </c>
      <c r="T53" s="205">
        <f t="shared" si="6"/>
        <v>24377990.541100111</v>
      </c>
      <c r="V53" s="340">
        <v>1165993.2116666667</v>
      </c>
      <c r="W53" s="341">
        <f t="shared" si="7"/>
        <v>3.7592415871864023E-2</v>
      </c>
    </row>
    <row r="54" spans="1:23" s="1" customFormat="1" ht="12.75" customHeight="1">
      <c r="A54" s="200" t="s">
        <v>49</v>
      </c>
      <c r="B54" s="346">
        <f t="shared" si="0"/>
        <v>1.216049401573883E-2</v>
      </c>
      <c r="C54" s="201">
        <v>6663066.0733333332</v>
      </c>
      <c r="D54" s="346">
        <f t="shared" si="1"/>
        <v>1.2160494021042868E-2</v>
      </c>
      <c r="E54" s="202">
        <v>909986.6708333334</v>
      </c>
      <c r="F54" s="346">
        <f t="shared" si="2"/>
        <v>1.2160494009399801E-2</v>
      </c>
      <c r="G54" s="202">
        <v>223745.29416666666</v>
      </c>
      <c r="H54" s="346">
        <f t="shared" si="3"/>
        <v>1.2160494016226223E-2</v>
      </c>
      <c r="I54" s="202">
        <v>377178.565</v>
      </c>
      <c r="J54" s="202">
        <v>185503.27249999999</v>
      </c>
      <c r="K54" s="202">
        <v>39753.564166666671</v>
      </c>
      <c r="L54" s="203">
        <f t="shared" si="4"/>
        <v>8399233.4764814824</v>
      </c>
      <c r="M54" s="236">
        <f>+'COEF Art 14 F I '!AF55*'PART MES'!I$4</f>
        <v>-468005.26369856932</v>
      </c>
      <c r="N54" s="236">
        <f>+'COEF Art 14 F I '!AF55*'PART MES'!I$5</f>
        <v>-93250.341996023068</v>
      </c>
      <c r="O54" s="236">
        <f>+'COEF Art 14 F I '!AF55*'PART MES'!I$6</f>
        <v>-15047.951131299775</v>
      </c>
      <c r="P54" s="236">
        <f>+'COEF Art 14 F I '!AF55*'PART MES'!I$7</f>
        <v>-253462.44629413151</v>
      </c>
      <c r="Q54" s="201">
        <f>+'COEF Art 14 F I '!AF55*'PART MES'!I$8</f>
        <v>123150.59621241657</v>
      </c>
      <c r="R54" s="201">
        <f>+'COEF Art 14 F I '!AF55*'PART MES'!I$9</f>
        <v>3053.2479085611913</v>
      </c>
      <c r="S54" s="204">
        <f t="shared" si="5"/>
        <v>-703562.15899904585</v>
      </c>
      <c r="T54" s="205">
        <f t="shared" si="6"/>
        <v>7695671.3174824361</v>
      </c>
      <c r="V54" s="340">
        <v>377178.565</v>
      </c>
      <c r="W54" s="341">
        <f t="shared" si="7"/>
        <v>1.2160494016226223E-2</v>
      </c>
    </row>
    <row r="55" spans="1:23" ht="12.75" customHeight="1">
      <c r="A55" s="200" t="s">
        <v>50</v>
      </c>
      <c r="B55" s="346">
        <f t="shared" si="0"/>
        <v>2.4490768696581208E-3</v>
      </c>
      <c r="C55" s="201">
        <v>1341915.96</v>
      </c>
      <c r="D55" s="346">
        <f t="shared" si="1"/>
        <v>2.4490768731685081E-3</v>
      </c>
      <c r="E55" s="202">
        <v>183267.82666666666</v>
      </c>
      <c r="F55" s="346">
        <f t="shared" si="2"/>
        <v>2.4490768571672132E-3</v>
      </c>
      <c r="G55" s="202">
        <v>45061.444166666661</v>
      </c>
      <c r="H55" s="346">
        <f t="shared" si="3"/>
        <v>2.4490768643856561E-3</v>
      </c>
      <c r="I55" s="202">
        <v>75962.316666666666</v>
      </c>
      <c r="J55" s="202">
        <v>37359.647499999999</v>
      </c>
      <c r="K55" s="202">
        <v>8006.2158333333327</v>
      </c>
      <c r="L55" s="203">
        <f t="shared" si="4"/>
        <v>1691573.4181805637</v>
      </c>
      <c r="M55" s="236">
        <f>+'COEF Art 14 F I '!AF56*'PART MES'!I$4</f>
        <v>-82952.549342015685</v>
      </c>
      <c r="N55" s="236">
        <f>+'COEF Art 14 F I '!AF56*'PART MES'!I$5</f>
        <v>-16528.347425953507</v>
      </c>
      <c r="O55" s="236">
        <f>+'COEF Art 14 F I '!AF56*'PART MES'!I$6</f>
        <v>-2667.2048490449515</v>
      </c>
      <c r="P55" s="236">
        <f>+'COEF Art 14 F I '!AF56*'PART MES'!I$7</f>
        <v>-44925.469248790032</v>
      </c>
      <c r="Q55" s="201">
        <f>+'COEF Art 14 F I '!AF56*'PART MES'!I$8</f>
        <v>21828.079086283069</v>
      </c>
      <c r="R55" s="201">
        <f>+'COEF Art 14 F I '!AF56*'PART MES'!I$9</f>
        <v>541.17916492378686</v>
      </c>
      <c r="S55" s="204">
        <f t="shared" si="5"/>
        <v>-124704.31261459729</v>
      </c>
      <c r="T55" s="205">
        <f t="shared" si="6"/>
        <v>1566869.1055659663</v>
      </c>
      <c r="V55" s="340">
        <v>75962.316666666666</v>
      </c>
      <c r="W55" s="341">
        <f t="shared" si="7"/>
        <v>2.4490768643856561E-3</v>
      </c>
    </row>
    <row r="56" spans="1:23" ht="12.75" customHeight="1">
      <c r="A56" s="200" t="s">
        <v>51</v>
      </c>
      <c r="B56" s="346">
        <f t="shared" si="0"/>
        <v>3.3169607729599004E-3</v>
      </c>
      <c r="C56" s="201">
        <v>1817453.2024999999</v>
      </c>
      <c r="D56" s="346">
        <f t="shared" si="1"/>
        <v>3.3169607695184861E-3</v>
      </c>
      <c r="E56" s="202">
        <v>248212.785</v>
      </c>
      <c r="F56" s="346">
        <f t="shared" si="2"/>
        <v>3.3169607629094208E-3</v>
      </c>
      <c r="G56" s="202">
        <v>61029.951666666668</v>
      </c>
      <c r="H56" s="346">
        <f t="shared" si="3"/>
        <v>3.3169607629400509E-3</v>
      </c>
      <c r="I56" s="202">
        <v>102881.22333333333</v>
      </c>
      <c r="J56" s="202">
        <v>50598.855000000003</v>
      </c>
      <c r="K56" s="202">
        <v>10843.3925</v>
      </c>
      <c r="L56" s="203">
        <f t="shared" si="4"/>
        <v>2291019.419950882</v>
      </c>
      <c r="M56" s="236">
        <f>+'COEF Art 14 F I '!AF57*'PART MES'!I$4</f>
        <v>-70854.714836534404</v>
      </c>
      <c r="N56" s="236">
        <f>+'COEF Art 14 F I '!AF57*'PART MES'!I$5</f>
        <v>-14117.846321474441</v>
      </c>
      <c r="O56" s="236">
        <f>+'COEF Art 14 F I '!AF57*'PART MES'!I$6</f>
        <v>-2278.2185778343633</v>
      </c>
      <c r="P56" s="236">
        <f>+'COEF Art 14 F I '!AF57*'PART MES'!I$7</f>
        <v>-38373.52001559551</v>
      </c>
      <c r="Q56" s="201">
        <f>+'COEF Art 14 F I '!AF57*'PART MES'!I$8</f>
        <v>18644.662898919963</v>
      </c>
      <c r="R56" s="201">
        <f>+'COEF Art 14 F I '!AF57*'PART MES'!I$9</f>
        <v>462.25336906827101</v>
      </c>
      <c r="S56" s="204">
        <f t="shared" si="5"/>
        <v>-106517.38348345048</v>
      </c>
      <c r="T56" s="205">
        <f t="shared" si="6"/>
        <v>2184502.0364674316</v>
      </c>
      <c r="V56" s="340">
        <v>102881.22333333333</v>
      </c>
      <c r="W56" s="341">
        <f t="shared" si="7"/>
        <v>3.3169607629400509E-3</v>
      </c>
    </row>
    <row r="57" spans="1:23" s="209" customFormat="1" ht="16.5" customHeight="1" thickBot="1">
      <c r="A57" s="206" t="s">
        <v>52</v>
      </c>
      <c r="B57" s="344">
        <f>SUM(B6:B56)</f>
        <v>0.99999999999999978</v>
      </c>
      <c r="C57" s="207">
        <f>SUM(C6:C56)</f>
        <v>547927252.35583353</v>
      </c>
      <c r="D57" s="344">
        <f t="shared" ref="D57:L57" si="8">SUM(D6:D56)</f>
        <v>0.99999999999999989</v>
      </c>
      <c r="E57" s="207">
        <f t="shared" si="8"/>
        <v>74831390.012500018</v>
      </c>
      <c r="F57" s="344">
        <f t="shared" si="8"/>
        <v>1.0000000000000002</v>
      </c>
      <c r="G57" s="207">
        <f t="shared" si="8"/>
        <v>18399358.939999998</v>
      </c>
      <c r="H57" s="344">
        <f t="shared" si="8"/>
        <v>1.0000000000000002</v>
      </c>
      <c r="I57" s="207">
        <f t="shared" si="8"/>
        <v>31016713.999999993</v>
      </c>
      <c r="J57" s="207">
        <f t="shared" si="8"/>
        <v>15254583.600833332</v>
      </c>
      <c r="K57" s="207">
        <f t="shared" si="8"/>
        <v>3269074.8008333319</v>
      </c>
      <c r="L57" s="207">
        <f t="shared" si="8"/>
        <v>690698376.70999992</v>
      </c>
      <c r="M57" s="313">
        <f>SUM(M6:M56)</f>
        <v>-29463942.555833403</v>
      </c>
      <c r="N57" s="313">
        <f t="shared" ref="N57:S57" si="9">SUM(N6:N56)</f>
        <v>-5870709.0133333486</v>
      </c>
      <c r="O57" s="313">
        <f t="shared" si="9"/>
        <v>-947365.34416666231</v>
      </c>
      <c r="P57" s="313">
        <f t="shared" si="9"/>
        <v>-15957091.804166669</v>
      </c>
      <c r="Q57" s="207">
        <f t="shared" si="9"/>
        <v>7753122.3983333316</v>
      </c>
      <c r="R57" s="207">
        <f t="shared" si="9"/>
        <v>192221.60083333356</v>
      </c>
      <c r="S57" s="207">
        <f t="shared" si="9"/>
        <v>-44293764.718333416</v>
      </c>
      <c r="T57" s="208">
        <f>SUM(T6:T56)</f>
        <v>646404611.99166691</v>
      </c>
      <c r="V57" s="353">
        <f t="shared" ref="V57:W57" si="10">SUM(V6:V56)</f>
        <v>31016713.999999993</v>
      </c>
      <c r="W57" s="353">
        <f t="shared" si="10"/>
        <v>1.0000000000000002</v>
      </c>
    </row>
    <row r="58" spans="1:23" ht="15" thickTop="1">
      <c r="M58" s="210"/>
      <c r="N58" s="211"/>
      <c r="O58" s="211"/>
      <c r="P58" s="211"/>
      <c r="Q58" s="212"/>
      <c r="R58" s="211"/>
      <c r="S58" s="211"/>
      <c r="T58" s="213"/>
      <c r="V58" s="314"/>
      <c r="W58" s="314"/>
    </row>
    <row r="59" spans="1:23">
      <c r="A59" s="214"/>
      <c r="B59" s="214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6"/>
    </row>
    <row r="60" spans="1:23">
      <c r="A60" s="214"/>
      <c r="B60" s="214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7"/>
    </row>
    <row r="64" spans="1:23">
      <c r="P64" s="218"/>
    </row>
  </sheetData>
  <mergeCells count="5">
    <mergeCell ref="A1:T1"/>
    <mergeCell ref="A3:A4"/>
    <mergeCell ref="C3:L3"/>
    <mergeCell ref="M3:S3"/>
    <mergeCell ref="T3:T4"/>
  </mergeCells>
  <conditionalFormatting sqref="S7:S56">
    <cfRule type="cellIs" dxfId="0" priority="1" operator="lessThan">
      <formula>#REF!-0.00001</formula>
    </cfRule>
  </conditionalFormatting>
  <printOptions horizontalCentered="1" verticalCentered="1"/>
  <pageMargins left="0.19685039370078741" right="0.19685039370078741" top="0.39370078740157483" bottom="0.19685039370078741" header="0.11811023622047245" footer="0.15748031496062992"/>
  <pageSetup scale="60" orientation="landscape" horizontalDpi="300" verticalDpi="300" r:id="rId1"/>
  <headerFooter alignWithMargins="0">
    <oddHeader>&amp;LANEXO I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showGridLines="0" zoomScaleNormal="100" zoomScaleSheetLayoutView="100" workbookViewId="0">
      <selection activeCell="B13" sqref="B13"/>
    </sheetView>
  </sheetViews>
  <sheetFormatPr baseColWidth="10" defaultColWidth="11.42578125" defaultRowHeight="12.75"/>
  <cols>
    <col min="1" max="1" width="59" style="11" customWidth="1"/>
    <col min="2" max="5" width="17.28515625" style="11" customWidth="1"/>
    <col min="6" max="6" width="17.140625" style="11" customWidth="1"/>
    <col min="7" max="16384" width="11.42578125" style="11"/>
  </cols>
  <sheetData>
    <row r="1" spans="1:6" ht="18.75" customHeight="1">
      <c r="A1" s="396" t="s">
        <v>248</v>
      </c>
      <c r="B1" s="396"/>
      <c r="C1" s="396"/>
      <c r="D1" s="396"/>
      <c r="E1" s="396"/>
      <c r="F1" s="396"/>
    </row>
    <row r="3" spans="1:6" ht="25.5">
      <c r="A3" s="219" t="s">
        <v>103</v>
      </c>
      <c r="B3" s="219" t="s">
        <v>104</v>
      </c>
      <c r="C3" s="219" t="s">
        <v>105</v>
      </c>
      <c r="D3" s="219" t="s">
        <v>116</v>
      </c>
      <c r="E3" s="219" t="s">
        <v>249</v>
      </c>
      <c r="F3" s="219" t="s">
        <v>250</v>
      </c>
    </row>
    <row r="4" spans="1:6" ht="25.5" customHeight="1">
      <c r="A4" s="182" t="s">
        <v>106</v>
      </c>
      <c r="B4" s="220">
        <v>36165566160</v>
      </c>
      <c r="C4" s="221">
        <v>20</v>
      </c>
      <c r="D4" s="221">
        <f>+C4/100*B4</f>
        <v>7233113232</v>
      </c>
      <c r="E4" s="221">
        <v>6575127028.2700005</v>
      </c>
      <c r="F4" s="221">
        <f>+D4-E4</f>
        <v>657986203.72999954</v>
      </c>
    </row>
    <row r="5" spans="1:6" ht="25.5" customHeight="1">
      <c r="A5" s="182" t="s">
        <v>127</v>
      </c>
      <c r="B5" s="220">
        <v>1008332033</v>
      </c>
      <c r="C5" s="221">
        <v>100</v>
      </c>
      <c r="D5" s="221">
        <f t="shared" ref="D5:D9" si="0">+C5/100*B5</f>
        <v>1008332033</v>
      </c>
      <c r="E5" s="221">
        <v>897976680.16000021</v>
      </c>
      <c r="F5" s="221">
        <f t="shared" ref="F5:F9" si="1">+D5-E5</f>
        <v>110355352.83999979</v>
      </c>
    </row>
    <row r="6" spans="1:6" ht="25.5" customHeight="1">
      <c r="A6" s="182" t="s">
        <v>107</v>
      </c>
      <c r="B6" s="220">
        <v>1197376503</v>
      </c>
      <c r="C6" s="221">
        <v>20</v>
      </c>
      <c r="D6" s="221">
        <f t="shared" si="0"/>
        <v>239475300.60000002</v>
      </c>
      <c r="E6" s="221">
        <v>220792307.32999998</v>
      </c>
      <c r="F6" s="221">
        <f t="shared" si="1"/>
        <v>18682993.270000041</v>
      </c>
    </row>
    <row r="7" spans="1:6" ht="25.5" customHeight="1">
      <c r="A7" s="182" t="s">
        <v>115</v>
      </c>
      <c r="B7" s="220">
        <v>2189235910</v>
      </c>
      <c r="C7" s="221">
        <v>20</v>
      </c>
      <c r="D7" s="221">
        <f t="shared" si="0"/>
        <v>437847182</v>
      </c>
      <c r="E7" s="221">
        <v>372200568.05000001</v>
      </c>
      <c r="F7" s="221">
        <f t="shared" si="1"/>
        <v>65646613.949999988</v>
      </c>
    </row>
    <row r="8" spans="1:6" ht="25.5" customHeight="1">
      <c r="A8" s="182" t="s">
        <v>121</v>
      </c>
      <c r="B8" s="220">
        <v>927868809</v>
      </c>
      <c r="C8" s="221">
        <v>20</v>
      </c>
      <c r="D8" s="221">
        <f t="shared" si="0"/>
        <v>185573761.80000001</v>
      </c>
      <c r="E8" s="221">
        <v>183055003.22</v>
      </c>
      <c r="F8" s="221">
        <f t="shared" si="1"/>
        <v>2518758.5800000131</v>
      </c>
    </row>
    <row r="9" spans="1:6" ht="25.5" customHeight="1">
      <c r="A9" s="182" t="s">
        <v>120</v>
      </c>
      <c r="B9" s="220">
        <v>207677784</v>
      </c>
      <c r="C9" s="221">
        <v>20</v>
      </c>
      <c r="D9" s="221">
        <f t="shared" si="0"/>
        <v>41535556.800000004</v>
      </c>
      <c r="E9" s="221">
        <v>39228897.590000004</v>
      </c>
      <c r="F9" s="221">
        <f t="shared" si="1"/>
        <v>2306659.2100000009</v>
      </c>
    </row>
    <row r="10" spans="1:6" ht="25.5" customHeight="1">
      <c r="A10" s="222" t="s">
        <v>224</v>
      </c>
      <c r="B10" s="223">
        <f>SUM(B4:B9)</f>
        <v>41696057199</v>
      </c>
      <c r="C10" s="224"/>
      <c r="D10" s="225">
        <f>SUM(D4:D9)</f>
        <v>9145877066.1999989</v>
      </c>
      <c r="E10" s="225">
        <f>SUM(E4:E9)</f>
        <v>8288380484.6200008</v>
      </c>
      <c r="F10" s="224">
        <f>SUM(F4:F9)</f>
        <v>857496581.57999957</v>
      </c>
    </row>
    <row r="11" spans="1:6" ht="25.5" customHeight="1">
      <c r="A11" s="182" t="s">
        <v>126</v>
      </c>
      <c r="B11" s="220">
        <v>339287460</v>
      </c>
      <c r="C11" s="221">
        <v>100</v>
      </c>
      <c r="D11" s="221">
        <f>+C11/100*B11</f>
        <v>339287460</v>
      </c>
      <c r="E11" s="221"/>
      <c r="F11" s="221"/>
    </row>
    <row r="12" spans="1:6" ht="25.5" customHeight="1">
      <c r="A12" s="182" t="s">
        <v>114</v>
      </c>
      <c r="B12" s="220">
        <v>1270773990</v>
      </c>
      <c r="C12" s="221">
        <v>20</v>
      </c>
      <c r="D12" s="221">
        <f>+C12/100*B12</f>
        <v>254154798</v>
      </c>
      <c r="E12" s="221"/>
      <c r="F12" s="221"/>
    </row>
    <row r="13" spans="1:6" ht="25.5" customHeight="1">
      <c r="A13" s="182" t="s">
        <v>251</v>
      </c>
      <c r="B13" s="220">
        <v>530000000</v>
      </c>
      <c r="C13" s="221">
        <v>20</v>
      </c>
      <c r="D13" s="221">
        <f t="shared" ref="D13" si="2">+C13/100*B13</f>
        <v>106000000</v>
      </c>
      <c r="E13" s="221"/>
      <c r="F13" s="221"/>
    </row>
    <row r="14" spans="1:6" ht="25.5" customHeight="1">
      <c r="A14" s="222" t="s">
        <v>224</v>
      </c>
      <c r="B14" s="223">
        <f>SUM(B11:B13)</f>
        <v>2140061450</v>
      </c>
      <c r="C14" s="224"/>
      <c r="D14" s="225">
        <f>SUM(D11:D13)</f>
        <v>699442258</v>
      </c>
      <c r="E14" s="225"/>
      <c r="F14" s="224"/>
    </row>
    <row r="15" spans="1:6" ht="21.75" customHeight="1">
      <c r="A15" s="226" t="s">
        <v>53</v>
      </c>
      <c r="B15" s="227">
        <f>SUM(B14,B10)</f>
        <v>43836118649</v>
      </c>
      <c r="C15" s="228"/>
      <c r="D15" s="228">
        <f>SUM(D14,D10)</f>
        <v>9845319324.1999989</v>
      </c>
      <c r="E15" s="228"/>
      <c r="F15" s="228">
        <f>SUM(F14,F10)</f>
        <v>857496581.57999957</v>
      </c>
    </row>
    <row r="16" spans="1:6">
      <c r="A16" s="12"/>
      <c r="B16" s="13"/>
      <c r="C16" s="14"/>
      <c r="D16" s="13"/>
      <c r="E16" s="13"/>
    </row>
    <row r="17" spans="1:3">
      <c r="A17" s="15"/>
    </row>
    <row r="22" spans="1:3" hidden="1">
      <c r="A22" s="182" t="s">
        <v>252</v>
      </c>
      <c r="B22" s="229" t="e">
        <f>+#REF!+#REF!</f>
        <v>#REF!</v>
      </c>
      <c r="C22" s="230">
        <f>+B5+B11</f>
        <v>1347619493</v>
      </c>
    </row>
    <row r="23" spans="1:3" hidden="1">
      <c r="A23" s="11" t="s">
        <v>253</v>
      </c>
      <c r="B23" s="11" t="e">
        <f>+B22*#REF!</f>
        <v>#REF!</v>
      </c>
    </row>
    <row r="24" spans="1:3" hidden="1"/>
    <row r="25" spans="1:3" hidden="1">
      <c r="A25" s="231"/>
      <c r="B25" s="232"/>
    </row>
    <row r="26" spans="1:3" hidden="1">
      <c r="A26" s="233"/>
      <c r="B26" s="234"/>
    </row>
    <row r="27" spans="1:3" hidden="1"/>
    <row r="31" spans="1:3">
      <c r="B31" s="230"/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scale="85" orientation="landscape" r:id="rId1"/>
  <headerFooter>
    <oddHeader>&amp;LANEXO I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08"/>
  <sheetViews>
    <sheetView zoomScale="89" zoomScaleNormal="89" workbookViewId="0">
      <selection activeCell="G8" sqref="G8:G58"/>
    </sheetView>
  </sheetViews>
  <sheetFormatPr baseColWidth="10" defaultColWidth="9.7109375" defaultRowHeight="12.75"/>
  <cols>
    <col min="1" max="1" width="28.7109375" style="2" customWidth="1"/>
    <col min="2" max="2" width="12.42578125" style="2" customWidth="1"/>
    <col min="3" max="3" width="14.140625" style="6" customWidth="1"/>
    <col min="4" max="4" width="17.28515625" style="2" customWidth="1"/>
    <col min="5" max="5" width="15.7109375" style="6" customWidth="1"/>
    <col min="6" max="6" width="2" style="1" customWidth="1"/>
    <col min="7" max="7" width="16.140625" style="6" customWidth="1"/>
    <col min="8" max="10" width="18.42578125" style="2" customWidth="1"/>
    <col min="11" max="11" width="15.7109375" style="2" customWidth="1"/>
    <col min="12" max="12" width="15.7109375" style="6" customWidth="1"/>
    <col min="13" max="16384" width="9.7109375" style="2"/>
  </cols>
  <sheetData>
    <row r="1" spans="1:54" s="8" customFormat="1" ht="51" customHeight="1">
      <c r="A1" s="426" t="s">
        <v>117</v>
      </c>
      <c r="B1" s="427"/>
      <c r="C1" s="427"/>
      <c r="D1" s="427"/>
      <c r="E1" s="427"/>
      <c r="F1" s="427"/>
      <c r="G1" s="427"/>
      <c r="H1" s="427"/>
      <c r="I1" s="427"/>
      <c r="J1" s="427"/>
      <c r="K1" s="427"/>
      <c r="L1" s="427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</row>
    <row r="2" spans="1:54" ht="26.25" customHeight="1">
      <c r="A2" s="59"/>
      <c r="B2" s="59"/>
      <c r="C2" s="62"/>
      <c r="D2" s="59"/>
      <c r="E2" s="62"/>
      <c r="F2" s="59"/>
      <c r="G2" s="62"/>
      <c r="H2" s="59"/>
      <c r="I2" s="59"/>
      <c r="J2" s="59"/>
      <c r="K2" s="59"/>
      <c r="L2" s="62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</row>
    <row r="3" spans="1:54" ht="37.5" customHeight="1" thickBot="1">
      <c r="A3" s="59"/>
      <c r="B3" s="428" t="s">
        <v>91</v>
      </c>
      <c r="C3" s="429"/>
      <c r="D3" s="430" t="s">
        <v>93</v>
      </c>
      <c r="E3" s="430"/>
      <c r="F3" s="59"/>
      <c r="G3" s="96" t="s">
        <v>92</v>
      </c>
      <c r="H3" s="59"/>
      <c r="I3" s="59"/>
      <c r="J3" s="59"/>
      <c r="K3" s="59"/>
      <c r="L3" s="62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</row>
    <row r="4" spans="1:54" ht="39" customHeight="1" thickBot="1">
      <c r="A4" s="63" t="s">
        <v>0</v>
      </c>
      <c r="B4" s="63" t="s">
        <v>220</v>
      </c>
      <c r="C4" s="361" t="s">
        <v>79</v>
      </c>
      <c r="D4" s="97" t="s">
        <v>227</v>
      </c>
      <c r="E4" s="361" t="s">
        <v>80</v>
      </c>
      <c r="F4" s="59"/>
      <c r="G4" s="361" t="s">
        <v>86</v>
      </c>
      <c r="H4" s="362" t="s">
        <v>83</v>
      </c>
      <c r="I4" s="362" t="s">
        <v>84</v>
      </c>
      <c r="J4" s="362" t="s">
        <v>85</v>
      </c>
      <c r="K4" s="362" t="s">
        <v>118</v>
      </c>
      <c r="L4" s="363" t="s">
        <v>78</v>
      </c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</row>
    <row r="5" spans="1:54">
      <c r="A5" s="112"/>
      <c r="B5" s="111"/>
      <c r="C5" s="355"/>
      <c r="D5" s="98"/>
      <c r="E5" s="355"/>
      <c r="F5" s="61"/>
      <c r="G5" s="355"/>
      <c r="H5" s="356" t="s">
        <v>94</v>
      </c>
      <c r="I5" s="356" t="s">
        <v>94</v>
      </c>
      <c r="J5" s="356" t="s">
        <v>94</v>
      </c>
      <c r="K5" s="356" t="s">
        <v>94</v>
      </c>
      <c r="L5" s="364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</row>
    <row r="6" spans="1:54" s="3" customFormat="1" ht="11.25">
      <c r="A6" s="99"/>
      <c r="B6" s="64" t="s">
        <v>57</v>
      </c>
      <c r="C6" s="365" t="s">
        <v>66</v>
      </c>
      <c r="D6" s="100" t="s">
        <v>56</v>
      </c>
      <c r="E6" s="365" t="s">
        <v>67</v>
      </c>
      <c r="F6" s="65"/>
      <c r="G6" s="101" t="s">
        <v>63</v>
      </c>
      <c r="H6" s="66">
        <f>+K6*0.35</f>
        <v>88954179.299999997</v>
      </c>
      <c r="I6" s="66">
        <f>+K6*0.35</f>
        <v>88954179.299999997</v>
      </c>
      <c r="J6" s="66">
        <f>+K6*0.3</f>
        <v>76246439.399999991</v>
      </c>
      <c r="K6" s="66">
        <f>+'[5]PART PEF2022'!D12</f>
        <v>254154798</v>
      </c>
      <c r="L6" s="102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</row>
    <row r="7" spans="1:54" s="4" customFormat="1" ht="23.25" customHeight="1" thickBot="1">
      <c r="A7" s="67"/>
      <c r="B7" s="67"/>
      <c r="C7" s="103"/>
      <c r="D7" s="104"/>
      <c r="E7" s="105"/>
      <c r="F7" s="68"/>
      <c r="G7" s="357"/>
      <c r="H7" s="66" t="s">
        <v>81</v>
      </c>
      <c r="I7" s="66" t="s">
        <v>62</v>
      </c>
      <c r="J7" s="66" t="s">
        <v>82</v>
      </c>
      <c r="K7" s="69" t="s">
        <v>95</v>
      </c>
      <c r="L7" s="106" t="s">
        <v>64</v>
      </c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</row>
    <row r="8" spans="1:54" ht="13.5" thickTop="1">
      <c r="A8" s="57" t="s">
        <v>1</v>
      </c>
      <c r="B8" s="358">
        <v>2974</v>
      </c>
      <c r="C8" s="155">
        <f t="shared" ref="C8:C58" si="0">+B8/$B$59</f>
        <v>5.141377508841821E-4</v>
      </c>
      <c r="D8" s="107">
        <v>2926</v>
      </c>
      <c r="E8" s="366">
        <f t="shared" ref="E8:E59" si="1">(D8/D$59)</f>
        <v>5.1460739289975466E-4</v>
      </c>
      <c r="F8" s="59"/>
      <c r="G8" s="158">
        <f>+'COEF Art 14 F I '!AF7</f>
        <v>7.1295357892702178E-4</v>
      </c>
      <c r="H8" s="70">
        <f t="shared" ref="H8:H58" si="2">+C8*H$6</f>
        <v>45734.701677050267</v>
      </c>
      <c r="I8" s="108">
        <f t="shared" ref="I8:I58" si="3">+E8*I$6</f>
        <v>45776.47829711032</v>
      </c>
      <c r="J8" s="108">
        <f t="shared" ref="J8:J58" si="4">+G8*J$6</f>
        <v>54360.171850672275</v>
      </c>
      <c r="K8" s="108">
        <f>SUM(H8:J8)</f>
        <v>145871.35182483288</v>
      </c>
      <c r="L8" s="180">
        <f>+K8/K$59</f>
        <v>5.739468740024843E-4</v>
      </c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</row>
    <row r="9" spans="1:54">
      <c r="A9" s="58" t="s">
        <v>2</v>
      </c>
      <c r="B9" s="359">
        <v>3382</v>
      </c>
      <c r="C9" s="156">
        <f t="shared" si="0"/>
        <v>5.8467177992276519E-4</v>
      </c>
      <c r="D9" s="109">
        <v>2595</v>
      </c>
      <c r="E9" s="367">
        <f t="shared" si="1"/>
        <v>4.5639309110555819E-4</v>
      </c>
      <c r="F9" s="59"/>
      <c r="G9" s="159">
        <f>+'COEF Art 14 F I '!AF8</f>
        <v>1.2956199455679538E-3</v>
      </c>
      <c r="H9" s="71">
        <f t="shared" si="2"/>
        <v>52008.998342899795</v>
      </c>
      <c r="I9" s="72">
        <f t="shared" si="3"/>
        <v>40598.072857485058</v>
      </c>
      <c r="J9" s="72">
        <f t="shared" si="4"/>
        <v>98786.407665178282</v>
      </c>
      <c r="K9" s="72">
        <f t="shared" ref="K9:K58" si="5">SUM(H9:J9)</f>
        <v>191393.47886556311</v>
      </c>
      <c r="L9" s="181">
        <f t="shared" ref="L9:L58" si="6">+K9/K$59</f>
        <v>7.530586885302991E-4</v>
      </c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</row>
    <row r="10" spans="1:54">
      <c r="A10" s="58" t="s">
        <v>3</v>
      </c>
      <c r="B10" s="359">
        <v>1407</v>
      </c>
      <c r="C10" s="156">
        <f t="shared" si="0"/>
        <v>2.4323867366981983E-4</v>
      </c>
      <c r="D10" s="109">
        <v>1535</v>
      </c>
      <c r="E10" s="367">
        <f t="shared" si="1"/>
        <v>2.6996662614529166E-4</v>
      </c>
      <c r="F10" s="59"/>
      <c r="G10" s="159">
        <f>+'COEF Art 14 F I '!AF9</f>
        <v>1.5984173605869715E-3</v>
      </c>
      <c r="H10" s="71">
        <f t="shared" si="2"/>
        <v>21637.096590319343</v>
      </c>
      <c r="I10" s="72">
        <f t="shared" si="3"/>
        <v>24014.65966714434</v>
      </c>
      <c r="J10" s="72">
        <f t="shared" si="4"/>
        <v>121873.63241990245</v>
      </c>
      <c r="K10" s="72">
        <f t="shared" si="5"/>
        <v>167525.38867736614</v>
      </c>
      <c r="L10" s="181">
        <f t="shared" si="6"/>
        <v>6.5914706311138028E-4</v>
      </c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</row>
    <row r="11" spans="1:54" ht="13.5" customHeight="1">
      <c r="A11" s="58" t="s">
        <v>4</v>
      </c>
      <c r="B11" s="359">
        <v>35289</v>
      </c>
      <c r="C11" s="156">
        <f t="shared" si="0"/>
        <v>6.1006748792709828E-3</v>
      </c>
      <c r="D11" s="109">
        <v>38797</v>
      </c>
      <c r="E11" s="367">
        <f t="shared" si="1"/>
        <v>6.8233844915693027E-3</v>
      </c>
      <c r="F11" s="59"/>
      <c r="G11" s="159">
        <f>+'COEF Art 14 F I '!AF10</f>
        <v>6.2060238842888658E-3</v>
      </c>
      <c r="H11" s="71">
        <f t="shared" si="2"/>
        <v>542680.52706167684</v>
      </c>
      <c r="I11" s="72">
        <f t="shared" si="3"/>
        <v>606968.56749589508</v>
      </c>
      <c r="J11" s="72">
        <f t="shared" si="4"/>
        <v>473187.22400838358</v>
      </c>
      <c r="K11" s="72">
        <f t="shared" si="5"/>
        <v>1622836.3185659554</v>
      </c>
      <c r="L11" s="181">
        <f t="shared" si="6"/>
        <v>6.3852279450807578E-3</v>
      </c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</row>
    <row r="12" spans="1:54" ht="14.25">
      <c r="A12" s="58" t="s">
        <v>5</v>
      </c>
      <c r="B12" s="359">
        <v>18030</v>
      </c>
      <c r="C12" s="156">
        <f t="shared" si="0"/>
        <v>3.1169817244256232E-3</v>
      </c>
      <c r="D12" s="368">
        <v>20134</v>
      </c>
      <c r="E12" s="367">
        <f t="shared" si="1"/>
        <v>3.5410475901037799E-3</v>
      </c>
      <c r="F12" s="59"/>
      <c r="G12" s="159">
        <f>+'COEF Art 14 F I '!AF11</f>
        <v>5.0854077850998151E-3</v>
      </c>
      <c r="H12" s="71">
        <f t="shared" si="2"/>
        <v>277268.55118938006</v>
      </c>
      <c r="I12" s="72">
        <f t="shared" si="3"/>
        <v>314990.98223992455</v>
      </c>
      <c r="J12" s="72">
        <f t="shared" si="4"/>
        <v>387744.23651090125</v>
      </c>
      <c r="K12" s="72">
        <f t="shared" si="5"/>
        <v>980003.76994020585</v>
      </c>
      <c r="L12" s="181">
        <f t="shared" si="6"/>
        <v>3.8559325956152349E-3</v>
      </c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</row>
    <row r="13" spans="1:54">
      <c r="A13" s="58" t="s">
        <v>6</v>
      </c>
      <c r="B13" s="359">
        <v>656464</v>
      </c>
      <c r="C13" s="156">
        <f t="shared" si="0"/>
        <v>0.11348786970290306</v>
      </c>
      <c r="D13" s="109">
        <v>676062</v>
      </c>
      <c r="E13" s="367">
        <f t="shared" si="1"/>
        <v>0.11890174410751672</v>
      </c>
      <c r="F13" s="59"/>
      <c r="G13" s="159">
        <f>+'COEF Art 14 F I '!AF12</f>
        <v>8.4898532569311735E-2</v>
      </c>
      <c r="H13" s="71">
        <f t="shared" si="2"/>
        <v>10095220.309927076</v>
      </c>
      <c r="I13" s="72">
        <f t="shared" si="3"/>
        <v>10576807.06442276</v>
      </c>
      <c r="J13" s="72">
        <f t="shared" si="4"/>
        <v>6473210.8186949529</v>
      </c>
      <c r="K13" s="72">
        <f t="shared" si="5"/>
        <v>27145238.193044789</v>
      </c>
      <c r="L13" s="181">
        <f t="shared" si="6"/>
        <v>0.10680592460444042</v>
      </c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</row>
    <row r="14" spans="1:54">
      <c r="A14" s="58" t="s">
        <v>7</v>
      </c>
      <c r="B14" s="359">
        <v>14992</v>
      </c>
      <c r="C14" s="156">
        <f t="shared" si="0"/>
        <v>2.5917798121236242E-3</v>
      </c>
      <c r="D14" s="109">
        <v>18031</v>
      </c>
      <c r="E14" s="367">
        <f t="shared" si="1"/>
        <v>3.1711845185835529E-3</v>
      </c>
      <c r="F14" s="59"/>
      <c r="G14" s="159">
        <f>+'COEF Art 14 F I '!AF13</f>
        <v>4.6651381905363585E-3</v>
      </c>
      <c r="H14" s="71">
        <f t="shared" si="2"/>
        <v>230549.64611376516</v>
      </c>
      <c r="I14" s="72">
        <f t="shared" si="3"/>
        <v>282090.11625946552</v>
      </c>
      <c r="J14" s="72">
        <f t="shared" si="4"/>
        <v>355700.1763373561</v>
      </c>
      <c r="K14" s="72">
        <f t="shared" si="5"/>
        <v>868339.93871058675</v>
      </c>
      <c r="L14" s="181">
        <f t="shared" si="6"/>
        <v>3.4165789729084187E-3</v>
      </c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</row>
    <row r="15" spans="1:54">
      <c r="A15" s="58" t="s">
        <v>8</v>
      </c>
      <c r="B15" s="359">
        <v>3661</v>
      </c>
      <c r="C15" s="156">
        <f t="shared" si="0"/>
        <v>6.329046086035611E-4</v>
      </c>
      <c r="D15" s="109">
        <v>4441</v>
      </c>
      <c r="E15" s="367">
        <f t="shared" si="1"/>
        <v>7.8105653857409789E-4</v>
      </c>
      <c r="F15" s="59"/>
      <c r="G15" s="159">
        <f>+'COEF Art 14 F I '!AF14</f>
        <v>1.3526218678857451E-3</v>
      </c>
      <c r="H15" s="71">
        <f t="shared" si="2"/>
        <v>56299.510033517494</v>
      </c>
      <c r="I15" s="72">
        <f t="shared" si="3"/>
        <v>69478.243375757665</v>
      </c>
      <c r="J15" s="72">
        <f t="shared" si="4"/>
        <v>103132.60128086526</v>
      </c>
      <c r="K15" s="72">
        <f t="shared" si="5"/>
        <v>228910.3546901404</v>
      </c>
      <c r="L15" s="181">
        <f t="shared" si="6"/>
        <v>9.0067296187790397E-4</v>
      </c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</row>
    <row r="16" spans="1:54">
      <c r="A16" s="58" t="s">
        <v>9</v>
      </c>
      <c r="B16" s="359">
        <v>122337</v>
      </c>
      <c r="C16" s="156">
        <f t="shared" si="0"/>
        <v>2.1149317427679282E-2</v>
      </c>
      <c r="D16" s="109">
        <v>106525</v>
      </c>
      <c r="E16" s="367">
        <f t="shared" si="1"/>
        <v>1.8734980358389049E-2</v>
      </c>
      <c r="F16" s="59"/>
      <c r="G16" s="159">
        <f>+'COEF Art 14 F I '!AF15</f>
        <v>1.3607121172904888E-2</v>
      </c>
      <c r="H16" s="71">
        <f t="shared" si="2"/>
        <v>1881320.1745343974</v>
      </c>
      <c r="I16" s="72">
        <f t="shared" si="3"/>
        <v>1666554.8019821178</v>
      </c>
      <c r="J16" s="72">
        <f t="shared" si="4"/>
        <v>1037494.5399183494</v>
      </c>
      <c r="K16" s="72">
        <f t="shared" si="5"/>
        <v>4585369.5164348641</v>
      </c>
      <c r="L16" s="181">
        <f t="shared" si="6"/>
        <v>1.8041640576995376E-2</v>
      </c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>
      <c r="A17" s="58" t="s">
        <v>10</v>
      </c>
      <c r="B17" s="359">
        <v>104478</v>
      </c>
      <c r="C17" s="156">
        <f t="shared" si="0"/>
        <v>1.8061897759541888E-2</v>
      </c>
      <c r="D17" s="109">
        <v>48695</v>
      </c>
      <c r="E17" s="367">
        <f t="shared" si="1"/>
        <v>8.5641855766416791E-3</v>
      </c>
      <c r="F17" s="59"/>
      <c r="G17" s="159">
        <f>+'COEF Art 14 F I '!AF16</f>
        <v>9.52688947860739E-3</v>
      </c>
      <c r="H17" s="71">
        <f t="shared" si="2"/>
        <v>1606681.2918005574</v>
      </c>
      <c r="I17" s="72">
        <f t="shared" si="3"/>
        <v>761820.09934305784</v>
      </c>
      <c r="J17" s="72">
        <f t="shared" si="4"/>
        <v>726391.40130113589</v>
      </c>
      <c r="K17" s="72">
        <f t="shared" si="5"/>
        <v>3094892.7924447511</v>
      </c>
      <c r="L17" s="181">
        <f t="shared" si="6"/>
        <v>1.2177196011246463E-2</v>
      </c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>
      <c r="A18" s="58" t="s">
        <v>11</v>
      </c>
      <c r="B18" s="359">
        <v>7340</v>
      </c>
      <c r="C18" s="156">
        <f t="shared" si="0"/>
        <v>1.2689210126058832E-3</v>
      </c>
      <c r="D18" s="109">
        <v>8352</v>
      </c>
      <c r="E18" s="367">
        <f t="shared" si="1"/>
        <v>1.4688998446680623E-3</v>
      </c>
      <c r="F18" s="59"/>
      <c r="G18" s="159">
        <f>+'COEF Art 14 F I '!AF17</f>
        <v>3.5441414214742411E-3</v>
      </c>
      <c r="H18" s="71">
        <f t="shared" si="2"/>
        <v>112875.82727288129</v>
      </c>
      <c r="I18" s="72">
        <f t="shared" si="3"/>
        <v>130664.78015634496</v>
      </c>
      <c r="J18" s="72">
        <f t="shared" si="4"/>
        <v>270228.16411746555</v>
      </c>
      <c r="K18" s="72">
        <f t="shared" si="5"/>
        <v>513768.77154669177</v>
      </c>
      <c r="L18" s="181">
        <f t="shared" si="6"/>
        <v>2.0214797264881527E-3</v>
      </c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>
      <c r="A19" s="58" t="s">
        <v>12</v>
      </c>
      <c r="B19" s="359">
        <v>9930</v>
      </c>
      <c r="C19" s="156">
        <f t="shared" si="0"/>
        <v>1.7166737949831634E-3</v>
      </c>
      <c r="D19" s="109">
        <v>12086</v>
      </c>
      <c r="E19" s="367">
        <f t="shared" si="1"/>
        <v>2.1256134485941333E-3</v>
      </c>
      <c r="F19" s="59"/>
      <c r="G19" s="159">
        <f>+'COEF Art 14 F I '!AF18</f>
        <v>4.6189921505847718E-3</v>
      </c>
      <c r="H19" s="71">
        <f t="shared" si="2"/>
        <v>152705.30855854377</v>
      </c>
      <c r="I19" s="72">
        <f t="shared" si="3"/>
        <v>189082.19982873386</v>
      </c>
      <c r="J19" s="72">
        <f t="shared" si="4"/>
        <v>352181.70509863744</v>
      </c>
      <c r="K19" s="72">
        <f t="shared" si="5"/>
        <v>693969.21348591498</v>
      </c>
      <c r="L19" s="181">
        <f t="shared" si="6"/>
        <v>2.7304981804274846E-3</v>
      </c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>
      <c r="A20" s="58" t="s">
        <v>13</v>
      </c>
      <c r="B20" s="359">
        <v>68747</v>
      </c>
      <c r="C20" s="156">
        <f t="shared" si="0"/>
        <v>1.1884811015479108E-2</v>
      </c>
      <c r="D20" s="109">
        <v>51865</v>
      </c>
      <c r="E20" s="367">
        <f t="shared" si="1"/>
        <v>9.1217062312870037E-3</v>
      </c>
      <c r="F20" s="59"/>
      <c r="G20" s="159">
        <f>+'COEF Art 14 F I '!AF19</f>
        <v>7.0900563740065375E-3</v>
      </c>
      <c r="H20" s="71">
        <f t="shared" si="2"/>
        <v>1057203.6100175437</v>
      </c>
      <c r="I20" s="72">
        <f t="shared" si="3"/>
        <v>811413.89161983132</v>
      </c>
      <c r="J20" s="72">
        <f t="shared" si="4"/>
        <v>540591.55366327311</v>
      </c>
      <c r="K20" s="72">
        <f t="shared" si="5"/>
        <v>2409209.0553006483</v>
      </c>
      <c r="L20" s="181">
        <f t="shared" si="6"/>
        <v>9.4792979485701003E-3</v>
      </c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>
      <c r="A21" s="58" t="s">
        <v>14</v>
      </c>
      <c r="B21" s="359">
        <v>36088</v>
      </c>
      <c r="C21" s="156">
        <f t="shared" si="0"/>
        <v>6.2388040194715413E-3</v>
      </c>
      <c r="D21" s="109">
        <v>38266</v>
      </c>
      <c r="E21" s="367">
        <f t="shared" si="1"/>
        <v>6.7299953850656225E-3</v>
      </c>
      <c r="F21" s="59"/>
      <c r="G21" s="159">
        <f>+'COEF Art 14 F I '!AF20</f>
        <v>1.0328398401407821E-2</v>
      </c>
      <c r="H21" s="71">
        <f t="shared" si="2"/>
        <v>554967.69136563211</v>
      </c>
      <c r="I21" s="72">
        <f t="shared" si="3"/>
        <v>598661.21617129992</v>
      </c>
      <c r="J21" s="72">
        <f t="shared" si="4"/>
        <v>787503.60281199822</v>
      </c>
      <c r="K21" s="72">
        <f t="shared" si="5"/>
        <v>1941132.5103489303</v>
      </c>
      <c r="L21" s="181">
        <f t="shared" si="6"/>
        <v>7.6375993120103526E-3</v>
      </c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</row>
    <row r="22" spans="1:54">
      <c r="A22" s="58" t="s">
        <v>15</v>
      </c>
      <c r="B22" s="359">
        <v>1360</v>
      </c>
      <c r="C22" s="156">
        <f t="shared" si="0"/>
        <v>2.351134301286105E-4</v>
      </c>
      <c r="D22" s="109">
        <v>1874</v>
      </c>
      <c r="E22" s="367">
        <f t="shared" si="1"/>
        <v>3.2958792012786745E-4</v>
      </c>
      <c r="F22" s="59"/>
      <c r="G22" s="159">
        <f>+'COEF Art 14 F I '!AF21</f>
        <v>1.4958202456774291E-3</v>
      </c>
      <c r="H22" s="71">
        <f t="shared" si="2"/>
        <v>20914.322219498441</v>
      </c>
      <c r="I22" s="72">
        <f t="shared" si="3"/>
        <v>29318.222942168399</v>
      </c>
      <c r="J22" s="72">
        <f t="shared" si="4"/>
        <v>114050.96771533719</v>
      </c>
      <c r="K22" s="72">
        <f t="shared" si="5"/>
        <v>164283.51287700405</v>
      </c>
      <c r="L22" s="181">
        <f t="shared" si="6"/>
        <v>6.4639154629299593E-4</v>
      </c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</row>
    <row r="23" spans="1:54">
      <c r="A23" s="58" t="s">
        <v>16</v>
      </c>
      <c r="B23" s="359">
        <v>3256</v>
      </c>
      <c r="C23" s="156">
        <f t="shared" si="0"/>
        <v>5.6288921213143808E-4</v>
      </c>
      <c r="D23" s="109">
        <v>3314</v>
      </c>
      <c r="E23" s="367">
        <f t="shared" si="1"/>
        <v>5.8284651403615407E-4</v>
      </c>
      <c r="F23" s="59"/>
      <c r="G23" s="159">
        <f>+'COEF Art 14 F I '!AF22</f>
        <v>1.079925173801743E-3</v>
      </c>
      <c r="H23" s="71">
        <f t="shared" si="2"/>
        <v>50071.347901975678</v>
      </c>
      <c r="I23" s="72">
        <f t="shared" si="3"/>
        <v>51846.633313952014</v>
      </c>
      <c r="J23" s="72">
        <f t="shared" si="4"/>
        <v>82340.449320809057</v>
      </c>
      <c r="K23" s="72">
        <f t="shared" si="5"/>
        <v>184258.43053673673</v>
      </c>
      <c r="L23" s="181">
        <f t="shared" si="6"/>
        <v>7.2498505629917998E-4</v>
      </c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</row>
    <row r="24" spans="1:54">
      <c r="A24" s="58" t="s">
        <v>17</v>
      </c>
      <c r="B24" s="359">
        <v>40903</v>
      </c>
      <c r="C24" s="156">
        <f t="shared" si="0"/>
        <v>7.0712092886401146E-3</v>
      </c>
      <c r="D24" s="109">
        <v>45483</v>
      </c>
      <c r="E24" s="367">
        <f t="shared" si="1"/>
        <v>7.999278213007362E-3</v>
      </c>
      <c r="F24" s="59"/>
      <c r="G24" s="159">
        <f>+'COEF Art 14 F I '!AF23</f>
        <v>9.6419371335461131E-3</v>
      </c>
      <c r="H24" s="71">
        <f t="shared" si="2"/>
        <v>629013.61892951815</v>
      </c>
      <c r="I24" s="72">
        <f t="shared" si="3"/>
        <v>711569.22843044042</v>
      </c>
      <c r="J24" s="72">
        <f t="shared" si="4"/>
        <v>735163.37535153329</v>
      </c>
      <c r="K24" s="72">
        <f t="shared" si="5"/>
        <v>2075746.2227114919</v>
      </c>
      <c r="L24" s="181">
        <f t="shared" si="6"/>
        <v>8.167251765640449E-3</v>
      </c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</row>
    <row r="25" spans="1:54">
      <c r="A25" s="58" t="s">
        <v>18</v>
      </c>
      <c r="B25" s="359">
        <v>397205</v>
      </c>
      <c r="C25" s="156">
        <f t="shared" si="0"/>
        <v>6.8667816186937305E-2</v>
      </c>
      <c r="D25" s="109">
        <v>309453</v>
      </c>
      <c r="E25" s="367">
        <f t="shared" si="1"/>
        <v>5.4424744208820153E-2</v>
      </c>
      <c r="F25" s="59"/>
      <c r="G25" s="159">
        <f>+'COEF Art 14 F I '!AF24</f>
        <v>3.8699467705409864E-2</v>
      </c>
      <c r="H25" s="71">
        <f t="shared" si="2"/>
        <v>6108289.2332322635</v>
      </c>
      <c r="I25" s="72">
        <f t="shared" si="3"/>
        <v>4841308.4547080239</v>
      </c>
      <c r="J25" s="72">
        <f t="shared" si="4"/>
        <v>2950696.6192127899</v>
      </c>
      <c r="K25" s="72">
        <f t="shared" si="5"/>
        <v>13900294.307153078</v>
      </c>
      <c r="L25" s="181">
        <f t="shared" si="6"/>
        <v>5.4692236450138064E-2</v>
      </c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</row>
    <row r="26" spans="1:54">
      <c r="A26" s="58" t="s">
        <v>19</v>
      </c>
      <c r="B26" s="359">
        <v>5506</v>
      </c>
      <c r="C26" s="156">
        <f t="shared" si="0"/>
        <v>9.5186363697656574E-4</v>
      </c>
      <c r="D26" s="109">
        <v>6204</v>
      </c>
      <c r="E26" s="367">
        <f t="shared" si="1"/>
        <v>1.0911224420882015E-3</v>
      </c>
      <c r="F26" s="59"/>
      <c r="G26" s="159">
        <f>+'COEF Art 14 F I '!AF25</f>
        <v>3.3101270077636777E-3</v>
      </c>
      <c r="H26" s="71">
        <f t="shared" si="2"/>
        <v>84672.248632763542</v>
      </c>
      <c r="I26" s="72">
        <f t="shared" si="3"/>
        <v>97059.901351767738</v>
      </c>
      <c r="J26" s="72">
        <f t="shared" si="4"/>
        <v>252385.39830375655</v>
      </c>
      <c r="K26" s="72">
        <f t="shared" si="5"/>
        <v>434117.54828828783</v>
      </c>
      <c r="L26" s="181">
        <f t="shared" si="6"/>
        <v>1.7080832300017715E-3</v>
      </c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</row>
    <row r="27" spans="1:54">
      <c r="A27" s="58" t="s">
        <v>20</v>
      </c>
      <c r="B27" s="359">
        <v>481213</v>
      </c>
      <c r="C27" s="156">
        <f t="shared" si="0"/>
        <v>8.3190911067999293E-2</v>
      </c>
      <c r="D27" s="109">
        <v>472873</v>
      </c>
      <c r="E27" s="367">
        <f t="shared" si="1"/>
        <v>8.3166077136939742E-2</v>
      </c>
      <c r="F27" s="59"/>
      <c r="G27" s="159">
        <f>+'COEF Art 14 F I '!AF26</f>
        <v>5.5501914924734996E-2</v>
      </c>
      <c r="H27" s="71">
        <f t="shared" si="2"/>
        <v>7400179.219273163</v>
      </c>
      <c r="I27" s="72">
        <f t="shared" si="3"/>
        <v>7397970.1373169683</v>
      </c>
      <c r="J27" s="72">
        <f t="shared" si="4"/>
        <v>4231823.3928927621</v>
      </c>
      <c r="K27" s="72">
        <f t="shared" si="5"/>
        <v>19029972.749482892</v>
      </c>
      <c r="L27" s="181">
        <f t="shared" si="6"/>
        <v>7.4875520349149141E-2</v>
      </c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</row>
    <row r="28" spans="1:54">
      <c r="A28" s="58" t="s">
        <v>21</v>
      </c>
      <c r="B28" s="359">
        <v>14109</v>
      </c>
      <c r="C28" s="156">
        <f t="shared" si="0"/>
        <v>2.4391289600621804E-3</v>
      </c>
      <c r="D28" s="109">
        <v>16479</v>
      </c>
      <c r="E28" s="367">
        <f t="shared" si="1"/>
        <v>2.8982280340379548E-3</v>
      </c>
      <c r="F28" s="59"/>
      <c r="G28" s="159">
        <f>+'COEF Art 14 F I '!AF27</f>
        <v>4.4636286796751901E-3</v>
      </c>
      <c r="H28" s="71">
        <f t="shared" si="2"/>
        <v>216970.71484919373</v>
      </c>
      <c r="I28" s="72">
        <f t="shared" si="3"/>
        <v>257809.49619209874</v>
      </c>
      <c r="J28" s="72">
        <f t="shared" si="4"/>
        <v>340335.79362895637</v>
      </c>
      <c r="K28" s="72">
        <f t="shared" si="5"/>
        <v>815116.00467024883</v>
      </c>
      <c r="L28" s="181">
        <f t="shared" si="6"/>
        <v>3.2071635518376037E-3</v>
      </c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</row>
    <row r="29" spans="1:54">
      <c r="A29" s="58" t="s">
        <v>22</v>
      </c>
      <c r="B29" s="359">
        <v>1808</v>
      </c>
      <c r="C29" s="156">
        <f t="shared" si="0"/>
        <v>3.1256256005332924E-4</v>
      </c>
      <c r="D29" s="109">
        <v>1199</v>
      </c>
      <c r="E29" s="367">
        <f t="shared" si="1"/>
        <v>2.108729542333581E-4</v>
      </c>
      <c r="F29" s="59"/>
      <c r="G29" s="159">
        <f>+'COEF Art 14 F I '!AF28</f>
        <v>8.7495134625182008E-4</v>
      </c>
      <c r="H29" s="71">
        <f t="shared" si="2"/>
        <v>27803.746009450864</v>
      </c>
      <c r="I29" s="72">
        <f t="shared" si="3"/>
        <v>18758.030580394829</v>
      </c>
      <c r="J29" s="72">
        <f t="shared" si="4"/>
        <v>66711.924799937813</v>
      </c>
      <c r="K29" s="72">
        <f t="shared" si="5"/>
        <v>113273.7013897835</v>
      </c>
      <c r="L29" s="181">
        <f t="shared" si="6"/>
        <v>4.4568783387588648E-4</v>
      </c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</row>
    <row r="30" spans="1:54">
      <c r="A30" s="58" t="s">
        <v>23</v>
      </c>
      <c r="B30" s="359">
        <v>6282</v>
      </c>
      <c r="C30" s="156">
        <f t="shared" si="0"/>
        <v>1.0860165941675964E-3</v>
      </c>
      <c r="D30" s="109">
        <v>6672</v>
      </c>
      <c r="E30" s="367">
        <f t="shared" si="1"/>
        <v>1.1734314851083946E-3</v>
      </c>
      <c r="F30" s="59"/>
      <c r="G30" s="159">
        <f>+'COEF Art 14 F I '!AF29</f>
        <v>2.502754837469378E-3</v>
      </c>
      <c r="H30" s="71">
        <f t="shared" si="2"/>
        <v>96605.714840359695</v>
      </c>
      <c r="I30" s="72">
        <f t="shared" si="3"/>
        <v>104381.6347225974</v>
      </c>
      <c r="J30" s="72">
        <f t="shared" si="4"/>
        <v>190826.14504816575</v>
      </c>
      <c r="K30" s="72">
        <f t="shared" si="5"/>
        <v>391813.49461112288</v>
      </c>
      <c r="L30" s="181">
        <f t="shared" si="6"/>
        <v>1.5416332789874099E-3</v>
      </c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</row>
    <row r="31" spans="1:54">
      <c r="A31" s="58" t="s">
        <v>24</v>
      </c>
      <c r="B31" s="359">
        <v>102149</v>
      </c>
      <c r="C31" s="156">
        <f t="shared" si="0"/>
        <v>1.7659266010446643E-2</v>
      </c>
      <c r="D31" s="109">
        <v>94516</v>
      </c>
      <c r="E31" s="367">
        <f t="shared" si="1"/>
        <v>1.6622909209608069E-2</v>
      </c>
      <c r="F31" s="59"/>
      <c r="G31" s="159">
        <f>+'COEF Art 14 F I '!AF30</f>
        <v>9.2656795460639759E-3</v>
      </c>
      <c r="H31" s="71">
        <f t="shared" si="2"/>
        <v>1570865.5149996663</v>
      </c>
      <c r="I31" s="72">
        <f t="shared" si="3"/>
        <v>1478677.2463190975</v>
      </c>
      <c r="J31" s="72">
        <f t="shared" si="4"/>
        <v>706475.07400878635</v>
      </c>
      <c r="K31" s="72">
        <f t="shared" si="5"/>
        <v>3756017.8353275498</v>
      </c>
      <c r="L31" s="181">
        <f t="shared" si="6"/>
        <v>1.4778465190838339E-2</v>
      </c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</row>
    <row r="32" spans="1:54">
      <c r="A32" s="58" t="s">
        <v>25</v>
      </c>
      <c r="B32" s="359">
        <v>643143</v>
      </c>
      <c r="C32" s="156">
        <f t="shared" si="0"/>
        <v>0.11118496823029775</v>
      </c>
      <c r="D32" s="109">
        <v>715442</v>
      </c>
      <c r="E32" s="367">
        <f t="shared" si="1"/>
        <v>0.12582766315481417</v>
      </c>
      <c r="F32" s="59"/>
      <c r="G32" s="159">
        <f>+'COEF Art 14 F I '!AF31</f>
        <v>6.5448805463303547E-2</v>
      </c>
      <c r="H32" s="71">
        <f t="shared" si="2"/>
        <v>9890367.59942271</v>
      </c>
      <c r="I32" s="72">
        <f t="shared" si="3"/>
        <v>11192896.509173343</v>
      </c>
      <c r="J32" s="72">
        <f t="shared" si="4"/>
        <v>4990238.3795601623</v>
      </c>
      <c r="K32" s="72">
        <f t="shared" si="5"/>
        <v>26073502.488156214</v>
      </c>
      <c r="L32" s="181">
        <f t="shared" si="6"/>
        <v>0.10258906262378022</v>
      </c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</row>
    <row r="33" spans="1:54">
      <c r="A33" s="58" t="s">
        <v>26</v>
      </c>
      <c r="B33" s="359">
        <v>1959</v>
      </c>
      <c r="C33" s="156">
        <f t="shared" si="0"/>
        <v>3.3866706589849116E-4</v>
      </c>
      <c r="D33" s="109">
        <v>2019</v>
      </c>
      <c r="E33" s="367">
        <f t="shared" si="1"/>
        <v>3.5508965354224354E-4</v>
      </c>
      <c r="F33" s="59"/>
      <c r="G33" s="159">
        <f>+'COEF Art 14 F I '!AF32</f>
        <v>9.1195039393604646E-4</v>
      </c>
      <c r="H33" s="71">
        <f t="shared" si="2"/>
        <v>30125.850902939299</v>
      </c>
      <c r="I33" s="72">
        <f t="shared" si="3"/>
        <v>31586.70870877161</v>
      </c>
      <c r="J33" s="72">
        <f t="shared" si="4"/>
        <v>69532.970447050888</v>
      </c>
      <c r="K33" s="72">
        <f t="shared" si="5"/>
        <v>131245.5300587618</v>
      </c>
      <c r="L33" s="181">
        <f t="shared" si="6"/>
        <v>5.1639996998507096E-4</v>
      </c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</row>
    <row r="34" spans="1:54">
      <c r="A34" s="58" t="s">
        <v>27</v>
      </c>
      <c r="B34" s="359">
        <v>16086</v>
      </c>
      <c r="C34" s="156">
        <f t="shared" si="0"/>
        <v>2.7809078213594327E-3</v>
      </c>
      <c r="D34" s="109">
        <v>15960</v>
      </c>
      <c r="E34" s="367">
        <f t="shared" si="1"/>
        <v>2.8069494158168432E-3</v>
      </c>
      <c r="F34" s="59"/>
      <c r="G34" s="159">
        <f>+'COEF Art 14 F I '!AF33</f>
        <v>1.7316317701768615E-3</v>
      </c>
      <c r="H34" s="71">
        <f t="shared" si="2"/>
        <v>247373.37295797933</v>
      </c>
      <c r="I34" s="72">
        <f t="shared" si="3"/>
        <v>249689.88162060172</v>
      </c>
      <c r="J34" s="72">
        <f t="shared" si="4"/>
        <v>132030.75682790478</v>
      </c>
      <c r="K34" s="72">
        <f t="shared" si="5"/>
        <v>629094.01140648592</v>
      </c>
      <c r="L34" s="181">
        <f t="shared" si="6"/>
        <v>2.4752395640647551E-3</v>
      </c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</row>
    <row r="35" spans="1:54">
      <c r="A35" s="58" t="s">
        <v>28</v>
      </c>
      <c r="B35" s="359">
        <v>1386</v>
      </c>
      <c r="C35" s="156">
        <f t="shared" si="0"/>
        <v>2.3960824570459864E-4</v>
      </c>
      <c r="D35" s="109">
        <v>1732</v>
      </c>
      <c r="E35" s="367">
        <f t="shared" si="1"/>
        <v>3.0461380878413365E-4</v>
      </c>
      <c r="F35" s="59"/>
      <c r="G35" s="159">
        <f>+'COEF Art 14 F I '!AF34</f>
        <v>1.308061922473703E-3</v>
      </c>
      <c r="H35" s="71">
        <f t="shared" si="2"/>
        <v>21314.15485016532</v>
      </c>
      <c r="I35" s="72">
        <f t="shared" si="3"/>
        <v>27096.671363839738</v>
      </c>
      <c r="J35" s="72">
        <f t="shared" si="4"/>
        <v>99735.064103338678</v>
      </c>
      <c r="K35" s="72">
        <f t="shared" si="5"/>
        <v>148145.89031734373</v>
      </c>
      <c r="L35" s="181">
        <f t="shared" si="6"/>
        <v>5.82896295813167E-4</v>
      </c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</row>
    <row r="36" spans="1:54">
      <c r="A36" s="58" t="s">
        <v>29</v>
      </c>
      <c r="B36" s="359">
        <v>7026</v>
      </c>
      <c r="C36" s="156">
        <f t="shared" si="0"/>
        <v>1.2146374706497186E-3</v>
      </c>
      <c r="D36" s="109">
        <v>7833</v>
      </c>
      <c r="E36" s="367">
        <f t="shared" si="1"/>
        <v>1.3776212264469507E-3</v>
      </c>
      <c r="F36" s="59"/>
      <c r="G36" s="159">
        <f>+'COEF Art 14 F I '!AF35</f>
        <v>1.528914435974759E-3</v>
      </c>
      <c r="H36" s="71">
        <f t="shared" si="2"/>
        <v>108047.07934867355</v>
      </c>
      <c r="I36" s="72">
        <f t="shared" si="3"/>
        <v>122545.16558484796</v>
      </c>
      <c r="J36" s="72">
        <f t="shared" si="4"/>
        <v>116574.28189033463</v>
      </c>
      <c r="K36" s="72">
        <f t="shared" si="5"/>
        <v>347166.52682385611</v>
      </c>
      <c r="L36" s="181">
        <f t="shared" si="6"/>
        <v>1.3659648747762617E-3</v>
      </c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</row>
    <row r="37" spans="1:54">
      <c r="A37" s="58" t="s">
        <v>30</v>
      </c>
      <c r="B37" s="359">
        <v>3298</v>
      </c>
      <c r="C37" s="156">
        <f t="shared" si="0"/>
        <v>5.7015006806188052E-4</v>
      </c>
      <c r="D37" s="109">
        <v>4025</v>
      </c>
      <c r="E37" s="367">
        <f t="shared" si="1"/>
        <v>7.0789294477837056E-4</v>
      </c>
      <c r="F37" s="59"/>
      <c r="G37" s="159">
        <f>+'COEF Art 14 F I '!AF36</f>
        <v>1.5950723960538578E-3</v>
      </c>
      <c r="H37" s="71">
        <f t="shared" si="2"/>
        <v>50717.231382283724</v>
      </c>
      <c r="I37" s="72">
        <f t="shared" si="3"/>
        <v>62970.035935020169</v>
      </c>
      <c r="J37" s="72">
        <f t="shared" si="4"/>
        <v>121618.59078433325</v>
      </c>
      <c r="K37" s="72">
        <f t="shared" si="5"/>
        <v>235305.85810163716</v>
      </c>
      <c r="L37" s="181">
        <f t="shared" si="6"/>
        <v>9.2583677331024513E-4</v>
      </c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</row>
    <row r="38" spans="1:54">
      <c r="A38" s="58" t="s">
        <v>31</v>
      </c>
      <c r="B38" s="359">
        <v>471523</v>
      </c>
      <c r="C38" s="156">
        <f t="shared" si="0"/>
        <v>8.1515727878332944E-2</v>
      </c>
      <c r="D38" s="109">
        <v>406584</v>
      </c>
      <c r="E38" s="367">
        <f t="shared" si="1"/>
        <v>7.1507563990004727E-2</v>
      </c>
      <c r="F38" s="59"/>
      <c r="G38" s="159">
        <f>+'COEF Art 14 F I '!AF37</f>
        <v>4.7650956419883629E-2</v>
      </c>
      <c r="H38" s="71">
        <f t="shared" si="2"/>
        <v>7251164.6734592374</v>
      </c>
      <c r="I38" s="72">
        <f t="shared" si="3"/>
        <v>6360896.668473104</v>
      </c>
      <c r="J38" s="72">
        <f t="shared" si="4"/>
        <v>3633215.7610206977</v>
      </c>
      <c r="K38" s="72">
        <f t="shared" si="5"/>
        <v>17245277.102953039</v>
      </c>
      <c r="L38" s="181">
        <f t="shared" si="6"/>
        <v>6.7853439079883268E-2</v>
      </c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</row>
    <row r="39" spans="1:54">
      <c r="A39" s="58" t="s">
        <v>32</v>
      </c>
      <c r="B39" s="359">
        <v>5351</v>
      </c>
      <c r="C39" s="156">
        <f t="shared" si="0"/>
        <v>9.2506762104279034E-4</v>
      </c>
      <c r="D39" s="109">
        <v>5855</v>
      </c>
      <c r="E39" s="367">
        <f t="shared" si="1"/>
        <v>1.0297424078701514E-3</v>
      </c>
      <c r="F39" s="59"/>
      <c r="G39" s="159">
        <f>+'COEF Art 14 F I '!AF38</f>
        <v>3.7930141401310499E-3</v>
      </c>
      <c r="H39" s="71">
        <f t="shared" si="2"/>
        <v>82288.631026864823</v>
      </c>
      <c r="I39" s="72">
        <f t="shared" si="3"/>
        <v>91599.890782495175</v>
      </c>
      <c r="J39" s="72">
        <f t="shared" si="4"/>
        <v>289203.82277884515</v>
      </c>
      <c r="K39" s="72">
        <f t="shared" si="5"/>
        <v>463092.34458820516</v>
      </c>
      <c r="L39" s="181">
        <f t="shared" si="6"/>
        <v>1.8220877521588441E-3</v>
      </c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</row>
    <row r="40" spans="1:54">
      <c r="A40" s="58" t="s">
        <v>33</v>
      </c>
      <c r="B40" s="359">
        <v>84666</v>
      </c>
      <c r="C40" s="156">
        <f t="shared" si="0"/>
        <v>1.4636848290638924E-2</v>
      </c>
      <c r="D40" s="109">
        <v>89739</v>
      </c>
      <c r="E40" s="367">
        <f t="shared" si="1"/>
        <v>1.5782758999122036E-2</v>
      </c>
      <c r="F40" s="59"/>
      <c r="G40" s="159">
        <f>+'COEF Art 14 F I '!AF39</f>
        <v>1.0616347570695617E-2</v>
      </c>
      <c r="H40" s="71">
        <f t="shared" si="2"/>
        <v>1302008.8272323932</v>
      </c>
      <c r="I40" s="72">
        <f t="shared" si="3"/>
        <v>1403942.3738565901</v>
      </c>
      <c r="J40" s="72">
        <f t="shared" si="4"/>
        <v>809458.70169838052</v>
      </c>
      <c r="K40" s="72">
        <f t="shared" si="5"/>
        <v>3515409.9027873641</v>
      </c>
      <c r="L40" s="181">
        <f t="shared" si="6"/>
        <v>1.3831766822625019E-2</v>
      </c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</row>
    <row r="41" spans="1:54">
      <c r="A41" s="58" t="s">
        <v>34</v>
      </c>
      <c r="B41" s="359">
        <v>5119</v>
      </c>
      <c r="C41" s="156">
        <f t="shared" si="0"/>
        <v>8.8496003590320376E-4</v>
      </c>
      <c r="D41" s="109">
        <v>6248</v>
      </c>
      <c r="E41" s="367">
        <f t="shared" si="1"/>
        <v>1.0988608991242882E-3</v>
      </c>
      <c r="F41" s="59"/>
      <c r="G41" s="159">
        <f>+'COEF Art 14 F I '!AF40</f>
        <v>1.9314985527605372E-3</v>
      </c>
      <c r="H41" s="71">
        <f t="shared" si="2"/>
        <v>78720.893707068026</v>
      </c>
      <c r="I41" s="72">
        <f t="shared" si="3"/>
        <v>97748.269446461141</v>
      </c>
      <c r="J41" s="72">
        <f t="shared" si="4"/>
        <v>147269.88735424398</v>
      </c>
      <c r="K41" s="72">
        <f t="shared" si="5"/>
        <v>323739.05050777318</v>
      </c>
      <c r="L41" s="181">
        <f t="shared" si="6"/>
        <v>1.2737868930877833E-3</v>
      </c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</row>
    <row r="42" spans="1:54">
      <c r="A42" s="58" t="s">
        <v>35</v>
      </c>
      <c r="B42" s="359">
        <v>1483</v>
      </c>
      <c r="C42" s="156">
        <f t="shared" si="0"/>
        <v>2.5637736535347747E-4</v>
      </c>
      <c r="D42" s="109">
        <v>1087</v>
      </c>
      <c r="E42" s="367">
        <f t="shared" si="1"/>
        <v>1.9117506359604691E-4</v>
      </c>
      <c r="F42" s="59"/>
      <c r="G42" s="159">
        <f>+'COEF Art 14 F I '!AF41</f>
        <v>3.5390952712618441E-4</v>
      </c>
      <c r="H42" s="71">
        <f t="shared" si="2"/>
        <v>22805.838126114842</v>
      </c>
      <c r="I42" s="72">
        <f t="shared" si="3"/>
        <v>17005.820884811659</v>
      </c>
      <c r="J42" s="72">
        <f t="shared" si="4"/>
        <v>26984.341313109271</v>
      </c>
      <c r="K42" s="72">
        <f t="shared" si="5"/>
        <v>66796.000324035776</v>
      </c>
      <c r="L42" s="181">
        <f t="shared" si="6"/>
        <v>2.6281620827018883E-4</v>
      </c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</row>
    <row r="43" spans="1:54">
      <c r="A43" s="58" t="s">
        <v>36</v>
      </c>
      <c r="B43" s="359">
        <v>7652</v>
      </c>
      <c r="C43" s="156">
        <f t="shared" si="0"/>
        <v>1.322858799517741E-3</v>
      </c>
      <c r="D43" s="109">
        <v>7662</v>
      </c>
      <c r="E43" s="367">
        <f t="shared" si="1"/>
        <v>1.3475467684203417E-3</v>
      </c>
      <c r="F43" s="59"/>
      <c r="G43" s="159">
        <f>+'COEF Art 14 F I '!AF42</f>
        <v>2.7561893908220462E-3</v>
      </c>
      <c r="H43" s="71">
        <f t="shared" si="2"/>
        <v>117673.81884088388</v>
      </c>
      <c r="I43" s="72">
        <f t="shared" si="3"/>
        <v>119869.91685319865</v>
      </c>
      <c r="J43" s="72">
        <f t="shared" si="4"/>
        <v>210149.62736223603</v>
      </c>
      <c r="K43" s="72">
        <f t="shared" si="5"/>
        <v>447693.36305631854</v>
      </c>
      <c r="L43" s="181">
        <f t="shared" si="6"/>
        <v>1.7614987660249423E-3</v>
      </c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</row>
    <row r="44" spans="1:54">
      <c r="A44" s="58" t="s">
        <v>37</v>
      </c>
      <c r="B44" s="359">
        <v>6048</v>
      </c>
      <c r="C44" s="156">
        <f t="shared" si="0"/>
        <v>1.0455632539837032E-3</v>
      </c>
      <c r="D44" s="109">
        <v>5923</v>
      </c>
      <c r="E44" s="367">
        <f t="shared" si="1"/>
        <v>1.0417018414713762E-3</v>
      </c>
      <c r="F44" s="59"/>
      <c r="G44" s="159">
        <f>+'COEF Art 14 F I '!AF43</f>
        <v>3.5988637909639709E-3</v>
      </c>
      <c r="H44" s="71">
        <f t="shared" si="2"/>
        <v>93007.221164357776</v>
      </c>
      <c r="I44" s="72">
        <f t="shared" si="3"/>
        <v>92663.732383384966</v>
      </c>
      <c r="J44" s="72">
        <f t="shared" si="4"/>
        <v>274400.54994658864</v>
      </c>
      <c r="K44" s="72">
        <f t="shared" si="5"/>
        <v>460071.50349433138</v>
      </c>
      <c r="L44" s="181">
        <f t="shared" si="6"/>
        <v>1.8102019206984686E-3</v>
      </c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</row>
    <row r="45" spans="1:54">
      <c r="A45" s="58" t="s">
        <v>38</v>
      </c>
      <c r="B45" s="359">
        <v>67428</v>
      </c>
      <c r="C45" s="156">
        <f t="shared" si="0"/>
        <v>1.1656785563758786E-2</v>
      </c>
      <c r="D45" s="109">
        <v>68518</v>
      </c>
      <c r="E45" s="367">
        <f t="shared" si="1"/>
        <v>1.2050536345422211E-2</v>
      </c>
      <c r="F45" s="59"/>
      <c r="G45" s="159">
        <f>+'COEF Art 14 F I '!AF44</f>
        <v>8.2417933417613647E-3</v>
      </c>
      <c r="H45" s="71">
        <f t="shared" si="2"/>
        <v>1036919.7931002505</v>
      </c>
      <c r="I45" s="72">
        <f t="shared" si="3"/>
        <v>1071945.5707318541</v>
      </c>
      <c r="J45" s="72">
        <f t="shared" si="4"/>
        <v>628407.39657993126</v>
      </c>
      <c r="K45" s="72">
        <f t="shared" si="5"/>
        <v>2737272.7604120355</v>
      </c>
      <c r="L45" s="181">
        <f t="shared" si="6"/>
        <v>1.0770100670741755E-2</v>
      </c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</row>
    <row r="46" spans="1:54">
      <c r="A46" s="58" t="s">
        <v>39</v>
      </c>
      <c r="B46" s="359">
        <v>1142994</v>
      </c>
      <c r="C46" s="156">
        <f t="shared" si="0"/>
        <v>0.19759797055619194</v>
      </c>
      <c r="D46" s="109">
        <v>1136308</v>
      </c>
      <c r="E46" s="367">
        <f t="shared" si="1"/>
        <v>0.19984705994912316</v>
      </c>
      <c r="F46" s="59"/>
      <c r="G46" s="159">
        <f>+'COEF Art 14 F I '!AF45</f>
        <v>0.28155539131656243</v>
      </c>
      <c r="H46" s="71">
        <f t="shared" si="2"/>
        <v>17577165.302171618</v>
      </c>
      <c r="I46" s="72">
        <f t="shared" si="3"/>
        <v>17777231.20329215</v>
      </c>
      <c r="J46" s="72">
        <f t="shared" si="4"/>
        <v>21467596.081761561</v>
      </c>
      <c r="K46" s="72">
        <f t="shared" si="5"/>
        <v>56821992.587225325</v>
      </c>
      <c r="L46" s="181">
        <f t="shared" si="6"/>
        <v>0.22357237807182895</v>
      </c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</row>
    <row r="47" spans="1:54">
      <c r="A47" s="58" t="s">
        <v>40</v>
      </c>
      <c r="B47" s="359">
        <v>906</v>
      </c>
      <c r="C47" s="156">
        <f t="shared" si="0"/>
        <v>1.5662703507097141E-4</v>
      </c>
      <c r="D47" s="109">
        <v>1093</v>
      </c>
      <c r="E47" s="367">
        <f t="shared" si="1"/>
        <v>1.9223030773733143E-4</v>
      </c>
      <c r="F47" s="59"/>
      <c r="G47" s="159">
        <f>+'COEF Art 14 F I '!AF46</f>
        <v>1.8095712518684166E-3</v>
      </c>
      <c r="H47" s="71">
        <f t="shared" si="2"/>
        <v>13932.629360930579</v>
      </c>
      <c r="I47" s="72">
        <f t="shared" si="3"/>
        <v>17099.689261360756</v>
      </c>
      <c r="J47" s="72">
        <f t="shared" si="4"/>
        <v>137973.36479556735</v>
      </c>
      <c r="K47" s="72">
        <f t="shared" si="5"/>
        <v>169005.68341785867</v>
      </c>
      <c r="L47" s="181">
        <f t="shared" si="6"/>
        <v>6.649714455434308E-4</v>
      </c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</row>
    <row r="48" spans="1:54">
      <c r="A48" s="58" t="s">
        <v>41</v>
      </c>
      <c r="B48" s="359">
        <v>147624</v>
      </c>
      <c r="C48" s="156">
        <f t="shared" si="0"/>
        <v>2.5520871330372057E-2</v>
      </c>
      <c r="D48" s="109">
        <v>115959</v>
      </c>
      <c r="E48" s="367">
        <f t="shared" si="1"/>
        <v>2.0394175896535423E-2</v>
      </c>
      <c r="F48" s="59"/>
      <c r="G48" s="159">
        <f>+'COEF Art 14 F I '!AF47</f>
        <v>1.326065675259412E-2</v>
      </c>
      <c r="H48" s="71">
        <f t="shared" si="2"/>
        <v>2270188.1642141454</v>
      </c>
      <c r="I48" s="72">
        <f t="shared" si="3"/>
        <v>1814147.1793761502</v>
      </c>
      <c r="J48" s="72">
        <f t="shared" si="4"/>
        <v>1011077.8614908683</v>
      </c>
      <c r="K48" s="72">
        <f t="shared" si="5"/>
        <v>5095413.2050811639</v>
      </c>
      <c r="L48" s="181">
        <f t="shared" si="6"/>
        <v>2.004846355519585E-2</v>
      </c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</row>
    <row r="49" spans="1:54">
      <c r="A49" s="58" t="s">
        <v>42</v>
      </c>
      <c r="B49" s="359">
        <v>5389</v>
      </c>
      <c r="C49" s="156">
        <f t="shared" si="0"/>
        <v>9.3163696688461914E-4</v>
      </c>
      <c r="D49" s="109">
        <v>5221</v>
      </c>
      <c r="E49" s="367">
        <f t="shared" si="1"/>
        <v>9.1823827694108642E-4</v>
      </c>
      <c r="F49" s="59"/>
      <c r="G49" s="159">
        <f>+'COEF Art 14 F I '!AF48</f>
        <v>2.0272011004235009E-3</v>
      </c>
      <c r="H49" s="71">
        <f t="shared" si="2"/>
        <v>82873.001794762575</v>
      </c>
      <c r="I49" s="72">
        <f t="shared" si="3"/>
        <v>81681.132327140454</v>
      </c>
      <c r="J49" s="72">
        <f t="shared" si="4"/>
        <v>154566.86585505377</v>
      </c>
      <c r="K49" s="72">
        <f t="shared" si="5"/>
        <v>319120.99997695681</v>
      </c>
      <c r="L49" s="181">
        <f t="shared" si="6"/>
        <v>1.255616665466047E-3</v>
      </c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</row>
    <row r="50" spans="1:54">
      <c r="A50" s="58" t="s">
        <v>43</v>
      </c>
      <c r="B50" s="359">
        <v>2377</v>
      </c>
      <c r="C50" s="156">
        <f t="shared" si="0"/>
        <v>4.1092987015860824E-4</v>
      </c>
      <c r="D50" s="109">
        <v>3029</v>
      </c>
      <c r="E50" s="367">
        <f t="shared" si="1"/>
        <v>5.3272241732513898E-4</v>
      </c>
      <c r="F50" s="59"/>
      <c r="G50" s="159">
        <f>+'COEF Art 14 F I '!AF49</f>
        <v>1.8707603383868743E-3</v>
      </c>
      <c r="H50" s="71">
        <f t="shared" si="2"/>
        <v>36553.929349814556</v>
      </c>
      <c r="I50" s="72">
        <f t="shared" si="3"/>
        <v>47387.885427869835</v>
      </c>
      <c r="J50" s="72">
        <f t="shared" si="4"/>
        <v>142638.81477273829</v>
      </c>
      <c r="K50" s="72">
        <f t="shared" si="5"/>
        <v>226580.62955042269</v>
      </c>
      <c r="L50" s="181">
        <f t="shared" si="6"/>
        <v>8.9150640213537364E-4</v>
      </c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</row>
    <row r="51" spans="1:54">
      <c r="A51" s="58" t="s">
        <v>44</v>
      </c>
      <c r="B51" s="359">
        <v>34709</v>
      </c>
      <c r="C51" s="156">
        <f t="shared" si="0"/>
        <v>6.0004059164220159E-3</v>
      </c>
      <c r="D51" s="109">
        <v>39518</v>
      </c>
      <c r="E51" s="367">
        <f t="shared" si="1"/>
        <v>6.9501896625469937E-3</v>
      </c>
      <c r="F51" s="59"/>
      <c r="G51" s="159">
        <f>+'COEF Art 14 F I '!AF50</f>
        <v>4.9443607143230027E-3</v>
      </c>
      <c r="H51" s="71">
        <f t="shared" si="2"/>
        <v>533761.18376218481</v>
      </c>
      <c r="I51" s="72">
        <f t="shared" si="3"/>
        <v>618248.41741121176</v>
      </c>
      <c r="J51" s="72">
        <f t="shared" si="4"/>
        <v>376989.8995763695</v>
      </c>
      <c r="K51" s="72">
        <f t="shared" si="5"/>
        <v>1528999.5007497661</v>
      </c>
      <c r="L51" s="181">
        <f t="shared" si="6"/>
        <v>6.0160166669360532E-3</v>
      </c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</row>
    <row r="52" spans="1:54">
      <c r="A52" s="58" t="s">
        <v>45</v>
      </c>
      <c r="B52" s="359">
        <v>86766</v>
      </c>
      <c r="C52" s="156">
        <f t="shared" si="0"/>
        <v>1.4999891087161044E-2</v>
      </c>
      <c r="D52" s="109">
        <v>63214</v>
      </c>
      <c r="E52" s="367">
        <f t="shared" si="1"/>
        <v>1.1117700524526687E-2</v>
      </c>
      <c r="F52" s="59"/>
      <c r="G52" s="159">
        <f>+'COEF Art 14 F I '!AF51</f>
        <v>1.0154959601790643E-2</v>
      </c>
      <c r="H52" s="71">
        <f t="shared" si="2"/>
        <v>1334303.0012477953</v>
      </c>
      <c r="I52" s="72">
        <f t="shared" si="3"/>
        <v>988965.92586245097</v>
      </c>
      <c r="J52" s="72">
        <f t="shared" si="4"/>
        <v>774279.51188737829</v>
      </c>
      <c r="K52" s="72">
        <f t="shared" si="5"/>
        <v>3097548.4389976244</v>
      </c>
      <c r="L52" s="181">
        <f t="shared" si="6"/>
        <v>1.2187644944627896E-2</v>
      </c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</row>
    <row r="53" spans="1:54">
      <c r="A53" s="58" t="s">
        <v>46</v>
      </c>
      <c r="B53" s="359">
        <v>412199</v>
      </c>
      <c r="C53" s="156">
        <f t="shared" si="0"/>
        <v>7.125994175410523E-2</v>
      </c>
      <c r="D53" s="109">
        <v>476051</v>
      </c>
      <c r="E53" s="367">
        <f t="shared" si="1"/>
        <v>8.3725004783773441E-2</v>
      </c>
      <c r="F53" s="59"/>
      <c r="G53" s="159">
        <f>+'COEF Art 14 F I '!AF52</f>
        <v>6.6935765602779529E-2</v>
      </c>
      <c r="H53" s="71">
        <f t="shared" si="2"/>
        <v>6338869.6357022328</v>
      </c>
      <c r="I53" s="72">
        <f t="shared" si="3"/>
        <v>7447689.0874291398</v>
      </c>
      <c r="J53" s="72">
        <f t="shared" si="4"/>
        <v>5103613.795724933</v>
      </c>
      <c r="K53" s="72">
        <f t="shared" si="5"/>
        <v>18890172.518856306</v>
      </c>
      <c r="L53" s="181">
        <f t="shared" si="6"/>
        <v>7.4325460969091373E-2</v>
      </c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</row>
    <row r="54" spans="1:54">
      <c r="A54" s="58" t="s">
        <v>47</v>
      </c>
      <c r="B54" s="359">
        <v>132169</v>
      </c>
      <c r="C54" s="156">
        <f t="shared" si="0"/>
        <v>2.2849049225491413E-2</v>
      </c>
      <c r="D54" s="109">
        <v>138945</v>
      </c>
      <c r="E54" s="367">
        <f t="shared" si="1"/>
        <v>2.4436816201796448E-2</v>
      </c>
      <c r="F54" s="59"/>
      <c r="G54" s="159">
        <f>+'COEF Art 14 F I '!AF53</f>
        <v>0.12767396748808651</v>
      </c>
      <c r="H54" s="71">
        <f t="shared" si="2"/>
        <v>2032518.4216388892</v>
      </c>
      <c r="I54" s="72">
        <f t="shared" si="3"/>
        <v>2173756.9299357459</v>
      </c>
      <c r="J54" s="72">
        <f t="shared" si="4"/>
        <v>9734685.4250379577</v>
      </c>
      <c r="K54" s="72">
        <f t="shared" si="5"/>
        <v>13940960.776612593</v>
      </c>
      <c r="L54" s="181">
        <f t="shared" si="6"/>
        <v>5.4852243145976691E-2</v>
      </c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</row>
    <row r="55" spans="1:54">
      <c r="A55" s="58" t="s">
        <v>48</v>
      </c>
      <c r="B55" s="359">
        <v>306322</v>
      </c>
      <c r="C55" s="156">
        <f t="shared" si="0"/>
        <v>5.2956188341070756E-2</v>
      </c>
      <c r="D55" s="109">
        <v>325468</v>
      </c>
      <c r="E55" s="367">
        <f t="shared" si="1"/>
        <v>5.7241366695932105E-2</v>
      </c>
      <c r="F55" s="59"/>
      <c r="G55" s="159">
        <f>+'COEF Art 14 F I '!AF54</f>
        <v>3.5829649803664536E-2</v>
      </c>
      <c r="H55" s="71">
        <f t="shared" si="2"/>
        <v>4710674.2727361778</v>
      </c>
      <c r="I55" s="72">
        <f t="shared" si="3"/>
        <v>5091858.796446993</v>
      </c>
      <c r="J55" s="72">
        <f t="shared" si="4"/>
        <v>2731883.2224783297</v>
      </c>
      <c r="K55" s="72">
        <f t="shared" si="5"/>
        <v>12534416.291661501</v>
      </c>
      <c r="L55" s="181">
        <f t="shared" si="6"/>
        <v>4.9318039204050361E-2</v>
      </c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</row>
    <row r="56" spans="1:54">
      <c r="A56" s="58" t="s">
        <v>49</v>
      </c>
      <c r="B56" s="359">
        <v>46784</v>
      </c>
      <c r="C56" s="156">
        <f t="shared" si="0"/>
        <v>8.0879019964242016E-3</v>
      </c>
      <c r="D56" s="109">
        <v>47500</v>
      </c>
      <c r="E56" s="367">
        <f t="shared" si="1"/>
        <v>8.3540161185025105E-3</v>
      </c>
      <c r="F56" s="59"/>
      <c r="G56" s="159">
        <f>+'COEF Art 14 F I '!AF55</f>
        <v>1.5884000004809662E-2</v>
      </c>
      <c r="H56" s="71">
        <f t="shared" si="2"/>
        <v>719452.68435074633</v>
      </c>
      <c r="I56" s="72">
        <f t="shared" si="3"/>
        <v>743124.64768036234</v>
      </c>
      <c r="J56" s="72">
        <f t="shared" si="4"/>
        <v>1211098.4437963194</v>
      </c>
      <c r="K56" s="72">
        <f t="shared" si="5"/>
        <v>2673675.7758274283</v>
      </c>
      <c r="L56" s="181">
        <f t="shared" si="6"/>
        <v>1.0519871341667247E-2</v>
      </c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</row>
    <row r="57" spans="1:54">
      <c r="A57" s="58" t="s">
        <v>50</v>
      </c>
      <c r="B57" s="359">
        <v>1552</v>
      </c>
      <c r="C57" s="156">
        <f t="shared" si="0"/>
        <v>2.6830591438206137E-4</v>
      </c>
      <c r="D57" s="109">
        <v>1963</v>
      </c>
      <c r="E57" s="367">
        <f t="shared" si="1"/>
        <v>3.4524070822358792E-4</v>
      </c>
      <c r="F57" s="59"/>
      <c r="G57" s="159">
        <f>+'COEF Art 14 F I '!AF56</f>
        <v>2.8153920401121735E-3</v>
      </c>
      <c r="H57" s="71">
        <f t="shared" si="2"/>
        <v>23866.932415192336</v>
      </c>
      <c r="I57" s="72">
        <f t="shared" si="3"/>
        <v>30710.603860980023</v>
      </c>
      <c r="J57" s="72">
        <f t="shared" si="4"/>
        <v>214663.61857365517</v>
      </c>
      <c r="K57" s="72">
        <f t="shared" si="5"/>
        <v>269241.15484982752</v>
      </c>
      <c r="L57" s="181">
        <f t="shared" si="6"/>
        <v>1.059358929945629E-3</v>
      </c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</row>
    <row r="58" spans="1:54">
      <c r="A58" s="58" t="s">
        <v>51</v>
      </c>
      <c r="B58" s="359">
        <v>3573</v>
      </c>
      <c r="C58" s="156">
        <f t="shared" si="0"/>
        <v>6.1769138665406279E-4</v>
      </c>
      <c r="D58" s="109">
        <v>4615</v>
      </c>
      <c r="E58" s="367">
        <f t="shared" si="1"/>
        <v>8.1165861867134911E-4</v>
      </c>
      <c r="F58" s="59"/>
      <c r="G58" s="159">
        <f>+'COEF Art 14 F I '!AF57</f>
        <v>2.4047940869510783E-3</v>
      </c>
      <c r="H58" s="71">
        <f t="shared" si="2"/>
        <v>54946.230360491129</v>
      </c>
      <c r="I58" s="72">
        <f t="shared" si="3"/>
        <v>72200.426295681507</v>
      </c>
      <c r="J58" s="72">
        <f t="shared" si="4"/>
        <v>183356.9866201937</v>
      </c>
      <c r="K58" s="72">
        <f t="shared" si="5"/>
        <v>310503.64327636635</v>
      </c>
      <c r="L58" s="181">
        <f t="shared" si="6"/>
        <v>1.2217107279492174E-3</v>
      </c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</row>
    <row r="59" spans="1:54" ht="13.5" thickBot="1">
      <c r="A59" s="60" t="s">
        <v>52</v>
      </c>
      <c r="B59" s="360">
        <f>SUM(B8:B58)</f>
        <v>5784442</v>
      </c>
      <c r="C59" s="157">
        <f>SUM(C8:C58)</f>
        <v>1.0000000000000002</v>
      </c>
      <c r="D59" s="110">
        <f>SUM(D8:D58)</f>
        <v>5685888</v>
      </c>
      <c r="E59" s="369">
        <f t="shared" si="1"/>
        <v>1</v>
      </c>
      <c r="F59" s="59"/>
      <c r="G59" s="160">
        <f t="shared" ref="G59:L59" si="7">SUM(G8:G58)</f>
        <v>0.99999999999999989</v>
      </c>
      <c r="H59" s="73">
        <f t="shared" si="7"/>
        <v>88954179.299999967</v>
      </c>
      <c r="I59" s="74">
        <f t="shared" si="7"/>
        <v>88954179.299999967</v>
      </c>
      <c r="J59" s="74">
        <f t="shared" si="7"/>
        <v>76246439.399999976</v>
      </c>
      <c r="K59" s="74">
        <f t="shared" si="7"/>
        <v>254154798.00000003</v>
      </c>
      <c r="L59" s="161">
        <f t="shared" si="7"/>
        <v>0.99999999999999978</v>
      </c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</row>
    <row r="60" spans="1:54" ht="13.5" thickTop="1">
      <c r="A60" s="59" t="s">
        <v>335</v>
      </c>
      <c r="B60" s="59"/>
      <c r="C60" s="62"/>
      <c r="D60" s="59"/>
      <c r="E60" s="62"/>
      <c r="F60" s="59"/>
      <c r="G60" s="62"/>
      <c r="H60" s="59"/>
      <c r="I60" s="59"/>
      <c r="J60" s="59"/>
      <c r="K60" s="59"/>
      <c r="L60" s="62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</row>
    <row r="61" spans="1:54" ht="15.75" customHeight="1">
      <c r="A61" s="59" t="s">
        <v>72</v>
      </c>
      <c r="B61" s="59"/>
      <c r="C61" s="62"/>
      <c r="D61" s="59"/>
      <c r="E61" s="62"/>
      <c r="F61" s="59"/>
      <c r="G61" s="62"/>
      <c r="H61" s="59"/>
      <c r="I61" s="59"/>
      <c r="J61" s="59"/>
      <c r="K61" s="59"/>
      <c r="L61" s="62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</row>
    <row r="62" spans="1:54">
      <c r="A62" s="59" t="s">
        <v>221</v>
      </c>
      <c r="B62" s="59"/>
      <c r="C62" s="62"/>
      <c r="D62" s="59"/>
      <c r="E62" s="62"/>
      <c r="F62" s="59"/>
      <c r="G62" s="62"/>
      <c r="H62" s="59"/>
      <c r="I62" s="59"/>
      <c r="J62" s="59"/>
      <c r="K62" s="59"/>
      <c r="L62" s="62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</row>
    <row r="63" spans="1:54">
      <c r="A63" s="59" t="s">
        <v>98</v>
      </c>
      <c r="B63" s="59"/>
      <c r="C63" s="62"/>
      <c r="D63" s="59"/>
      <c r="E63" s="62"/>
      <c r="F63" s="59"/>
      <c r="G63" s="62"/>
      <c r="H63" s="59"/>
      <c r="I63" s="59"/>
      <c r="J63" s="59"/>
      <c r="K63" s="59"/>
      <c r="L63" s="62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</row>
    <row r="64" spans="1:54">
      <c r="A64" s="59"/>
      <c r="B64" s="59"/>
      <c r="C64" s="62"/>
      <c r="D64" s="59"/>
      <c r="E64" s="62"/>
      <c r="F64" s="59"/>
      <c r="G64" s="62"/>
      <c r="H64" s="59"/>
      <c r="I64" s="59"/>
      <c r="J64" s="59"/>
      <c r="K64" s="59"/>
      <c r="L64" s="62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</row>
    <row r="65" spans="1:54">
      <c r="A65" s="59"/>
      <c r="B65" s="59"/>
      <c r="C65" s="62"/>
      <c r="D65" s="59"/>
      <c r="E65" s="62"/>
      <c r="F65" s="59"/>
      <c r="G65" s="62"/>
      <c r="H65" s="59"/>
      <c r="I65" s="59"/>
      <c r="J65" s="59"/>
      <c r="K65" s="59"/>
      <c r="L65" s="62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</row>
    <row r="66" spans="1:54">
      <c r="A66" s="59"/>
      <c r="B66" s="59"/>
      <c r="C66" s="62"/>
      <c r="D66" s="59"/>
      <c r="E66" s="62"/>
      <c r="F66" s="59"/>
      <c r="G66" s="62"/>
      <c r="H66" s="59"/>
      <c r="I66" s="59"/>
      <c r="J66" s="59"/>
      <c r="K66" s="59"/>
      <c r="L66" s="62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</row>
    <row r="67" spans="1:54">
      <c r="A67" s="59"/>
      <c r="B67" s="59"/>
      <c r="C67" s="62"/>
      <c r="D67" s="59"/>
      <c r="E67" s="62"/>
      <c r="F67" s="59"/>
      <c r="G67" s="62"/>
      <c r="H67" s="59"/>
      <c r="I67" s="59"/>
      <c r="J67" s="59"/>
      <c r="K67" s="59"/>
      <c r="L67" s="62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</row>
    <row r="68" spans="1:54">
      <c r="A68" s="59"/>
      <c r="B68" s="59"/>
      <c r="C68" s="62"/>
      <c r="D68" s="59"/>
      <c r="E68" s="62"/>
      <c r="F68" s="59"/>
      <c r="G68" s="62"/>
      <c r="H68" s="59"/>
      <c r="I68" s="59"/>
      <c r="J68" s="59"/>
      <c r="K68" s="59"/>
      <c r="L68" s="62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</row>
    <row r="69" spans="1:54">
      <c r="A69" s="59"/>
      <c r="B69" s="59"/>
      <c r="C69" s="62"/>
      <c r="D69" s="59"/>
      <c r="E69" s="62"/>
      <c r="F69" s="59"/>
      <c r="G69" s="62"/>
      <c r="H69" s="59"/>
      <c r="I69" s="59"/>
      <c r="J69" s="59"/>
      <c r="K69" s="59"/>
      <c r="L69" s="62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</row>
    <row r="70" spans="1:54">
      <c r="A70" s="59"/>
      <c r="B70" s="59"/>
      <c r="C70" s="62"/>
      <c r="D70" s="59"/>
      <c r="E70" s="62"/>
      <c r="F70" s="59"/>
      <c r="G70" s="62"/>
      <c r="H70" s="59"/>
      <c r="I70" s="59"/>
      <c r="J70" s="59"/>
      <c r="K70" s="59"/>
      <c r="L70" s="62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</row>
    <row r="71" spans="1:54">
      <c r="A71" s="59"/>
      <c r="B71" s="59"/>
      <c r="C71" s="62"/>
      <c r="D71" s="59"/>
      <c r="E71" s="62"/>
      <c r="F71" s="59"/>
      <c r="G71" s="62"/>
      <c r="H71" s="59"/>
      <c r="I71" s="59"/>
      <c r="J71" s="59"/>
      <c r="K71" s="59"/>
      <c r="L71" s="62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</row>
    <row r="72" spans="1:54">
      <c r="A72" s="59"/>
      <c r="B72" s="59"/>
      <c r="C72" s="62"/>
      <c r="D72" s="59"/>
      <c r="E72" s="62"/>
      <c r="F72" s="59"/>
      <c r="G72" s="62"/>
      <c r="H72" s="59"/>
      <c r="I72" s="59"/>
      <c r="J72" s="59"/>
      <c r="K72" s="59"/>
      <c r="L72" s="62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</row>
    <row r="73" spans="1:54">
      <c r="A73" s="59"/>
      <c r="B73" s="59"/>
      <c r="C73" s="62"/>
      <c r="D73" s="59"/>
      <c r="E73" s="62"/>
      <c r="F73" s="59"/>
      <c r="G73" s="62"/>
      <c r="H73" s="59"/>
      <c r="I73" s="59"/>
      <c r="J73" s="59"/>
      <c r="K73" s="59"/>
      <c r="L73" s="62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</row>
    <row r="74" spans="1:54">
      <c r="A74" s="59"/>
      <c r="B74" s="59"/>
      <c r="C74" s="62"/>
      <c r="D74" s="59"/>
      <c r="E74" s="62"/>
      <c r="F74" s="59"/>
      <c r="G74" s="62"/>
      <c r="H74" s="59"/>
      <c r="I74" s="59"/>
      <c r="J74" s="59"/>
      <c r="K74" s="59"/>
      <c r="L74" s="62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</row>
    <row r="75" spans="1:54">
      <c r="A75" s="59"/>
      <c r="B75" s="59"/>
      <c r="C75" s="62"/>
      <c r="D75" s="59"/>
      <c r="E75" s="62"/>
      <c r="F75" s="59"/>
      <c r="G75" s="62"/>
      <c r="H75" s="59"/>
      <c r="I75" s="59"/>
      <c r="J75" s="59"/>
      <c r="K75" s="59"/>
      <c r="L75" s="62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</row>
    <row r="76" spans="1:54">
      <c r="A76" s="59"/>
      <c r="B76" s="59"/>
      <c r="C76" s="62"/>
      <c r="D76" s="59"/>
      <c r="E76" s="62"/>
      <c r="F76" s="59"/>
      <c r="G76" s="62"/>
      <c r="H76" s="59"/>
      <c r="I76" s="59"/>
      <c r="J76" s="59"/>
      <c r="K76" s="59"/>
      <c r="L76" s="62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</row>
    <row r="77" spans="1:54">
      <c r="A77" s="59"/>
      <c r="B77" s="59"/>
      <c r="C77" s="62"/>
      <c r="D77" s="59"/>
      <c r="E77" s="62"/>
      <c r="F77" s="59"/>
      <c r="G77" s="62"/>
      <c r="H77" s="59"/>
      <c r="I77" s="59"/>
      <c r="J77" s="59"/>
      <c r="K77" s="59"/>
      <c r="L77" s="62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</row>
    <row r="78" spans="1:54">
      <c r="A78" s="59"/>
      <c r="B78" s="59"/>
      <c r="C78" s="62"/>
      <c r="D78" s="59"/>
      <c r="E78" s="62"/>
      <c r="F78" s="59"/>
      <c r="G78" s="62"/>
      <c r="H78" s="59"/>
      <c r="I78" s="59"/>
      <c r="J78" s="59"/>
      <c r="K78" s="59"/>
      <c r="L78" s="62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</row>
    <row r="79" spans="1:54">
      <c r="A79" s="59"/>
      <c r="B79" s="59"/>
      <c r="C79" s="62"/>
      <c r="D79" s="59"/>
      <c r="E79" s="62"/>
      <c r="F79" s="59"/>
      <c r="G79" s="62"/>
      <c r="H79" s="59"/>
      <c r="I79" s="59"/>
      <c r="J79" s="59"/>
      <c r="K79" s="59"/>
      <c r="L79" s="62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</row>
    <row r="80" spans="1:54">
      <c r="A80" s="59"/>
      <c r="B80" s="59"/>
      <c r="C80" s="62"/>
      <c r="D80" s="59"/>
      <c r="E80" s="62"/>
      <c r="F80" s="59"/>
      <c r="G80" s="62"/>
      <c r="H80" s="59"/>
      <c r="I80" s="59"/>
      <c r="J80" s="59"/>
      <c r="K80" s="59"/>
      <c r="L80" s="62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</row>
    <row r="81" spans="1:54">
      <c r="A81" s="59"/>
      <c r="B81" s="59"/>
      <c r="C81" s="62"/>
      <c r="D81" s="59"/>
      <c r="E81" s="62"/>
      <c r="F81" s="59"/>
      <c r="G81" s="62"/>
      <c r="H81" s="59"/>
      <c r="I81" s="59"/>
      <c r="J81" s="59"/>
      <c r="K81" s="59"/>
      <c r="L81" s="62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</row>
    <row r="82" spans="1:54">
      <c r="A82" s="59"/>
      <c r="B82" s="59"/>
      <c r="C82" s="62"/>
      <c r="D82" s="59"/>
      <c r="E82" s="62"/>
      <c r="F82" s="59"/>
      <c r="G82" s="62"/>
      <c r="H82" s="59"/>
      <c r="I82" s="59"/>
      <c r="J82" s="59"/>
      <c r="K82" s="59"/>
      <c r="L82" s="62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</row>
    <row r="83" spans="1:54">
      <c r="A83" s="59"/>
      <c r="B83" s="59"/>
      <c r="C83" s="62"/>
      <c r="D83" s="59"/>
      <c r="E83" s="62"/>
      <c r="F83" s="59"/>
      <c r="G83" s="62"/>
      <c r="H83" s="59"/>
      <c r="I83" s="59"/>
      <c r="J83" s="59"/>
      <c r="K83" s="59"/>
      <c r="L83" s="62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</row>
    <row r="84" spans="1:54">
      <c r="A84" s="59"/>
      <c r="B84" s="59"/>
      <c r="C84" s="62"/>
      <c r="D84" s="59"/>
      <c r="E84" s="62"/>
      <c r="F84" s="59"/>
      <c r="G84" s="62"/>
      <c r="H84" s="59"/>
      <c r="I84" s="59"/>
      <c r="J84" s="59"/>
      <c r="K84" s="59"/>
      <c r="L84" s="62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</row>
    <row r="85" spans="1:54">
      <c r="A85" s="59"/>
      <c r="B85" s="59"/>
      <c r="C85" s="62"/>
      <c r="D85" s="59"/>
      <c r="E85" s="62"/>
      <c r="F85" s="59"/>
      <c r="G85" s="62"/>
      <c r="H85" s="59"/>
      <c r="I85" s="59"/>
      <c r="J85" s="59"/>
      <c r="K85" s="59"/>
      <c r="L85" s="62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</row>
    <row r="86" spans="1:54">
      <c r="A86" s="59"/>
      <c r="B86" s="59"/>
      <c r="C86" s="62"/>
      <c r="D86" s="59"/>
      <c r="E86" s="62"/>
      <c r="F86" s="59"/>
      <c r="G86" s="62"/>
      <c r="H86" s="59"/>
      <c r="I86" s="59"/>
      <c r="J86" s="59"/>
      <c r="K86" s="59"/>
      <c r="L86" s="62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</row>
    <row r="87" spans="1:54">
      <c r="A87" s="59"/>
      <c r="B87" s="59"/>
      <c r="C87" s="62"/>
      <c r="D87" s="59"/>
      <c r="E87" s="62"/>
      <c r="F87" s="59"/>
      <c r="G87" s="62"/>
      <c r="H87" s="59"/>
      <c r="I87" s="59"/>
      <c r="J87" s="59"/>
      <c r="K87" s="59"/>
      <c r="L87" s="62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</row>
    <row r="88" spans="1:54">
      <c r="A88" s="59"/>
      <c r="B88" s="59"/>
      <c r="C88" s="62"/>
      <c r="D88" s="59"/>
      <c r="E88" s="62"/>
      <c r="F88" s="59"/>
      <c r="G88" s="62"/>
      <c r="H88" s="59"/>
      <c r="I88" s="59"/>
      <c r="J88" s="59"/>
      <c r="K88" s="59"/>
      <c r="L88" s="62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</row>
    <row r="89" spans="1:54">
      <c r="A89" s="59"/>
      <c r="B89" s="59"/>
      <c r="C89" s="62"/>
      <c r="D89" s="59"/>
      <c r="E89" s="62"/>
      <c r="F89" s="59"/>
      <c r="G89" s="62"/>
      <c r="H89" s="59"/>
      <c r="I89" s="59"/>
      <c r="J89" s="59"/>
      <c r="K89" s="59"/>
      <c r="L89" s="62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</row>
    <row r="90" spans="1:54">
      <c r="A90" s="59"/>
      <c r="B90" s="59"/>
      <c r="C90" s="62"/>
      <c r="D90" s="59"/>
      <c r="E90" s="62"/>
      <c r="F90" s="59"/>
      <c r="G90" s="62"/>
      <c r="H90" s="59"/>
      <c r="I90" s="59"/>
      <c r="J90" s="59"/>
      <c r="K90" s="59"/>
      <c r="L90" s="62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</row>
    <row r="91" spans="1:54">
      <c r="A91" s="59"/>
      <c r="B91" s="59"/>
      <c r="C91" s="62"/>
      <c r="D91" s="59"/>
      <c r="E91" s="62"/>
      <c r="F91" s="59"/>
      <c r="G91" s="62"/>
      <c r="H91" s="59"/>
      <c r="I91" s="59"/>
      <c r="J91" s="59"/>
      <c r="K91" s="59"/>
      <c r="L91" s="62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</row>
    <row r="92" spans="1:54">
      <c r="A92" s="59"/>
      <c r="B92" s="59"/>
      <c r="C92" s="62"/>
      <c r="D92" s="59"/>
      <c r="E92" s="62"/>
      <c r="F92" s="59"/>
      <c r="G92" s="62"/>
      <c r="H92" s="59"/>
      <c r="I92" s="59"/>
      <c r="J92" s="59"/>
      <c r="K92" s="59"/>
      <c r="L92" s="62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</row>
    <row r="93" spans="1:54">
      <c r="A93" s="59"/>
      <c r="B93" s="59"/>
      <c r="C93" s="62"/>
      <c r="D93" s="59"/>
      <c r="E93" s="62"/>
      <c r="F93" s="59"/>
      <c r="G93" s="62"/>
      <c r="H93" s="59"/>
      <c r="I93" s="59"/>
      <c r="J93" s="59"/>
      <c r="K93" s="59"/>
      <c r="L93" s="62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</row>
    <row r="94" spans="1:54">
      <c r="A94" s="59"/>
      <c r="B94" s="59"/>
      <c r="C94" s="62"/>
      <c r="D94" s="59"/>
      <c r="E94" s="62"/>
      <c r="F94" s="59"/>
      <c r="G94" s="62"/>
      <c r="H94" s="59"/>
      <c r="I94" s="59"/>
      <c r="J94" s="59"/>
      <c r="K94" s="59"/>
      <c r="L94" s="62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</row>
    <row r="95" spans="1:54">
      <c r="A95" s="59"/>
      <c r="B95" s="59"/>
      <c r="C95" s="62"/>
      <c r="D95" s="59"/>
      <c r="E95" s="62"/>
      <c r="F95" s="59"/>
      <c r="G95" s="62"/>
      <c r="H95" s="59"/>
      <c r="I95" s="59"/>
      <c r="J95" s="59"/>
      <c r="K95" s="59"/>
      <c r="L95" s="62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</row>
    <row r="96" spans="1:54">
      <c r="A96" s="59"/>
      <c r="B96" s="59"/>
      <c r="C96" s="62"/>
      <c r="D96" s="59"/>
      <c r="E96" s="62"/>
      <c r="F96" s="59"/>
      <c r="G96" s="62"/>
      <c r="H96" s="59"/>
      <c r="I96" s="59"/>
      <c r="J96" s="59"/>
      <c r="K96" s="59"/>
      <c r="L96" s="62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</row>
    <row r="97" spans="1:54">
      <c r="A97" s="59"/>
      <c r="B97" s="59"/>
      <c r="C97" s="62"/>
      <c r="D97" s="59"/>
      <c r="E97" s="62"/>
      <c r="F97" s="59"/>
      <c r="G97" s="62"/>
      <c r="H97" s="59"/>
      <c r="I97" s="59"/>
      <c r="J97" s="59"/>
      <c r="K97" s="59"/>
      <c r="L97" s="62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</row>
    <row r="98" spans="1:54">
      <c r="A98" s="59"/>
      <c r="B98" s="59"/>
      <c r="C98" s="62"/>
      <c r="D98" s="59"/>
      <c r="E98" s="62"/>
      <c r="F98" s="59"/>
      <c r="G98" s="62"/>
      <c r="H98" s="59"/>
      <c r="I98" s="59"/>
      <c r="J98" s="59"/>
      <c r="K98" s="59"/>
      <c r="L98" s="62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</row>
    <row r="99" spans="1:54">
      <c r="A99" s="59"/>
      <c r="B99" s="59"/>
      <c r="C99" s="62"/>
      <c r="D99" s="59"/>
      <c r="E99" s="62"/>
      <c r="F99" s="59"/>
      <c r="G99" s="62"/>
      <c r="H99" s="59"/>
      <c r="I99" s="59"/>
      <c r="J99" s="59"/>
      <c r="K99" s="59"/>
      <c r="L99" s="62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</row>
    <row r="100" spans="1:54">
      <c r="A100" s="59"/>
      <c r="B100" s="59"/>
      <c r="C100" s="62"/>
      <c r="D100" s="59"/>
      <c r="E100" s="62"/>
      <c r="F100" s="59"/>
      <c r="G100" s="62"/>
      <c r="H100" s="59"/>
      <c r="I100" s="59"/>
      <c r="J100" s="59"/>
      <c r="K100" s="59"/>
      <c r="L100" s="62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</row>
    <row r="101" spans="1:54">
      <c r="A101" s="59"/>
      <c r="B101" s="59"/>
      <c r="C101" s="62"/>
      <c r="D101" s="59"/>
      <c r="E101" s="62"/>
      <c r="F101" s="59"/>
      <c r="G101" s="62"/>
      <c r="H101" s="59"/>
      <c r="I101" s="59"/>
      <c r="J101" s="59"/>
      <c r="K101" s="59"/>
      <c r="L101" s="62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</row>
    <row r="102" spans="1:54">
      <c r="A102" s="59"/>
      <c r="B102" s="59"/>
      <c r="C102" s="62"/>
      <c r="D102" s="59"/>
      <c r="E102" s="62"/>
      <c r="F102" s="59"/>
      <c r="G102" s="62"/>
      <c r="H102" s="59"/>
      <c r="I102" s="59"/>
      <c r="J102" s="59"/>
      <c r="K102" s="59"/>
      <c r="L102" s="62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</row>
    <row r="103" spans="1:54">
      <c r="A103" s="59"/>
      <c r="B103" s="59"/>
      <c r="C103" s="62"/>
      <c r="D103" s="59"/>
      <c r="E103" s="62"/>
      <c r="F103" s="59"/>
      <c r="G103" s="62"/>
      <c r="H103" s="59"/>
      <c r="I103" s="59"/>
      <c r="J103" s="59"/>
      <c r="K103" s="59"/>
      <c r="L103" s="62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</row>
    <row r="104" spans="1:54">
      <c r="A104" s="59"/>
      <c r="B104" s="59"/>
      <c r="C104" s="62"/>
      <c r="D104" s="59"/>
      <c r="E104" s="62"/>
      <c r="F104" s="59"/>
      <c r="G104" s="62"/>
      <c r="H104" s="59"/>
      <c r="I104" s="59"/>
      <c r="J104" s="59"/>
      <c r="K104" s="59"/>
      <c r="L104" s="62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</row>
    <row r="105" spans="1:54">
      <c r="A105" s="59"/>
      <c r="B105" s="59"/>
      <c r="C105" s="62"/>
      <c r="D105" s="59"/>
      <c r="E105" s="62"/>
      <c r="F105" s="59"/>
      <c r="G105" s="62"/>
      <c r="H105" s="59"/>
      <c r="I105" s="59"/>
      <c r="J105" s="59"/>
      <c r="K105" s="59"/>
      <c r="L105" s="62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</row>
    <row r="106" spans="1:54">
      <c r="A106" s="59"/>
      <c r="B106" s="59"/>
      <c r="C106" s="62"/>
      <c r="D106" s="59"/>
      <c r="E106" s="62"/>
      <c r="F106" s="59"/>
      <c r="G106" s="62"/>
      <c r="H106" s="59"/>
      <c r="I106" s="59"/>
      <c r="J106" s="59"/>
      <c r="K106" s="59"/>
      <c r="L106" s="62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</row>
    <row r="107" spans="1:54">
      <c r="A107" s="59"/>
      <c r="B107" s="59"/>
      <c r="C107" s="62"/>
      <c r="D107" s="59"/>
      <c r="E107" s="62"/>
      <c r="F107" s="59"/>
      <c r="G107" s="62"/>
      <c r="H107" s="59"/>
      <c r="I107" s="59"/>
      <c r="J107" s="59"/>
      <c r="K107" s="59"/>
      <c r="L107" s="62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</row>
    <row r="108" spans="1:54">
      <c r="A108" s="59"/>
      <c r="B108" s="59"/>
      <c r="C108" s="62"/>
      <c r="D108" s="59"/>
      <c r="E108" s="62"/>
      <c r="F108" s="59"/>
      <c r="G108" s="62"/>
      <c r="H108" s="59"/>
      <c r="I108" s="59"/>
      <c r="J108" s="59"/>
      <c r="K108" s="59"/>
      <c r="L108" s="62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</row>
    <row r="109" spans="1:54">
      <c r="A109" s="59"/>
      <c r="B109" s="59"/>
      <c r="C109" s="62"/>
      <c r="D109" s="59"/>
      <c r="E109" s="62"/>
      <c r="F109" s="59"/>
      <c r="G109" s="62"/>
      <c r="H109" s="59"/>
      <c r="I109" s="59"/>
      <c r="J109" s="59"/>
      <c r="K109" s="59"/>
      <c r="L109" s="62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</row>
    <row r="110" spans="1:54">
      <c r="A110" s="59"/>
      <c r="B110" s="59"/>
      <c r="C110" s="62"/>
      <c r="D110" s="59"/>
      <c r="E110" s="62"/>
      <c r="F110" s="59"/>
      <c r="G110" s="62"/>
      <c r="H110" s="59"/>
      <c r="I110" s="59"/>
      <c r="J110" s="59"/>
      <c r="K110" s="59"/>
      <c r="L110" s="62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</row>
    <row r="111" spans="1:54">
      <c r="A111" s="59"/>
      <c r="B111" s="59"/>
      <c r="C111" s="62"/>
      <c r="D111" s="59"/>
      <c r="E111" s="62"/>
      <c r="F111" s="59"/>
      <c r="G111" s="62"/>
      <c r="H111" s="59"/>
      <c r="I111" s="59"/>
      <c r="J111" s="59"/>
      <c r="K111" s="59"/>
      <c r="L111" s="62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</row>
    <row r="112" spans="1:54">
      <c r="A112" s="59"/>
      <c r="B112" s="59"/>
      <c r="C112" s="62"/>
      <c r="D112" s="59"/>
      <c r="E112" s="62"/>
      <c r="F112" s="59"/>
      <c r="G112" s="62"/>
      <c r="H112" s="59"/>
      <c r="I112" s="59"/>
      <c r="J112" s="59"/>
      <c r="K112" s="59"/>
      <c r="L112" s="62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</row>
    <row r="113" spans="1:54">
      <c r="A113" s="59"/>
      <c r="B113" s="59"/>
      <c r="C113" s="62"/>
      <c r="D113" s="59"/>
      <c r="E113" s="62"/>
      <c r="F113" s="59"/>
      <c r="G113" s="62"/>
      <c r="H113" s="59"/>
      <c r="I113" s="59"/>
      <c r="J113" s="59"/>
      <c r="K113" s="59"/>
      <c r="L113" s="62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</row>
    <row r="114" spans="1:54">
      <c r="A114" s="59"/>
      <c r="B114" s="59"/>
      <c r="C114" s="62"/>
      <c r="D114" s="59"/>
      <c r="E114" s="62"/>
      <c r="F114" s="59"/>
      <c r="G114" s="62"/>
      <c r="H114" s="59"/>
      <c r="I114" s="59"/>
      <c r="J114" s="59"/>
      <c r="K114" s="59"/>
      <c r="L114" s="62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</row>
    <row r="115" spans="1:54">
      <c r="A115" s="59"/>
      <c r="B115" s="59"/>
      <c r="C115" s="62"/>
      <c r="D115" s="59"/>
      <c r="E115" s="62"/>
      <c r="F115" s="59"/>
      <c r="G115" s="62"/>
      <c r="H115" s="59"/>
      <c r="I115" s="59"/>
      <c r="J115" s="59"/>
      <c r="K115" s="59"/>
      <c r="L115" s="62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</row>
    <row r="116" spans="1:54">
      <c r="A116" s="59"/>
      <c r="B116" s="59"/>
      <c r="C116" s="62"/>
      <c r="D116" s="59"/>
      <c r="E116" s="62"/>
      <c r="F116" s="59"/>
      <c r="G116" s="62"/>
      <c r="H116" s="59"/>
      <c r="I116" s="59"/>
      <c r="J116" s="59"/>
      <c r="K116" s="59"/>
      <c r="L116" s="62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</row>
    <row r="117" spans="1:54">
      <c r="A117" s="59"/>
      <c r="B117" s="59"/>
      <c r="C117" s="62"/>
      <c r="D117" s="59"/>
      <c r="E117" s="62"/>
      <c r="F117" s="59"/>
      <c r="G117" s="62"/>
      <c r="H117" s="59"/>
      <c r="I117" s="59"/>
      <c r="J117" s="59"/>
      <c r="K117" s="59"/>
      <c r="L117" s="62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</row>
    <row r="118" spans="1:54">
      <c r="A118" s="59"/>
      <c r="B118" s="59"/>
      <c r="C118" s="62"/>
      <c r="D118" s="59"/>
      <c r="E118" s="62"/>
      <c r="F118" s="59"/>
      <c r="G118" s="62"/>
      <c r="H118" s="59"/>
      <c r="I118" s="59"/>
      <c r="J118" s="59"/>
      <c r="K118" s="59"/>
      <c r="L118" s="62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</row>
    <row r="119" spans="1:54">
      <c r="A119" s="59"/>
      <c r="B119" s="59"/>
      <c r="C119" s="62"/>
      <c r="D119" s="59"/>
      <c r="E119" s="62"/>
      <c r="F119" s="59"/>
      <c r="G119" s="62"/>
      <c r="H119" s="59"/>
      <c r="I119" s="59"/>
      <c r="J119" s="59"/>
      <c r="K119" s="59"/>
      <c r="L119" s="62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</row>
    <row r="120" spans="1:54">
      <c r="A120" s="59"/>
      <c r="B120" s="59"/>
      <c r="C120" s="62"/>
      <c r="D120" s="59"/>
      <c r="E120" s="62"/>
      <c r="F120" s="59"/>
      <c r="G120" s="62"/>
      <c r="H120" s="59"/>
      <c r="I120" s="59"/>
      <c r="J120" s="59"/>
      <c r="K120" s="59"/>
      <c r="L120" s="62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</row>
    <row r="121" spans="1:54">
      <c r="A121" s="59"/>
      <c r="B121" s="59"/>
      <c r="C121" s="62"/>
      <c r="D121" s="59"/>
      <c r="E121" s="62"/>
      <c r="F121" s="59"/>
      <c r="G121" s="62"/>
      <c r="H121" s="59"/>
      <c r="I121" s="59"/>
      <c r="J121" s="59"/>
      <c r="K121" s="59"/>
      <c r="L121" s="62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</row>
    <row r="122" spans="1:54">
      <c r="A122" s="59"/>
      <c r="B122" s="59"/>
      <c r="C122" s="62"/>
      <c r="D122" s="59"/>
      <c r="E122" s="62"/>
      <c r="F122" s="59"/>
      <c r="G122" s="62"/>
      <c r="H122" s="59"/>
      <c r="I122" s="59"/>
      <c r="J122" s="59"/>
      <c r="K122" s="59"/>
      <c r="L122" s="62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</row>
    <row r="123" spans="1:54">
      <c r="A123" s="59"/>
      <c r="B123" s="59"/>
      <c r="C123" s="62"/>
      <c r="D123" s="59"/>
      <c r="E123" s="62"/>
      <c r="F123" s="59"/>
      <c r="G123" s="62"/>
      <c r="H123" s="59"/>
      <c r="I123" s="59"/>
      <c r="J123" s="59"/>
      <c r="K123" s="59"/>
      <c r="L123" s="62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</row>
    <row r="124" spans="1:54">
      <c r="A124" s="59"/>
      <c r="B124" s="59"/>
      <c r="C124" s="62"/>
      <c r="D124" s="59"/>
      <c r="E124" s="62"/>
      <c r="F124" s="59"/>
      <c r="G124" s="62"/>
      <c r="H124" s="59"/>
      <c r="I124" s="59"/>
      <c r="J124" s="59"/>
      <c r="K124" s="59"/>
      <c r="L124" s="62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</row>
    <row r="125" spans="1:54">
      <c r="A125" s="59"/>
      <c r="B125" s="59"/>
      <c r="C125" s="62"/>
      <c r="D125" s="59"/>
      <c r="E125" s="62"/>
      <c r="F125" s="59"/>
      <c r="G125" s="62"/>
      <c r="H125" s="59"/>
      <c r="I125" s="59"/>
      <c r="J125" s="59"/>
      <c r="K125" s="59"/>
      <c r="L125" s="62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</row>
    <row r="126" spans="1:54">
      <c r="A126" s="59"/>
      <c r="B126" s="59"/>
      <c r="C126" s="62"/>
      <c r="D126" s="59"/>
      <c r="E126" s="62"/>
      <c r="F126" s="59"/>
      <c r="G126" s="62"/>
      <c r="H126" s="59"/>
      <c r="I126" s="59"/>
      <c r="J126" s="59"/>
      <c r="K126" s="59"/>
      <c r="L126" s="62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</row>
    <row r="127" spans="1:54">
      <c r="A127" s="59"/>
      <c r="B127" s="59"/>
      <c r="C127" s="62"/>
      <c r="D127" s="59"/>
      <c r="E127" s="62"/>
      <c r="F127" s="59"/>
      <c r="G127" s="62"/>
      <c r="H127" s="59"/>
      <c r="I127" s="59"/>
      <c r="J127" s="59"/>
      <c r="K127" s="59"/>
      <c r="L127" s="62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</row>
    <row r="128" spans="1:54">
      <c r="A128" s="59"/>
      <c r="B128" s="59"/>
      <c r="C128" s="62"/>
      <c r="D128" s="59"/>
      <c r="E128" s="62"/>
      <c r="F128" s="59"/>
      <c r="G128" s="62"/>
      <c r="H128" s="59"/>
      <c r="I128" s="59"/>
      <c r="J128" s="59"/>
      <c r="K128" s="59"/>
      <c r="L128" s="62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</row>
    <row r="129" spans="1:54">
      <c r="A129" s="59"/>
      <c r="B129" s="59"/>
      <c r="C129" s="62"/>
      <c r="D129" s="59"/>
      <c r="E129" s="62"/>
      <c r="F129" s="59"/>
      <c r="G129" s="62"/>
      <c r="H129" s="59"/>
      <c r="I129" s="59"/>
      <c r="J129" s="59"/>
      <c r="K129" s="59"/>
      <c r="L129" s="62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</row>
    <row r="130" spans="1:54">
      <c r="A130" s="59"/>
      <c r="B130" s="59"/>
      <c r="C130" s="62"/>
      <c r="D130" s="59"/>
      <c r="E130" s="62"/>
      <c r="F130" s="59"/>
      <c r="G130" s="62"/>
      <c r="H130" s="59"/>
      <c r="I130" s="59"/>
      <c r="J130" s="59"/>
      <c r="K130" s="59"/>
      <c r="L130" s="62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</row>
    <row r="131" spans="1:54">
      <c r="A131" s="59"/>
      <c r="B131" s="59"/>
      <c r="C131" s="62"/>
      <c r="D131" s="59"/>
      <c r="E131" s="62"/>
      <c r="F131" s="59"/>
      <c r="G131" s="62"/>
      <c r="H131" s="59"/>
      <c r="I131" s="59"/>
      <c r="J131" s="59"/>
      <c r="K131" s="59"/>
      <c r="L131" s="62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</row>
    <row r="132" spans="1:54">
      <c r="A132" s="59"/>
      <c r="B132" s="59"/>
      <c r="C132" s="62"/>
      <c r="D132" s="59"/>
      <c r="E132" s="62"/>
      <c r="F132" s="59"/>
      <c r="G132" s="62"/>
      <c r="H132" s="59"/>
      <c r="I132" s="59"/>
      <c r="J132" s="59"/>
      <c r="K132" s="59"/>
      <c r="L132" s="62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</row>
    <row r="133" spans="1:54">
      <c r="A133" s="59"/>
      <c r="B133" s="59"/>
      <c r="C133" s="62"/>
      <c r="D133" s="59"/>
      <c r="E133" s="62"/>
      <c r="F133" s="59"/>
      <c r="G133" s="62"/>
      <c r="H133" s="59"/>
      <c r="I133" s="59"/>
      <c r="J133" s="59"/>
      <c r="K133" s="59"/>
      <c r="L133" s="62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</row>
    <row r="134" spans="1:54">
      <c r="A134" s="59"/>
      <c r="B134" s="59"/>
      <c r="C134" s="62"/>
      <c r="D134" s="59"/>
      <c r="E134" s="62"/>
      <c r="F134" s="59"/>
      <c r="G134" s="62"/>
      <c r="H134" s="59"/>
      <c r="I134" s="59"/>
      <c r="J134" s="59"/>
      <c r="K134" s="59"/>
      <c r="L134" s="62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</row>
    <row r="135" spans="1:54">
      <c r="A135" s="59"/>
      <c r="B135" s="59"/>
      <c r="C135" s="62"/>
      <c r="D135" s="59"/>
      <c r="E135" s="62"/>
      <c r="F135" s="59"/>
      <c r="G135" s="62"/>
      <c r="H135" s="59"/>
      <c r="I135" s="59"/>
      <c r="J135" s="59"/>
      <c r="K135" s="59"/>
      <c r="L135" s="62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</row>
    <row r="136" spans="1:54">
      <c r="A136" s="59"/>
      <c r="B136" s="59"/>
      <c r="C136" s="62"/>
      <c r="D136" s="59"/>
      <c r="E136" s="62"/>
      <c r="F136" s="59"/>
      <c r="G136" s="62"/>
      <c r="H136" s="59"/>
      <c r="I136" s="59"/>
      <c r="J136" s="59"/>
      <c r="K136" s="59"/>
      <c r="L136" s="62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</row>
    <row r="137" spans="1:54">
      <c r="A137" s="59"/>
      <c r="B137" s="59"/>
      <c r="C137" s="62"/>
      <c r="D137" s="59"/>
      <c r="E137" s="62"/>
      <c r="F137" s="59"/>
      <c r="G137" s="62"/>
      <c r="H137" s="59"/>
      <c r="I137" s="59"/>
      <c r="J137" s="59"/>
      <c r="K137" s="59"/>
      <c r="L137" s="62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</row>
    <row r="138" spans="1:54">
      <c r="A138" s="59"/>
      <c r="B138" s="59"/>
      <c r="C138" s="62"/>
      <c r="D138" s="59"/>
      <c r="E138" s="62"/>
      <c r="F138" s="59"/>
      <c r="G138" s="62"/>
      <c r="H138" s="59"/>
      <c r="I138" s="59"/>
      <c r="J138" s="59"/>
      <c r="K138" s="59"/>
      <c r="L138" s="62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</row>
    <row r="139" spans="1:54">
      <c r="A139" s="59"/>
      <c r="B139" s="59"/>
      <c r="C139" s="62"/>
      <c r="D139" s="59"/>
      <c r="E139" s="62"/>
      <c r="F139" s="59"/>
      <c r="G139" s="62"/>
      <c r="H139" s="59"/>
      <c r="I139" s="59"/>
      <c r="J139" s="59"/>
      <c r="K139" s="59"/>
      <c r="L139" s="62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</row>
    <row r="140" spans="1:54">
      <c r="A140" s="59"/>
      <c r="B140" s="59"/>
      <c r="C140" s="62"/>
      <c r="D140" s="59"/>
      <c r="E140" s="62"/>
      <c r="F140" s="59"/>
      <c r="G140" s="62"/>
      <c r="H140" s="59"/>
      <c r="I140" s="59"/>
      <c r="J140" s="59"/>
      <c r="K140" s="59"/>
      <c r="L140" s="62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</row>
    <row r="141" spans="1:54">
      <c r="A141" s="59"/>
      <c r="B141" s="59"/>
      <c r="C141" s="62"/>
      <c r="D141" s="59"/>
      <c r="E141" s="62"/>
      <c r="F141" s="59"/>
      <c r="G141" s="62"/>
      <c r="H141" s="59"/>
      <c r="I141" s="59"/>
      <c r="J141" s="59"/>
      <c r="K141" s="59"/>
      <c r="L141" s="62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</row>
    <row r="142" spans="1:54">
      <c r="A142" s="59"/>
      <c r="B142" s="59"/>
      <c r="C142" s="62"/>
      <c r="D142" s="59"/>
      <c r="E142" s="62"/>
      <c r="F142" s="59"/>
      <c r="G142" s="62"/>
      <c r="H142" s="59"/>
      <c r="I142" s="59"/>
      <c r="J142" s="59"/>
      <c r="K142" s="59"/>
      <c r="L142" s="62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</row>
    <row r="143" spans="1:54">
      <c r="A143" s="59"/>
      <c r="B143" s="59"/>
      <c r="C143" s="62"/>
      <c r="D143" s="59"/>
      <c r="E143" s="62"/>
      <c r="F143" s="59"/>
      <c r="G143" s="62"/>
      <c r="H143" s="59"/>
      <c r="I143" s="59"/>
      <c r="J143" s="59"/>
      <c r="K143" s="59"/>
      <c r="L143" s="62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</row>
    <row r="144" spans="1:54">
      <c r="A144" s="59"/>
      <c r="B144" s="59"/>
      <c r="C144" s="62"/>
      <c r="D144" s="59"/>
      <c r="E144" s="62"/>
      <c r="F144" s="59"/>
      <c r="G144" s="62"/>
      <c r="H144" s="59"/>
      <c r="I144" s="59"/>
      <c r="J144" s="59"/>
      <c r="K144" s="59"/>
      <c r="L144" s="62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</row>
    <row r="145" spans="1:54">
      <c r="A145" s="59"/>
      <c r="B145" s="59"/>
      <c r="C145" s="62"/>
      <c r="D145" s="59"/>
      <c r="E145" s="62"/>
      <c r="F145" s="59"/>
      <c r="G145" s="62"/>
      <c r="H145" s="59"/>
      <c r="I145" s="59"/>
      <c r="J145" s="59"/>
      <c r="K145" s="59"/>
      <c r="L145" s="62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</row>
    <row r="146" spans="1:54">
      <c r="A146" s="59"/>
      <c r="B146" s="59"/>
      <c r="C146" s="62"/>
      <c r="D146" s="59"/>
      <c r="E146" s="62"/>
      <c r="F146" s="59"/>
      <c r="G146" s="62"/>
      <c r="H146" s="59"/>
      <c r="I146" s="59"/>
      <c r="J146" s="59"/>
      <c r="K146" s="59"/>
      <c r="L146" s="62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</row>
    <row r="147" spans="1:54">
      <c r="A147" s="59"/>
      <c r="B147" s="59"/>
      <c r="C147" s="62"/>
      <c r="D147" s="59"/>
      <c r="E147" s="62"/>
      <c r="F147" s="59"/>
      <c r="G147" s="62"/>
      <c r="H147" s="59"/>
      <c r="I147" s="59"/>
      <c r="J147" s="59"/>
      <c r="K147" s="59"/>
      <c r="L147" s="62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  <c r="BB147" s="59"/>
    </row>
    <row r="148" spans="1:54">
      <c r="A148" s="59"/>
      <c r="B148" s="59"/>
      <c r="C148" s="62"/>
      <c r="D148" s="59"/>
      <c r="E148" s="62"/>
      <c r="F148" s="59"/>
      <c r="G148" s="62"/>
      <c r="H148" s="59"/>
      <c r="I148" s="59"/>
      <c r="J148" s="59"/>
      <c r="K148" s="59"/>
      <c r="L148" s="62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</row>
    <row r="149" spans="1:54">
      <c r="A149" s="59"/>
      <c r="B149" s="59"/>
      <c r="C149" s="62"/>
      <c r="D149" s="59"/>
      <c r="E149" s="62"/>
      <c r="F149" s="59"/>
      <c r="G149" s="62"/>
      <c r="H149" s="59"/>
      <c r="I149" s="59"/>
      <c r="J149" s="59"/>
      <c r="K149" s="59"/>
      <c r="L149" s="62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</row>
    <row r="150" spans="1:54">
      <c r="A150" s="59"/>
      <c r="B150" s="59"/>
      <c r="C150" s="62"/>
      <c r="D150" s="59"/>
      <c r="E150" s="62"/>
      <c r="F150" s="59"/>
      <c r="G150" s="62"/>
      <c r="H150" s="59"/>
      <c r="I150" s="59"/>
      <c r="J150" s="59"/>
      <c r="K150" s="59"/>
      <c r="L150" s="62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</row>
    <row r="151" spans="1:54">
      <c r="A151" s="59"/>
      <c r="B151" s="59"/>
      <c r="C151" s="62"/>
      <c r="D151" s="59"/>
      <c r="E151" s="62"/>
      <c r="F151" s="59"/>
      <c r="G151" s="62"/>
      <c r="H151" s="59"/>
      <c r="I151" s="59"/>
      <c r="J151" s="59"/>
      <c r="K151" s="59"/>
      <c r="L151" s="62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</row>
    <row r="152" spans="1:54">
      <c r="A152" s="59"/>
      <c r="B152" s="59"/>
      <c r="C152" s="62"/>
      <c r="D152" s="59"/>
      <c r="E152" s="62"/>
      <c r="F152" s="59"/>
      <c r="G152" s="62"/>
      <c r="H152" s="59"/>
      <c r="I152" s="59"/>
      <c r="J152" s="59"/>
      <c r="K152" s="59"/>
      <c r="L152" s="62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</row>
    <row r="153" spans="1:54">
      <c r="A153" s="59"/>
      <c r="B153" s="59"/>
      <c r="C153" s="62"/>
      <c r="D153" s="59"/>
      <c r="E153" s="62"/>
      <c r="F153" s="59"/>
      <c r="G153" s="62"/>
      <c r="H153" s="59"/>
      <c r="I153" s="59"/>
      <c r="J153" s="59"/>
      <c r="K153" s="59"/>
      <c r="L153" s="62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  <c r="BB153" s="59"/>
    </row>
    <row r="154" spans="1:54">
      <c r="A154" s="59"/>
      <c r="B154" s="59"/>
      <c r="C154" s="62"/>
      <c r="D154" s="59"/>
      <c r="E154" s="62"/>
      <c r="F154" s="59"/>
      <c r="G154" s="62"/>
      <c r="H154" s="59"/>
      <c r="I154" s="59"/>
      <c r="J154" s="59"/>
      <c r="K154" s="59"/>
      <c r="L154" s="62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</row>
    <row r="155" spans="1:54">
      <c r="A155" s="59"/>
      <c r="B155" s="59"/>
      <c r="C155" s="62"/>
      <c r="D155" s="59"/>
      <c r="E155" s="62"/>
      <c r="F155" s="59"/>
      <c r="G155" s="62"/>
      <c r="H155" s="59"/>
      <c r="I155" s="59"/>
      <c r="J155" s="59"/>
      <c r="K155" s="59"/>
      <c r="L155" s="62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</row>
    <row r="156" spans="1:54">
      <c r="A156" s="59"/>
      <c r="B156" s="59"/>
      <c r="C156" s="62"/>
      <c r="D156" s="59"/>
      <c r="E156" s="62"/>
      <c r="F156" s="59"/>
      <c r="G156" s="62"/>
      <c r="H156" s="59"/>
      <c r="I156" s="59"/>
      <c r="J156" s="59"/>
      <c r="K156" s="59"/>
      <c r="L156" s="62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</row>
    <row r="157" spans="1:54">
      <c r="A157" s="59"/>
      <c r="B157" s="59"/>
      <c r="C157" s="62"/>
      <c r="D157" s="59"/>
      <c r="E157" s="62"/>
      <c r="F157" s="59"/>
      <c r="G157" s="62"/>
      <c r="H157" s="59"/>
      <c r="I157" s="59"/>
      <c r="J157" s="59"/>
      <c r="K157" s="59"/>
      <c r="L157" s="62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</row>
    <row r="158" spans="1:54">
      <c r="A158" s="59"/>
      <c r="B158" s="59"/>
      <c r="C158" s="62"/>
      <c r="D158" s="59"/>
      <c r="E158" s="62"/>
      <c r="F158" s="59"/>
      <c r="G158" s="62"/>
      <c r="H158" s="59"/>
      <c r="I158" s="59"/>
      <c r="J158" s="59"/>
      <c r="K158" s="59"/>
      <c r="L158" s="62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</row>
    <row r="159" spans="1:54">
      <c r="A159" s="59"/>
      <c r="B159" s="59"/>
      <c r="C159" s="62"/>
      <c r="D159" s="59"/>
      <c r="E159" s="62"/>
      <c r="F159" s="59"/>
      <c r="G159" s="62"/>
      <c r="H159" s="59"/>
      <c r="I159" s="59"/>
      <c r="J159" s="59"/>
      <c r="K159" s="59"/>
      <c r="L159" s="62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</row>
    <row r="160" spans="1:54">
      <c r="A160" s="59"/>
      <c r="B160" s="59"/>
      <c r="C160" s="62"/>
      <c r="D160" s="59"/>
      <c r="E160" s="62"/>
      <c r="F160" s="59"/>
      <c r="G160" s="62"/>
      <c r="H160" s="59"/>
      <c r="I160" s="59"/>
      <c r="J160" s="59"/>
      <c r="K160" s="59"/>
      <c r="L160" s="62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  <c r="BB160" s="59"/>
    </row>
    <row r="161" spans="1:54">
      <c r="A161" s="59"/>
      <c r="B161" s="59"/>
      <c r="C161" s="62"/>
      <c r="D161" s="59"/>
      <c r="E161" s="62"/>
      <c r="F161" s="59"/>
      <c r="G161" s="62"/>
      <c r="H161" s="59"/>
      <c r="I161" s="59"/>
      <c r="J161" s="59"/>
      <c r="K161" s="59"/>
      <c r="L161" s="62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</row>
    <row r="162" spans="1:54">
      <c r="A162" s="59"/>
      <c r="B162" s="59"/>
      <c r="C162" s="62"/>
      <c r="D162" s="59"/>
      <c r="E162" s="62"/>
      <c r="F162" s="59"/>
      <c r="G162" s="62"/>
      <c r="H162" s="59"/>
      <c r="I162" s="59"/>
      <c r="J162" s="59"/>
      <c r="K162" s="59"/>
      <c r="L162" s="62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</row>
    <row r="163" spans="1:54">
      <c r="A163" s="59"/>
      <c r="B163" s="59"/>
      <c r="C163" s="62"/>
      <c r="D163" s="59"/>
      <c r="E163" s="62"/>
      <c r="F163" s="59"/>
      <c r="G163" s="62"/>
      <c r="H163" s="59"/>
      <c r="I163" s="59"/>
      <c r="J163" s="59"/>
      <c r="K163" s="59"/>
      <c r="L163" s="62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</row>
    <row r="164" spans="1:54">
      <c r="A164" s="59"/>
      <c r="B164" s="59"/>
      <c r="C164" s="62"/>
      <c r="D164" s="59"/>
      <c r="E164" s="62"/>
      <c r="F164" s="59"/>
      <c r="G164" s="62"/>
      <c r="H164" s="59"/>
      <c r="I164" s="59"/>
      <c r="J164" s="59"/>
      <c r="K164" s="59"/>
      <c r="L164" s="62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</row>
    <row r="165" spans="1:54">
      <c r="A165" s="59"/>
      <c r="B165" s="59"/>
      <c r="C165" s="62"/>
      <c r="D165" s="59"/>
      <c r="E165" s="62"/>
      <c r="F165" s="59"/>
      <c r="G165" s="62"/>
      <c r="H165" s="59"/>
      <c r="I165" s="59"/>
      <c r="J165" s="59"/>
      <c r="K165" s="59"/>
      <c r="L165" s="62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</row>
    <row r="166" spans="1:54">
      <c r="A166" s="59"/>
      <c r="B166" s="59"/>
      <c r="C166" s="62"/>
      <c r="D166" s="59"/>
      <c r="E166" s="62"/>
      <c r="F166" s="59"/>
      <c r="G166" s="62"/>
      <c r="H166" s="59"/>
      <c r="I166" s="59"/>
      <c r="J166" s="59"/>
      <c r="K166" s="59"/>
      <c r="L166" s="62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</row>
    <row r="167" spans="1:54">
      <c r="A167" s="59"/>
      <c r="B167" s="59"/>
      <c r="C167" s="62"/>
      <c r="D167" s="59"/>
      <c r="E167" s="62"/>
      <c r="F167" s="59"/>
      <c r="G167" s="62"/>
      <c r="H167" s="59"/>
      <c r="I167" s="59"/>
      <c r="J167" s="59"/>
      <c r="K167" s="59"/>
      <c r="L167" s="62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  <c r="BB167" s="59"/>
    </row>
    <row r="168" spans="1:54">
      <c r="A168" s="59"/>
      <c r="B168" s="59"/>
      <c r="C168" s="62"/>
      <c r="D168" s="59"/>
      <c r="E168" s="62"/>
      <c r="F168" s="59"/>
      <c r="G168" s="62"/>
      <c r="H168" s="59"/>
      <c r="I168" s="59"/>
      <c r="J168" s="59"/>
      <c r="K168" s="59"/>
      <c r="L168" s="62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</row>
    <row r="169" spans="1:54">
      <c r="A169" s="59"/>
      <c r="B169" s="59"/>
      <c r="C169" s="62"/>
      <c r="D169" s="59"/>
      <c r="E169" s="62"/>
      <c r="F169" s="59"/>
      <c r="G169" s="62"/>
      <c r="H169" s="59"/>
      <c r="I169" s="59"/>
      <c r="J169" s="59"/>
      <c r="K169" s="59"/>
      <c r="L169" s="62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</row>
    <row r="170" spans="1:54">
      <c r="A170" s="59"/>
      <c r="B170" s="59"/>
      <c r="C170" s="62"/>
      <c r="D170" s="59"/>
      <c r="E170" s="62"/>
      <c r="F170" s="59"/>
      <c r="G170" s="62"/>
      <c r="H170" s="59"/>
      <c r="I170" s="59"/>
      <c r="J170" s="59"/>
      <c r="K170" s="59"/>
      <c r="L170" s="62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</row>
    <row r="171" spans="1:54">
      <c r="A171" s="59"/>
      <c r="B171" s="59"/>
      <c r="C171" s="62"/>
      <c r="D171" s="59"/>
      <c r="E171" s="62"/>
      <c r="F171" s="59"/>
      <c r="G171" s="62"/>
      <c r="H171" s="59"/>
      <c r="I171" s="59"/>
      <c r="J171" s="59"/>
      <c r="K171" s="59"/>
      <c r="L171" s="62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</row>
    <row r="172" spans="1:54">
      <c r="A172" s="59"/>
      <c r="B172" s="59"/>
      <c r="C172" s="62"/>
      <c r="D172" s="59"/>
      <c r="E172" s="62"/>
      <c r="F172" s="59"/>
      <c r="G172" s="62"/>
      <c r="H172" s="59"/>
      <c r="I172" s="59"/>
      <c r="J172" s="59"/>
      <c r="K172" s="59"/>
      <c r="L172" s="62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  <c r="BB172" s="59"/>
    </row>
    <row r="173" spans="1:54">
      <c r="A173" s="59"/>
      <c r="B173" s="59"/>
      <c r="C173" s="62"/>
      <c r="D173" s="59"/>
      <c r="E173" s="62"/>
      <c r="F173" s="59"/>
      <c r="G173" s="62"/>
      <c r="H173" s="59"/>
      <c r="I173" s="59"/>
      <c r="J173" s="59"/>
      <c r="K173" s="59"/>
      <c r="L173" s="62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  <c r="BB173" s="59"/>
    </row>
    <row r="174" spans="1:54">
      <c r="A174" s="59"/>
      <c r="B174" s="59"/>
      <c r="C174" s="62"/>
      <c r="D174" s="59"/>
      <c r="E174" s="62"/>
      <c r="F174" s="59"/>
      <c r="G174" s="62"/>
      <c r="H174" s="59"/>
      <c r="I174" s="59"/>
      <c r="J174" s="59"/>
      <c r="K174" s="59"/>
      <c r="L174" s="62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</row>
    <row r="175" spans="1:54">
      <c r="A175" s="59"/>
      <c r="B175" s="59"/>
      <c r="C175" s="62"/>
      <c r="D175" s="59"/>
      <c r="E175" s="62"/>
      <c r="F175" s="59"/>
      <c r="G175" s="62"/>
      <c r="H175" s="59"/>
      <c r="I175" s="59"/>
      <c r="J175" s="59"/>
      <c r="K175" s="59"/>
      <c r="L175" s="62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  <c r="BB175" s="59"/>
    </row>
    <row r="176" spans="1:54">
      <c r="A176" s="59"/>
      <c r="B176" s="59"/>
      <c r="C176" s="62"/>
      <c r="D176" s="59"/>
      <c r="E176" s="62"/>
      <c r="F176" s="59"/>
      <c r="G176" s="62"/>
      <c r="H176" s="59"/>
      <c r="I176" s="59"/>
      <c r="J176" s="59"/>
      <c r="K176" s="59"/>
      <c r="L176" s="62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  <c r="BB176" s="59"/>
    </row>
    <row r="177" spans="1:54">
      <c r="A177" s="59"/>
      <c r="B177" s="59"/>
      <c r="C177" s="62"/>
      <c r="D177" s="59"/>
      <c r="E177" s="62"/>
      <c r="F177" s="59"/>
      <c r="G177" s="62"/>
      <c r="H177" s="59"/>
      <c r="I177" s="59"/>
      <c r="J177" s="59"/>
      <c r="K177" s="59"/>
      <c r="L177" s="62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  <c r="BB177" s="59"/>
    </row>
    <row r="178" spans="1:54">
      <c r="A178" s="59"/>
      <c r="B178" s="59"/>
      <c r="C178" s="62"/>
      <c r="D178" s="59"/>
      <c r="E178" s="62"/>
      <c r="F178" s="59"/>
      <c r="G178" s="62"/>
      <c r="H178" s="59"/>
      <c r="I178" s="59"/>
      <c r="J178" s="59"/>
      <c r="K178" s="59"/>
      <c r="L178" s="62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9"/>
      <c r="AV178" s="59"/>
      <c r="AW178" s="59"/>
      <c r="AX178" s="59"/>
      <c r="AY178" s="59"/>
      <c r="AZ178" s="59"/>
      <c r="BA178" s="59"/>
      <c r="BB178" s="59"/>
    </row>
    <row r="179" spans="1:54">
      <c r="A179" s="59"/>
      <c r="B179" s="59"/>
      <c r="C179" s="62"/>
      <c r="D179" s="59"/>
      <c r="E179" s="62"/>
      <c r="F179" s="59"/>
      <c r="G179" s="62"/>
      <c r="H179" s="59"/>
      <c r="I179" s="59"/>
      <c r="J179" s="59"/>
      <c r="K179" s="59"/>
      <c r="L179" s="62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9"/>
      <c r="AV179" s="59"/>
      <c r="AW179" s="59"/>
      <c r="AX179" s="59"/>
      <c r="AY179" s="59"/>
      <c r="AZ179" s="59"/>
      <c r="BA179" s="59"/>
      <c r="BB179" s="59"/>
    </row>
    <row r="180" spans="1:54">
      <c r="A180" s="59"/>
      <c r="B180" s="59"/>
      <c r="C180" s="62"/>
      <c r="D180" s="59"/>
      <c r="E180" s="62"/>
      <c r="F180" s="59"/>
      <c r="G180" s="62"/>
      <c r="H180" s="59"/>
      <c r="I180" s="59"/>
      <c r="J180" s="59"/>
      <c r="K180" s="59"/>
      <c r="L180" s="62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59"/>
      <c r="AY180" s="59"/>
      <c r="AZ180" s="59"/>
      <c r="BA180" s="59"/>
      <c r="BB180" s="59"/>
    </row>
    <row r="181" spans="1:54">
      <c r="A181" s="59"/>
      <c r="B181" s="59"/>
      <c r="C181" s="62"/>
      <c r="D181" s="59"/>
      <c r="E181" s="62"/>
      <c r="F181" s="59"/>
      <c r="G181" s="62"/>
      <c r="H181" s="59"/>
      <c r="I181" s="59"/>
      <c r="J181" s="59"/>
      <c r="K181" s="59"/>
      <c r="L181" s="62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  <c r="BA181" s="59"/>
      <c r="BB181" s="59"/>
    </row>
    <row r="182" spans="1:54">
      <c r="A182" s="59"/>
      <c r="B182" s="59"/>
      <c r="C182" s="62"/>
      <c r="D182" s="59"/>
      <c r="E182" s="62"/>
      <c r="F182" s="59"/>
      <c r="G182" s="62"/>
      <c r="H182" s="59"/>
      <c r="I182" s="59"/>
      <c r="J182" s="59"/>
      <c r="K182" s="59"/>
      <c r="L182" s="62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  <c r="BB182" s="59"/>
    </row>
    <row r="183" spans="1:54">
      <c r="A183" s="59"/>
      <c r="B183" s="59"/>
      <c r="C183" s="62"/>
      <c r="D183" s="59"/>
      <c r="E183" s="62"/>
      <c r="F183" s="59"/>
      <c r="G183" s="62"/>
      <c r="H183" s="59"/>
      <c r="I183" s="59"/>
      <c r="J183" s="59"/>
      <c r="K183" s="59"/>
      <c r="L183" s="62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59"/>
      <c r="AY183" s="59"/>
      <c r="AZ183" s="59"/>
      <c r="BA183" s="59"/>
      <c r="BB183" s="59"/>
    </row>
    <row r="184" spans="1:54">
      <c r="A184" s="59"/>
      <c r="B184" s="59"/>
      <c r="C184" s="62"/>
      <c r="D184" s="59"/>
      <c r="E184" s="62"/>
      <c r="F184" s="59"/>
      <c r="G184" s="62"/>
      <c r="H184" s="59"/>
      <c r="I184" s="59"/>
      <c r="J184" s="59"/>
      <c r="K184" s="59"/>
      <c r="L184" s="62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</row>
    <row r="185" spans="1:54">
      <c r="A185" s="59"/>
      <c r="B185" s="59"/>
      <c r="C185" s="62"/>
      <c r="D185" s="59"/>
      <c r="E185" s="62"/>
      <c r="F185" s="59"/>
      <c r="G185" s="62"/>
      <c r="H185" s="59"/>
      <c r="I185" s="59"/>
      <c r="J185" s="59"/>
      <c r="K185" s="59"/>
      <c r="L185" s="62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</row>
    <row r="186" spans="1:54">
      <c r="A186" s="59"/>
      <c r="B186" s="59"/>
      <c r="C186" s="62"/>
      <c r="D186" s="59"/>
      <c r="E186" s="62"/>
      <c r="F186" s="59"/>
      <c r="G186" s="62"/>
      <c r="H186" s="59"/>
      <c r="I186" s="59"/>
      <c r="J186" s="59"/>
      <c r="K186" s="59"/>
      <c r="L186" s="62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</row>
    <row r="187" spans="1:54">
      <c r="A187" s="59"/>
      <c r="B187" s="59"/>
      <c r="C187" s="62"/>
      <c r="D187" s="59"/>
      <c r="E187" s="62"/>
      <c r="F187" s="59"/>
      <c r="G187" s="62"/>
      <c r="H187" s="59"/>
      <c r="I187" s="59"/>
      <c r="J187" s="59"/>
      <c r="K187" s="59"/>
      <c r="L187" s="62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</row>
    <row r="188" spans="1:54">
      <c r="A188" s="59"/>
      <c r="B188" s="59"/>
      <c r="C188" s="62"/>
      <c r="D188" s="59"/>
      <c r="E188" s="62"/>
      <c r="F188" s="59"/>
      <c r="G188" s="62"/>
      <c r="H188" s="59"/>
      <c r="I188" s="59"/>
      <c r="J188" s="59"/>
      <c r="K188" s="59"/>
      <c r="L188" s="62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</row>
    <row r="189" spans="1:54">
      <c r="A189" s="59"/>
      <c r="B189" s="59"/>
      <c r="C189" s="62"/>
      <c r="D189" s="59"/>
      <c r="E189" s="62"/>
      <c r="F189" s="59"/>
      <c r="G189" s="62"/>
      <c r="H189" s="59"/>
      <c r="I189" s="59"/>
      <c r="J189" s="59"/>
      <c r="K189" s="59"/>
      <c r="L189" s="62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</row>
    <row r="190" spans="1:54">
      <c r="A190" s="59"/>
      <c r="B190" s="59"/>
      <c r="C190" s="62"/>
      <c r="D190" s="59"/>
      <c r="E190" s="62"/>
      <c r="F190" s="59"/>
      <c r="G190" s="62"/>
      <c r="H190" s="59"/>
      <c r="I190" s="59"/>
      <c r="J190" s="59"/>
      <c r="K190" s="59"/>
      <c r="L190" s="62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</row>
    <row r="191" spans="1:54">
      <c r="A191" s="59"/>
      <c r="B191" s="59"/>
      <c r="C191" s="62"/>
      <c r="D191" s="59"/>
      <c r="E191" s="62"/>
      <c r="F191" s="59"/>
      <c r="G191" s="62"/>
      <c r="H191" s="59"/>
      <c r="I191" s="59"/>
      <c r="J191" s="59"/>
      <c r="K191" s="59"/>
      <c r="L191" s="62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</row>
    <row r="192" spans="1:54">
      <c r="A192" s="59"/>
      <c r="B192" s="59"/>
      <c r="C192" s="62"/>
      <c r="D192" s="59"/>
      <c r="E192" s="62"/>
      <c r="F192" s="59"/>
      <c r="G192" s="62"/>
      <c r="H192" s="59"/>
      <c r="I192" s="59"/>
      <c r="J192" s="59"/>
      <c r="K192" s="59"/>
      <c r="L192" s="62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</row>
    <row r="193" spans="1:54">
      <c r="A193" s="59"/>
      <c r="B193" s="59"/>
      <c r="C193" s="62"/>
      <c r="D193" s="59"/>
      <c r="E193" s="62"/>
      <c r="F193" s="59"/>
      <c r="G193" s="62"/>
      <c r="H193" s="59"/>
      <c r="I193" s="59"/>
      <c r="J193" s="59"/>
      <c r="K193" s="59"/>
      <c r="L193" s="62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</row>
    <row r="194" spans="1:54">
      <c r="A194" s="59"/>
      <c r="B194" s="59"/>
      <c r="C194" s="62"/>
      <c r="D194" s="59"/>
      <c r="E194" s="62"/>
      <c r="F194" s="59"/>
      <c r="G194" s="62"/>
      <c r="H194" s="59"/>
      <c r="I194" s="59"/>
      <c r="J194" s="59"/>
      <c r="K194" s="59"/>
      <c r="L194" s="62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</row>
    <row r="195" spans="1:54">
      <c r="A195" s="59"/>
      <c r="B195" s="59"/>
      <c r="C195" s="62"/>
      <c r="D195" s="59"/>
      <c r="E195" s="62"/>
      <c r="F195" s="59"/>
      <c r="G195" s="62"/>
      <c r="H195" s="59"/>
      <c r="I195" s="59"/>
      <c r="J195" s="59"/>
      <c r="K195" s="59"/>
      <c r="L195" s="62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</row>
    <row r="196" spans="1:54">
      <c r="A196" s="59"/>
      <c r="B196" s="59"/>
      <c r="C196" s="62"/>
      <c r="D196" s="59"/>
      <c r="E196" s="62"/>
      <c r="F196" s="59"/>
      <c r="G196" s="62"/>
      <c r="H196" s="59"/>
      <c r="I196" s="59"/>
      <c r="J196" s="59"/>
      <c r="K196" s="59"/>
      <c r="L196" s="62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</row>
    <row r="197" spans="1:54">
      <c r="A197" s="59"/>
      <c r="B197" s="59"/>
      <c r="C197" s="62"/>
      <c r="D197" s="59"/>
      <c r="E197" s="62"/>
      <c r="F197" s="59"/>
      <c r="G197" s="62"/>
      <c r="H197" s="59"/>
      <c r="I197" s="59"/>
      <c r="J197" s="59"/>
      <c r="K197" s="59"/>
      <c r="L197" s="62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  <c r="AX197" s="59"/>
      <c r="AY197" s="59"/>
      <c r="AZ197" s="59"/>
      <c r="BA197" s="59"/>
      <c r="BB197" s="59"/>
    </row>
    <row r="198" spans="1:54">
      <c r="A198" s="59"/>
      <c r="B198" s="59"/>
      <c r="C198" s="62"/>
      <c r="D198" s="59"/>
      <c r="E198" s="62"/>
      <c r="F198" s="59"/>
      <c r="G198" s="62"/>
      <c r="H198" s="59"/>
      <c r="I198" s="59"/>
      <c r="J198" s="59"/>
      <c r="K198" s="59"/>
      <c r="L198" s="62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</row>
    <row r="199" spans="1:54">
      <c r="A199" s="59"/>
      <c r="B199" s="59"/>
      <c r="C199" s="62"/>
      <c r="D199" s="59"/>
      <c r="E199" s="62"/>
      <c r="F199" s="59"/>
      <c r="G199" s="62"/>
      <c r="H199" s="59"/>
      <c r="I199" s="59"/>
      <c r="J199" s="59"/>
      <c r="K199" s="59"/>
      <c r="L199" s="62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</row>
    <row r="200" spans="1:54">
      <c r="A200" s="59"/>
      <c r="B200" s="59"/>
      <c r="C200" s="62"/>
      <c r="D200" s="59"/>
      <c r="E200" s="62"/>
      <c r="F200" s="59"/>
      <c r="G200" s="62"/>
      <c r="H200" s="59"/>
      <c r="I200" s="59"/>
      <c r="J200" s="59"/>
      <c r="K200" s="59"/>
      <c r="L200" s="62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</row>
    <row r="201" spans="1:54">
      <c r="A201" s="59"/>
      <c r="B201" s="59"/>
      <c r="C201" s="62"/>
      <c r="D201" s="59"/>
      <c r="E201" s="62"/>
      <c r="F201" s="59"/>
      <c r="G201" s="62"/>
      <c r="H201" s="59"/>
      <c r="I201" s="59"/>
      <c r="J201" s="59"/>
      <c r="K201" s="59"/>
      <c r="L201" s="62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</row>
    <row r="202" spans="1:54">
      <c r="A202" s="59"/>
      <c r="B202" s="59"/>
      <c r="C202" s="62"/>
      <c r="D202" s="59"/>
      <c r="E202" s="62"/>
      <c r="F202" s="59"/>
      <c r="G202" s="62"/>
      <c r="H202" s="59"/>
      <c r="I202" s="59"/>
      <c r="J202" s="59"/>
      <c r="K202" s="59"/>
      <c r="L202" s="62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</row>
    <row r="203" spans="1:54">
      <c r="A203" s="59"/>
      <c r="B203" s="59"/>
      <c r="C203" s="62"/>
      <c r="D203" s="59"/>
      <c r="E203" s="62"/>
      <c r="F203" s="59"/>
      <c r="G203" s="62"/>
      <c r="H203" s="59"/>
      <c r="I203" s="59"/>
      <c r="J203" s="59"/>
      <c r="K203" s="59"/>
      <c r="L203" s="62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</row>
    <row r="204" spans="1:54">
      <c r="A204" s="59"/>
      <c r="B204" s="59"/>
      <c r="C204" s="62"/>
      <c r="D204" s="59"/>
      <c r="E204" s="62"/>
      <c r="F204" s="59"/>
      <c r="G204" s="62"/>
      <c r="H204" s="59"/>
      <c r="I204" s="59"/>
      <c r="J204" s="59"/>
      <c r="K204" s="59"/>
      <c r="L204" s="62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</row>
    <row r="205" spans="1:54">
      <c r="A205" s="59"/>
      <c r="B205" s="59"/>
      <c r="C205" s="62"/>
      <c r="D205" s="59"/>
      <c r="E205" s="62"/>
      <c r="F205" s="59"/>
      <c r="G205" s="62"/>
      <c r="H205" s="59"/>
      <c r="I205" s="59"/>
      <c r="J205" s="59"/>
      <c r="K205" s="59"/>
      <c r="L205" s="62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</row>
    <row r="206" spans="1:54">
      <c r="A206" s="59"/>
      <c r="B206" s="59"/>
      <c r="C206" s="62"/>
      <c r="D206" s="59"/>
      <c r="E206" s="62"/>
      <c r="F206" s="59"/>
      <c r="G206" s="62"/>
      <c r="H206" s="59"/>
      <c r="I206" s="59"/>
      <c r="J206" s="59"/>
      <c r="K206" s="59"/>
      <c r="L206" s="62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</row>
    <row r="207" spans="1:54">
      <c r="A207" s="59"/>
      <c r="B207" s="59"/>
      <c r="C207" s="62"/>
      <c r="D207" s="59"/>
      <c r="E207" s="62"/>
      <c r="F207" s="59"/>
      <c r="G207" s="62"/>
      <c r="H207" s="59"/>
      <c r="I207" s="59"/>
      <c r="J207" s="59"/>
      <c r="K207" s="59"/>
      <c r="L207" s="62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</row>
    <row r="208" spans="1:54">
      <c r="A208" s="59"/>
      <c r="B208" s="59"/>
      <c r="C208" s="62"/>
      <c r="D208" s="59"/>
      <c r="E208" s="62"/>
      <c r="F208" s="59"/>
      <c r="G208" s="62"/>
      <c r="H208" s="59"/>
      <c r="I208" s="59"/>
      <c r="J208" s="59"/>
      <c r="K208" s="59"/>
      <c r="L208" s="62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</row>
    <row r="209" spans="1:54">
      <c r="A209" s="59"/>
      <c r="B209" s="59"/>
      <c r="C209" s="62"/>
      <c r="D209" s="59"/>
      <c r="E209" s="62"/>
      <c r="F209" s="59"/>
      <c r="G209" s="62"/>
      <c r="H209" s="59"/>
      <c r="I209" s="59"/>
      <c r="J209" s="59"/>
      <c r="K209" s="59"/>
      <c r="L209" s="62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</row>
    <row r="210" spans="1:54">
      <c r="A210" s="59"/>
      <c r="B210" s="59"/>
      <c r="C210" s="62"/>
      <c r="D210" s="59"/>
      <c r="E210" s="62"/>
      <c r="F210" s="59"/>
      <c r="G210" s="62"/>
      <c r="H210" s="59"/>
      <c r="I210" s="59"/>
      <c r="J210" s="59"/>
      <c r="K210" s="59"/>
      <c r="L210" s="62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</row>
    <row r="211" spans="1:54">
      <c r="A211" s="59"/>
      <c r="B211" s="59"/>
      <c r="C211" s="62"/>
      <c r="D211" s="59"/>
      <c r="E211" s="62"/>
      <c r="F211" s="59"/>
      <c r="G211" s="62"/>
      <c r="H211" s="59"/>
      <c r="I211" s="59"/>
      <c r="J211" s="59"/>
      <c r="K211" s="59"/>
      <c r="L211" s="62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</row>
    <row r="212" spans="1:54">
      <c r="A212" s="59"/>
      <c r="B212" s="59"/>
      <c r="C212" s="62"/>
      <c r="D212" s="59"/>
      <c r="E212" s="62"/>
      <c r="F212" s="59"/>
      <c r="G212" s="62"/>
      <c r="H212" s="59"/>
      <c r="I212" s="59"/>
      <c r="J212" s="59"/>
      <c r="K212" s="59"/>
      <c r="L212" s="62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</row>
    <row r="213" spans="1:54">
      <c r="A213" s="59"/>
      <c r="B213" s="59"/>
      <c r="C213" s="62"/>
      <c r="D213" s="59"/>
      <c r="E213" s="62"/>
      <c r="F213" s="59"/>
      <c r="G213" s="62"/>
      <c r="H213" s="59"/>
      <c r="I213" s="59"/>
      <c r="J213" s="59"/>
      <c r="K213" s="59"/>
      <c r="L213" s="62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</row>
    <row r="214" spans="1:54">
      <c r="A214" s="59"/>
      <c r="B214" s="59"/>
      <c r="C214" s="62"/>
      <c r="D214" s="59"/>
      <c r="E214" s="62"/>
      <c r="F214" s="59"/>
      <c r="G214" s="62"/>
      <c r="H214" s="59"/>
      <c r="I214" s="59"/>
      <c r="J214" s="59"/>
      <c r="K214" s="59"/>
      <c r="L214" s="62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</row>
    <row r="215" spans="1:54">
      <c r="A215" s="59"/>
      <c r="B215" s="59"/>
      <c r="C215" s="62"/>
      <c r="D215" s="59"/>
      <c r="E215" s="62"/>
      <c r="F215" s="59"/>
      <c r="G215" s="62"/>
      <c r="H215" s="59"/>
      <c r="I215" s="59"/>
      <c r="J215" s="59"/>
      <c r="K215" s="59"/>
      <c r="L215" s="62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</row>
    <row r="216" spans="1:54">
      <c r="A216" s="59"/>
      <c r="B216" s="59"/>
      <c r="C216" s="62"/>
      <c r="D216" s="59"/>
      <c r="E216" s="62"/>
      <c r="F216" s="59"/>
      <c r="G216" s="62"/>
      <c r="H216" s="59"/>
      <c r="I216" s="59"/>
      <c r="J216" s="59"/>
      <c r="K216" s="59"/>
      <c r="L216" s="62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</row>
    <row r="217" spans="1:54">
      <c r="A217" s="59"/>
      <c r="B217" s="59"/>
      <c r="C217" s="62"/>
      <c r="D217" s="59"/>
      <c r="E217" s="62"/>
      <c r="F217" s="59"/>
      <c r="G217" s="62"/>
      <c r="H217" s="59"/>
      <c r="I217" s="59"/>
      <c r="J217" s="59"/>
      <c r="K217" s="59"/>
      <c r="L217" s="62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</row>
    <row r="218" spans="1:54">
      <c r="A218" s="59"/>
      <c r="B218" s="59"/>
      <c r="C218" s="62"/>
      <c r="D218" s="59"/>
      <c r="E218" s="62"/>
      <c r="F218" s="59"/>
      <c r="G218" s="62"/>
      <c r="H218" s="59"/>
      <c r="I218" s="59"/>
      <c r="J218" s="59"/>
      <c r="K218" s="59"/>
      <c r="L218" s="62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</row>
    <row r="219" spans="1:54">
      <c r="A219" s="59"/>
      <c r="B219" s="59"/>
      <c r="C219" s="62"/>
      <c r="D219" s="59"/>
      <c r="E219" s="62"/>
      <c r="F219" s="59"/>
      <c r="G219" s="62"/>
      <c r="H219" s="59"/>
      <c r="I219" s="59"/>
      <c r="J219" s="59"/>
      <c r="K219" s="59"/>
      <c r="L219" s="62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</row>
    <row r="220" spans="1:54">
      <c r="A220" s="59"/>
      <c r="B220" s="59"/>
      <c r="C220" s="62"/>
      <c r="D220" s="59"/>
      <c r="E220" s="62"/>
      <c r="F220" s="59"/>
      <c r="G220" s="62"/>
      <c r="H220" s="59"/>
      <c r="I220" s="59"/>
      <c r="J220" s="59"/>
      <c r="K220" s="59"/>
      <c r="L220" s="62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  <c r="BA220" s="59"/>
      <c r="BB220" s="59"/>
    </row>
    <row r="221" spans="1:54">
      <c r="A221" s="59"/>
      <c r="B221" s="59"/>
      <c r="C221" s="62"/>
      <c r="D221" s="59"/>
      <c r="E221" s="62"/>
      <c r="F221" s="59"/>
      <c r="G221" s="62"/>
      <c r="H221" s="59"/>
      <c r="I221" s="59"/>
      <c r="J221" s="59"/>
      <c r="K221" s="59"/>
      <c r="L221" s="62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  <c r="AX221" s="59"/>
      <c r="AY221" s="59"/>
      <c r="AZ221" s="59"/>
      <c r="BA221" s="59"/>
      <c r="BB221" s="59"/>
    </row>
    <row r="222" spans="1:54">
      <c r="A222" s="59"/>
      <c r="B222" s="59"/>
      <c r="C222" s="62"/>
      <c r="D222" s="59"/>
      <c r="E222" s="62"/>
      <c r="F222" s="59"/>
      <c r="G222" s="62"/>
      <c r="H222" s="59"/>
      <c r="I222" s="59"/>
      <c r="J222" s="59"/>
      <c r="K222" s="59"/>
      <c r="L222" s="62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</row>
    <row r="223" spans="1:54">
      <c r="A223" s="59"/>
      <c r="B223" s="59"/>
      <c r="C223" s="62"/>
      <c r="D223" s="59"/>
      <c r="E223" s="62"/>
      <c r="F223" s="59"/>
      <c r="G223" s="62"/>
      <c r="H223" s="59"/>
      <c r="I223" s="59"/>
      <c r="J223" s="59"/>
      <c r="K223" s="59"/>
      <c r="L223" s="62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</row>
    <row r="224" spans="1:54">
      <c r="A224" s="59"/>
      <c r="B224" s="59"/>
      <c r="C224" s="62"/>
      <c r="D224" s="59"/>
      <c r="E224" s="62"/>
      <c r="F224" s="59"/>
      <c r="G224" s="62"/>
      <c r="H224" s="59"/>
      <c r="I224" s="59"/>
      <c r="J224" s="59"/>
      <c r="K224" s="59"/>
      <c r="L224" s="62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59"/>
      <c r="AY224" s="59"/>
      <c r="AZ224" s="59"/>
      <c r="BA224" s="59"/>
      <c r="BB224" s="59"/>
    </row>
    <row r="225" spans="1:54">
      <c r="A225" s="59"/>
      <c r="B225" s="59"/>
      <c r="C225" s="62"/>
      <c r="D225" s="59"/>
      <c r="E225" s="62"/>
      <c r="F225" s="59"/>
      <c r="G225" s="62"/>
      <c r="H225" s="59"/>
      <c r="I225" s="59"/>
      <c r="J225" s="59"/>
      <c r="K225" s="59"/>
      <c r="L225" s="62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  <c r="AX225" s="59"/>
      <c r="AY225" s="59"/>
      <c r="AZ225" s="59"/>
      <c r="BA225" s="59"/>
      <c r="BB225" s="59"/>
    </row>
    <row r="226" spans="1:54">
      <c r="A226" s="59"/>
      <c r="B226" s="59"/>
      <c r="C226" s="62"/>
      <c r="D226" s="59"/>
      <c r="E226" s="62"/>
      <c r="F226" s="59"/>
      <c r="G226" s="62"/>
      <c r="H226" s="59"/>
      <c r="I226" s="59"/>
      <c r="J226" s="59"/>
      <c r="K226" s="59"/>
      <c r="L226" s="62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  <c r="AM226" s="59"/>
      <c r="AN226" s="59"/>
      <c r="AO226" s="59"/>
      <c r="AP226" s="59"/>
      <c r="AQ226" s="59"/>
      <c r="AR226" s="59"/>
      <c r="AS226" s="59"/>
      <c r="AT226" s="59"/>
      <c r="AU226" s="59"/>
      <c r="AV226" s="59"/>
      <c r="AW226" s="59"/>
      <c r="AX226" s="59"/>
      <c r="AY226" s="59"/>
      <c r="AZ226" s="59"/>
      <c r="BA226" s="59"/>
      <c r="BB226" s="59"/>
    </row>
    <row r="227" spans="1:54">
      <c r="A227" s="59"/>
      <c r="B227" s="59"/>
      <c r="C227" s="62"/>
      <c r="D227" s="59"/>
      <c r="E227" s="62"/>
      <c r="F227" s="59"/>
      <c r="G227" s="62"/>
      <c r="H227" s="59"/>
      <c r="I227" s="59"/>
      <c r="J227" s="59"/>
      <c r="K227" s="59"/>
      <c r="L227" s="62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  <c r="AQ227" s="59"/>
      <c r="AR227" s="59"/>
      <c r="AS227" s="59"/>
      <c r="AT227" s="59"/>
      <c r="AU227" s="59"/>
      <c r="AV227" s="59"/>
      <c r="AW227" s="59"/>
      <c r="AX227" s="59"/>
      <c r="AY227" s="59"/>
      <c r="AZ227" s="59"/>
      <c r="BA227" s="59"/>
      <c r="BB227" s="59"/>
    </row>
    <row r="228" spans="1:54">
      <c r="A228" s="59"/>
      <c r="B228" s="59"/>
      <c r="C228" s="62"/>
      <c r="D228" s="59"/>
      <c r="E228" s="62"/>
      <c r="F228" s="59"/>
      <c r="G228" s="62"/>
      <c r="H228" s="59"/>
      <c r="I228" s="59"/>
      <c r="J228" s="59"/>
      <c r="K228" s="59"/>
      <c r="L228" s="62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  <c r="AP228" s="59"/>
      <c r="AQ228" s="59"/>
      <c r="AR228" s="59"/>
      <c r="AS228" s="59"/>
      <c r="AT228" s="59"/>
      <c r="AU228" s="59"/>
      <c r="AV228" s="59"/>
      <c r="AW228" s="59"/>
      <c r="AX228" s="59"/>
      <c r="AY228" s="59"/>
      <c r="AZ228" s="59"/>
      <c r="BA228" s="59"/>
      <c r="BB228" s="59"/>
    </row>
    <row r="229" spans="1:54">
      <c r="A229" s="59"/>
      <c r="B229" s="59"/>
      <c r="C229" s="62"/>
      <c r="D229" s="59"/>
      <c r="E229" s="62"/>
      <c r="F229" s="59"/>
      <c r="G229" s="62"/>
      <c r="H229" s="59"/>
      <c r="I229" s="59"/>
      <c r="J229" s="59"/>
      <c r="K229" s="59"/>
      <c r="L229" s="62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/>
      <c r="AQ229" s="59"/>
      <c r="AR229" s="59"/>
      <c r="AS229" s="59"/>
      <c r="AT229" s="59"/>
      <c r="AU229" s="59"/>
      <c r="AV229" s="59"/>
      <c r="AW229" s="59"/>
      <c r="AX229" s="59"/>
      <c r="AY229" s="59"/>
      <c r="AZ229" s="59"/>
      <c r="BA229" s="59"/>
      <c r="BB229" s="59"/>
    </row>
    <row r="230" spans="1:54">
      <c r="A230" s="59"/>
      <c r="B230" s="59"/>
      <c r="C230" s="62"/>
      <c r="D230" s="59"/>
      <c r="E230" s="62"/>
      <c r="F230" s="59"/>
      <c r="G230" s="62"/>
      <c r="H230" s="59"/>
      <c r="I230" s="59"/>
      <c r="J230" s="59"/>
      <c r="K230" s="59"/>
      <c r="L230" s="62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M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59"/>
      <c r="AY230" s="59"/>
      <c r="AZ230" s="59"/>
      <c r="BA230" s="59"/>
      <c r="BB230" s="59"/>
    </row>
    <row r="231" spans="1:54">
      <c r="A231" s="59"/>
      <c r="B231" s="59"/>
      <c r="C231" s="62"/>
      <c r="D231" s="59"/>
      <c r="E231" s="62"/>
      <c r="F231" s="59"/>
      <c r="G231" s="62"/>
      <c r="H231" s="59"/>
      <c r="I231" s="59"/>
      <c r="J231" s="59"/>
      <c r="K231" s="59"/>
      <c r="L231" s="62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AZ231" s="59"/>
      <c r="BA231" s="59"/>
      <c r="BB231" s="59"/>
    </row>
    <row r="232" spans="1:54">
      <c r="A232" s="59"/>
      <c r="B232" s="59"/>
      <c r="C232" s="62"/>
      <c r="D232" s="59"/>
      <c r="E232" s="62"/>
      <c r="F232" s="59"/>
      <c r="G232" s="62"/>
      <c r="H232" s="59"/>
      <c r="I232" s="59"/>
      <c r="J232" s="59"/>
      <c r="K232" s="59"/>
      <c r="L232" s="62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  <c r="AX232" s="59"/>
      <c r="AY232" s="59"/>
      <c r="AZ232" s="59"/>
      <c r="BA232" s="59"/>
      <c r="BB232" s="59"/>
    </row>
    <row r="233" spans="1:54">
      <c r="A233" s="59"/>
      <c r="B233" s="59"/>
      <c r="C233" s="62"/>
      <c r="D233" s="59"/>
      <c r="E233" s="62"/>
      <c r="F233" s="59"/>
      <c r="G233" s="62"/>
      <c r="H233" s="59"/>
      <c r="I233" s="59"/>
      <c r="J233" s="59"/>
      <c r="K233" s="59"/>
      <c r="L233" s="62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/>
      <c r="AY233" s="59"/>
      <c r="AZ233" s="59"/>
      <c r="BA233" s="59"/>
      <c r="BB233" s="59"/>
    </row>
    <row r="234" spans="1:54">
      <c r="A234" s="59"/>
      <c r="B234" s="59"/>
      <c r="C234" s="62"/>
      <c r="D234" s="59"/>
      <c r="E234" s="62"/>
      <c r="F234" s="59"/>
      <c r="G234" s="62"/>
      <c r="H234" s="59"/>
      <c r="I234" s="59"/>
      <c r="J234" s="59"/>
      <c r="K234" s="59"/>
      <c r="L234" s="62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  <c r="AQ234" s="59"/>
      <c r="AR234" s="59"/>
      <c r="AS234" s="59"/>
      <c r="AT234" s="59"/>
      <c r="AU234" s="59"/>
      <c r="AV234" s="59"/>
      <c r="AW234" s="59"/>
      <c r="AX234" s="59"/>
      <c r="AY234" s="59"/>
      <c r="AZ234" s="59"/>
      <c r="BA234" s="59"/>
      <c r="BB234" s="59"/>
    </row>
    <row r="235" spans="1:54">
      <c r="A235" s="59"/>
      <c r="B235" s="59"/>
      <c r="C235" s="62"/>
      <c r="D235" s="59"/>
      <c r="E235" s="62"/>
      <c r="F235" s="59"/>
      <c r="G235" s="62"/>
      <c r="H235" s="59"/>
      <c r="I235" s="59"/>
      <c r="J235" s="59"/>
      <c r="K235" s="59"/>
      <c r="L235" s="62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59"/>
      <c r="AY235" s="59"/>
      <c r="AZ235" s="59"/>
      <c r="BA235" s="59"/>
      <c r="BB235" s="59"/>
    </row>
    <row r="236" spans="1:54">
      <c r="A236" s="59"/>
      <c r="B236" s="59"/>
      <c r="C236" s="62"/>
      <c r="D236" s="59"/>
      <c r="E236" s="62"/>
      <c r="F236" s="59"/>
      <c r="G236" s="62"/>
      <c r="H236" s="59"/>
      <c r="I236" s="59"/>
      <c r="J236" s="59"/>
      <c r="K236" s="59"/>
      <c r="L236" s="62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  <c r="AQ236" s="59"/>
      <c r="AR236" s="59"/>
      <c r="AS236" s="59"/>
      <c r="AT236" s="59"/>
      <c r="AU236" s="59"/>
      <c r="AV236" s="59"/>
      <c r="AW236" s="59"/>
      <c r="AX236" s="59"/>
      <c r="AY236" s="59"/>
      <c r="AZ236" s="59"/>
      <c r="BA236" s="59"/>
      <c r="BB236" s="59"/>
    </row>
    <row r="237" spans="1:54">
      <c r="A237" s="59"/>
      <c r="B237" s="59"/>
      <c r="C237" s="62"/>
      <c r="D237" s="59"/>
      <c r="E237" s="62"/>
      <c r="F237" s="59"/>
      <c r="G237" s="62"/>
      <c r="H237" s="59"/>
      <c r="I237" s="59"/>
      <c r="J237" s="59"/>
      <c r="K237" s="59"/>
      <c r="L237" s="62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  <c r="AX237" s="59"/>
      <c r="AY237" s="59"/>
      <c r="AZ237" s="59"/>
      <c r="BA237" s="59"/>
      <c r="BB237" s="59"/>
    </row>
    <row r="238" spans="1:54">
      <c r="A238" s="59"/>
      <c r="B238" s="59"/>
      <c r="C238" s="62"/>
      <c r="D238" s="59"/>
      <c r="E238" s="62"/>
      <c r="F238" s="59"/>
      <c r="G238" s="62"/>
      <c r="H238" s="59"/>
      <c r="I238" s="59"/>
      <c r="J238" s="59"/>
      <c r="K238" s="59"/>
      <c r="L238" s="62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  <c r="AQ238" s="59"/>
      <c r="AR238" s="59"/>
      <c r="AS238" s="59"/>
      <c r="AT238" s="59"/>
      <c r="AU238" s="59"/>
      <c r="AV238" s="59"/>
      <c r="AW238" s="59"/>
      <c r="AX238" s="59"/>
      <c r="AY238" s="59"/>
      <c r="AZ238" s="59"/>
      <c r="BA238" s="59"/>
      <c r="BB238" s="59"/>
    </row>
    <row r="239" spans="1:54">
      <c r="A239" s="59"/>
      <c r="B239" s="59"/>
      <c r="C239" s="62"/>
      <c r="D239" s="59"/>
      <c r="E239" s="62"/>
      <c r="F239" s="59"/>
      <c r="G239" s="62"/>
      <c r="H239" s="59"/>
      <c r="I239" s="59"/>
      <c r="J239" s="59"/>
      <c r="K239" s="59"/>
      <c r="L239" s="62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  <c r="AP239" s="59"/>
      <c r="AQ239" s="59"/>
      <c r="AR239" s="59"/>
      <c r="AS239" s="59"/>
      <c r="AT239" s="59"/>
      <c r="AU239" s="59"/>
      <c r="AV239" s="59"/>
      <c r="AW239" s="59"/>
      <c r="AX239" s="59"/>
      <c r="AY239" s="59"/>
      <c r="AZ239" s="59"/>
      <c r="BA239" s="59"/>
      <c r="BB239" s="59"/>
    </row>
    <row r="240" spans="1:54">
      <c r="A240" s="59"/>
      <c r="B240" s="59"/>
      <c r="C240" s="62"/>
      <c r="D240" s="59"/>
      <c r="E240" s="62"/>
      <c r="F240" s="59"/>
      <c r="G240" s="62"/>
      <c r="H240" s="59"/>
      <c r="I240" s="59"/>
      <c r="J240" s="59"/>
      <c r="K240" s="59"/>
      <c r="L240" s="62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  <c r="AM240" s="59"/>
      <c r="AN240" s="59"/>
      <c r="AO240" s="59"/>
      <c r="AP240" s="59"/>
      <c r="AQ240" s="59"/>
      <c r="AR240" s="59"/>
      <c r="AS240" s="59"/>
      <c r="AT240" s="59"/>
      <c r="AU240" s="59"/>
      <c r="AV240" s="59"/>
      <c r="AW240" s="59"/>
      <c r="AX240" s="59"/>
      <c r="AY240" s="59"/>
      <c r="AZ240" s="59"/>
      <c r="BA240" s="59"/>
      <c r="BB240" s="59"/>
    </row>
    <row r="241" spans="1:54">
      <c r="A241" s="59"/>
      <c r="B241" s="59"/>
      <c r="C241" s="62"/>
      <c r="D241" s="59"/>
      <c r="E241" s="62"/>
      <c r="F241" s="59"/>
      <c r="G241" s="62"/>
      <c r="H241" s="59"/>
      <c r="I241" s="59"/>
      <c r="J241" s="59"/>
      <c r="K241" s="59"/>
      <c r="L241" s="62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  <c r="AX241" s="59"/>
      <c r="AY241" s="59"/>
      <c r="AZ241" s="59"/>
      <c r="BA241" s="59"/>
      <c r="BB241" s="59"/>
    </row>
    <row r="242" spans="1:54">
      <c r="A242" s="59"/>
      <c r="B242" s="59"/>
      <c r="C242" s="62"/>
      <c r="D242" s="59"/>
      <c r="E242" s="62"/>
      <c r="F242" s="59"/>
      <c r="G242" s="62"/>
      <c r="H242" s="59"/>
      <c r="I242" s="59"/>
      <c r="J242" s="59"/>
      <c r="K242" s="59"/>
      <c r="L242" s="62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  <c r="AQ242" s="59"/>
      <c r="AR242" s="59"/>
      <c r="AS242" s="59"/>
      <c r="AT242" s="59"/>
      <c r="AU242" s="59"/>
      <c r="AV242" s="59"/>
      <c r="AW242" s="59"/>
      <c r="AX242" s="59"/>
      <c r="AY242" s="59"/>
      <c r="AZ242" s="59"/>
      <c r="BA242" s="59"/>
      <c r="BB242" s="59"/>
    </row>
    <row r="243" spans="1:54">
      <c r="A243" s="59"/>
      <c r="B243" s="59"/>
      <c r="C243" s="62"/>
      <c r="D243" s="59"/>
      <c r="E243" s="62"/>
      <c r="F243" s="59"/>
      <c r="G243" s="62"/>
      <c r="H243" s="59"/>
      <c r="I243" s="59"/>
      <c r="J243" s="59"/>
      <c r="K243" s="59"/>
      <c r="L243" s="62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  <c r="AQ243" s="59"/>
      <c r="AR243" s="59"/>
      <c r="AS243" s="59"/>
      <c r="AT243" s="59"/>
      <c r="AU243" s="59"/>
      <c r="AV243" s="59"/>
      <c r="AW243" s="59"/>
      <c r="AX243" s="59"/>
      <c r="AY243" s="59"/>
      <c r="AZ243" s="59"/>
      <c r="BA243" s="59"/>
      <c r="BB243" s="59"/>
    </row>
    <row r="244" spans="1:54">
      <c r="A244" s="59"/>
      <c r="B244" s="59"/>
      <c r="C244" s="62"/>
      <c r="D244" s="59"/>
      <c r="E244" s="62"/>
      <c r="F244" s="59"/>
      <c r="G244" s="62"/>
      <c r="H244" s="59"/>
      <c r="I244" s="59"/>
      <c r="J244" s="59"/>
      <c r="K244" s="59"/>
      <c r="L244" s="62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59"/>
      <c r="AS244" s="59"/>
      <c r="AT244" s="59"/>
      <c r="AU244" s="59"/>
      <c r="AV244" s="59"/>
      <c r="AW244" s="59"/>
      <c r="AX244" s="59"/>
      <c r="AY244" s="59"/>
      <c r="AZ244" s="59"/>
      <c r="BA244" s="59"/>
      <c r="BB244" s="59"/>
    </row>
    <row r="245" spans="1:54">
      <c r="A245" s="59"/>
      <c r="B245" s="59"/>
      <c r="C245" s="62"/>
      <c r="D245" s="59"/>
      <c r="E245" s="62"/>
      <c r="F245" s="59"/>
      <c r="G245" s="62"/>
      <c r="H245" s="59"/>
      <c r="I245" s="59"/>
      <c r="J245" s="59"/>
      <c r="K245" s="59"/>
      <c r="L245" s="62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59"/>
      <c r="AS245" s="59"/>
      <c r="AT245" s="59"/>
      <c r="AU245" s="59"/>
      <c r="AV245" s="59"/>
      <c r="AW245" s="59"/>
      <c r="AX245" s="59"/>
      <c r="AY245" s="59"/>
      <c r="AZ245" s="59"/>
      <c r="BA245" s="59"/>
      <c r="BB245" s="59"/>
    </row>
    <row r="246" spans="1:54">
      <c r="A246" s="59"/>
      <c r="B246" s="59"/>
      <c r="C246" s="62"/>
      <c r="D246" s="59"/>
      <c r="E246" s="62"/>
      <c r="F246" s="59"/>
      <c r="G246" s="62"/>
      <c r="H246" s="59"/>
      <c r="I246" s="59"/>
      <c r="J246" s="59"/>
      <c r="K246" s="59"/>
      <c r="L246" s="62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  <c r="AQ246" s="59"/>
      <c r="AR246" s="59"/>
      <c r="AS246" s="59"/>
      <c r="AT246" s="59"/>
      <c r="AU246" s="59"/>
      <c r="AV246" s="59"/>
      <c r="AW246" s="59"/>
      <c r="AX246" s="59"/>
      <c r="AY246" s="59"/>
      <c r="AZ246" s="59"/>
      <c r="BA246" s="59"/>
      <c r="BB246" s="59"/>
    </row>
    <row r="247" spans="1:54">
      <c r="A247" s="59"/>
      <c r="B247" s="59"/>
      <c r="C247" s="62"/>
      <c r="D247" s="59"/>
      <c r="E247" s="62"/>
      <c r="F247" s="59"/>
      <c r="G247" s="62"/>
      <c r="H247" s="59"/>
      <c r="I247" s="59"/>
      <c r="J247" s="59"/>
      <c r="K247" s="59"/>
      <c r="L247" s="62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59"/>
      <c r="AS247" s="59"/>
      <c r="AT247" s="59"/>
      <c r="AU247" s="59"/>
      <c r="AV247" s="59"/>
      <c r="AW247" s="59"/>
      <c r="AX247" s="59"/>
      <c r="AY247" s="59"/>
      <c r="AZ247" s="59"/>
      <c r="BA247" s="59"/>
      <c r="BB247" s="59"/>
    </row>
    <row r="248" spans="1:54">
      <c r="A248" s="59"/>
      <c r="B248" s="59"/>
      <c r="C248" s="62"/>
      <c r="D248" s="59"/>
      <c r="E248" s="62"/>
      <c r="F248" s="59"/>
      <c r="G248" s="62"/>
      <c r="H248" s="59"/>
      <c r="I248" s="59"/>
      <c r="J248" s="59"/>
      <c r="K248" s="59"/>
      <c r="L248" s="62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59"/>
      <c r="AK248" s="59"/>
      <c r="AL248" s="59"/>
      <c r="AM248" s="59"/>
      <c r="AN248" s="59"/>
      <c r="AO248" s="59"/>
      <c r="AP248" s="59"/>
      <c r="AQ248" s="59"/>
      <c r="AR248" s="59"/>
      <c r="AS248" s="59"/>
      <c r="AT248" s="59"/>
      <c r="AU248" s="59"/>
      <c r="AV248" s="59"/>
      <c r="AW248" s="59"/>
      <c r="AX248" s="59"/>
      <c r="AY248" s="59"/>
      <c r="AZ248" s="59"/>
      <c r="BA248" s="59"/>
      <c r="BB248" s="59"/>
    </row>
    <row r="249" spans="1:54">
      <c r="A249" s="59"/>
      <c r="B249" s="59"/>
      <c r="C249" s="62"/>
      <c r="D249" s="59"/>
      <c r="E249" s="62"/>
      <c r="F249" s="59"/>
      <c r="G249" s="62"/>
      <c r="H249" s="59"/>
      <c r="I249" s="59"/>
      <c r="J249" s="59"/>
      <c r="K249" s="59"/>
      <c r="L249" s="62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  <c r="AP249" s="59"/>
      <c r="AQ249" s="59"/>
      <c r="AR249" s="59"/>
      <c r="AS249" s="59"/>
      <c r="AT249" s="59"/>
      <c r="AU249" s="59"/>
      <c r="AV249" s="59"/>
      <c r="AW249" s="59"/>
      <c r="AX249" s="59"/>
      <c r="AY249" s="59"/>
      <c r="AZ249" s="59"/>
      <c r="BA249" s="59"/>
      <c r="BB249" s="59"/>
    </row>
    <row r="250" spans="1:54">
      <c r="A250" s="59"/>
      <c r="B250" s="59"/>
      <c r="C250" s="62"/>
      <c r="D250" s="59"/>
      <c r="E250" s="62"/>
      <c r="F250" s="59"/>
      <c r="G250" s="62"/>
      <c r="H250" s="59"/>
      <c r="I250" s="59"/>
      <c r="J250" s="59"/>
      <c r="K250" s="59"/>
      <c r="L250" s="62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  <c r="AL250" s="59"/>
      <c r="AM250" s="59"/>
      <c r="AN250" s="59"/>
      <c r="AO250" s="59"/>
      <c r="AP250" s="59"/>
      <c r="AQ250" s="59"/>
      <c r="AR250" s="59"/>
      <c r="AS250" s="59"/>
      <c r="AT250" s="59"/>
      <c r="AU250" s="59"/>
      <c r="AV250" s="59"/>
      <c r="AW250" s="59"/>
      <c r="AX250" s="59"/>
      <c r="AY250" s="59"/>
      <c r="AZ250" s="59"/>
      <c r="BA250" s="59"/>
      <c r="BB250" s="59"/>
    </row>
    <row r="251" spans="1:54">
      <c r="A251" s="59"/>
      <c r="B251" s="59"/>
      <c r="C251" s="62"/>
      <c r="D251" s="59"/>
      <c r="E251" s="62"/>
      <c r="F251" s="59"/>
      <c r="G251" s="62"/>
      <c r="H251" s="59"/>
      <c r="I251" s="59"/>
      <c r="J251" s="59"/>
      <c r="K251" s="59"/>
      <c r="L251" s="62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  <c r="AJ251" s="59"/>
      <c r="AK251" s="59"/>
      <c r="AL251" s="59"/>
      <c r="AM251" s="59"/>
      <c r="AN251" s="59"/>
      <c r="AO251" s="59"/>
      <c r="AP251" s="59"/>
      <c r="AQ251" s="59"/>
      <c r="AR251" s="59"/>
      <c r="AS251" s="59"/>
      <c r="AT251" s="59"/>
      <c r="AU251" s="59"/>
      <c r="AV251" s="59"/>
      <c r="AW251" s="59"/>
      <c r="AX251" s="59"/>
      <c r="AY251" s="59"/>
      <c r="AZ251" s="59"/>
      <c r="BA251" s="59"/>
      <c r="BB251" s="59"/>
    </row>
    <row r="252" spans="1:54">
      <c r="A252" s="59"/>
      <c r="B252" s="59"/>
      <c r="C252" s="62"/>
      <c r="D252" s="59"/>
      <c r="E252" s="62"/>
      <c r="F252" s="59"/>
      <c r="G252" s="62"/>
      <c r="H252" s="59"/>
      <c r="I252" s="59"/>
      <c r="J252" s="59"/>
      <c r="K252" s="59"/>
      <c r="L252" s="62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  <c r="AI252" s="59"/>
      <c r="AJ252" s="59"/>
      <c r="AK252" s="59"/>
      <c r="AL252" s="59"/>
      <c r="AM252" s="59"/>
      <c r="AN252" s="59"/>
      <c r="AO252" s="59"/>
      <c r="AP252" s="59"/>
      <c r="AQ252" s="59"/>
      <c r="AR252" s="59"/>
      <c r="AS252" s="59"/>
      <c r="AT252" s="59"/>
      <c r="AU252" s="59"/>
      <c r="AV252" s="59"/>
      <c r="AW252" s="59"/>
      <c r="AX252" s="59"/>
      <c r="AY252" s="59"/>
      <c r="AZ252" s="59"/>
      <c r="BA252" s="59"/>
      <c r="BB252" s="59"/>
    </row>
    <row r="253" spans="1:54">
      <c r="A253" s="59"/>
      <c r="B253" s="59"/>
      <c r="C253" s="62"/>
      <c r="D253" s="59"/>
      <c r="E253" s="62"/>
      <c r="F253" s="59"/>
      <c r="G253" s="62"/>
      <c r="H253" s="59"/>
      <c r="I253" s="59"/>
      <c r="J253" s="59"/>
      <c r="K253" s="59"/>
      <c r="L253" s="62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  <c r="AI253" s="59"/>
      <c r="AJ253" s="59"/>
      <c r="AK253" s="59"/>
      <c r="AL253" s="59"/>
      <c r="AM253" s="59"/>
      <c r="AN253" s="59"/>
      <c r="AO253" s="59"/>
      <c r="AP253" s="59"/>
      <c r="AQ253" s="59"/>
      <c r="AR253" s="59"/>
      <c r="AS253" s="59"/>
      <c r="AT253" s="59"/>
      <c r="AU253" s="59"/>
      <c r="AV253" s="59"/>
      <c r="AW253" s="59"/>
      <c r="AX253" s="59"/>
      <c r="AY253" s="59"/>
      <c r="AZ253" s="59"/>
      <c r="BA253" s="59"/>
      <c r="BB253" s="59"/>
    </row>
    <row r="254" spans="1:54">
      <c r="A254" s="59"/>
      <c r="B254" s="59"/>
      <c r="C254" s="62"/>
      <c r="D254" s="59"/>
      <c r="E254" s="62"/>
      <c r="F254" s="59"/>
      <c r="G254" s="62"/>
      <c r="H254" s="59"/>
      <c r="I254" s="59"/>
      <c r="J254" s="59"/>
      <c r="K254" s="59"/>
      <c r="L254" s="62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  <c r="AJ254" s="59"/>
      <c r="AK254" s="59"/>
      <c r="AL254" s="59"/>
      <c r="AM254" s="59"/>
      <c r="AN254" s="59"/>
      <c r="AO254" s="59"/>
      <c r="AP254" s="59"/>
      <c r="AQ254" s="59"/>
      <c r="AR254" s="59"/>
      <c r="AS254" s="59"/>
      <c r="AT254" s="59"/>
      <c r="AU254" s="59"/>
      <c r="AV254" s="59"/>
      <c r="AW254" s="59"/>
      <c r="AX254" s="59"/>
      <c r="AY254" s="59"/>
      <c r="AZ254" s="59"/>
      <c r="BA254" s="59"/>
      <c r="BB254" s="59"/>
    </row>
    <row r="255" spans="1:54">
      <c r="A255" s="59"/>
      <c r="B255" s="59"/>
      <c r="C255" s="62"/>
      <c r="D255" s="59"/>
      <c r="E255" s="62"/>
      <c r="F255" s="59"/>
      <c r="G255" s="62"/>
      <c r="H255" s="59"/>
      <c r="I255" s="59"/>
      <c r="J255" s="59"/>
      <c r="K255" s="59"/>
      <c r="L255" s="62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  <c r="AJ255" s="59"/>
      <c r="AK255" s="59"/>
      <c r="AL255" s="59"/>
      <c r="AM255" s="59"/>
      <c r="AN255" s="59"/>
      <c r="AO255" s="59"/>
      <c r="AP255" s="59"/>
      <c r="AQ255" s="59"/>
      <c r="AR255" s="59"/>
      <c r="AS255" s="59"/>
      <c r="AT255" s="59"/>
      <c r="AU255" s="59"/>
      <c r="AV255" s="59"/>
      <c r="AW255" s="59"/>
      <c r="AX255" s="59"/>
      <c r="AY255" s="59"/>
      <c r="AZ255" s="59"/>
      <c r="BA255" s="59"/>
      <c r="BB255" s="59"/>
    </row>
    <row r="256" spans="1:54">
      <c r="A256" s="59"/>
      <c r="B256" s="59"/>
      <c r="C256" s="62"/>
      <c r="D256" s="59"/>
      <c r="E256" s="62"/>
      <c r="F256" s="59"/>
      <c r="G256" s="62"/>
      <c r="H256" s="59"/>
      <c r="I256" s="59"/>
      <c r="J256" s="59"/>
      <c r="K256" s="59"/>
      <c r="L256" s="62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  <c r="AI256" s="59"/>
      <c r="AJ256" s="59"/>
      <c r="AK256" s="59"/>
      <c r="AL256" s="59"/>
      <c r="AM256" s="59"/>
      <c r="AN256" s="59"/>
      <c r="AO256" s="59"/>
      <c r="AP256" s="59"/>
      <c r="AQ256" s="59"/>
      <c r="AR256" s="59"/>
      <c r="AS256" s="59"/>
      <c r="AT256" s="59"/>
      <c r="AU256" s="59"/>
      <c r="AV256" s="59"/>
      <c r="AW256" s="59"/>
      <c r="AX256" s="59"/>
      <c r="AY256" s="59"/>
      <c r="AZ256" s="59"/>
      <c r="BA256" s="59"/>
      <c r="BB256" s="59"/>
    </row>
    <row r="257" spans="1:54">
      <c r="A257" s="59"/>
      <c r="B257" s="59"/>
      <c r="C257" s="62"/>
      <c r="D257" s="59"/>
      <c r="E257" s="62"/>
      <c r="F257" s="59"/>
      <c r="G257" s="62"/>
      <c r="H257" s="59"/>
      <c r="I257" s="59"/>
      <c r="J257" s="59"/>
      <c r="K257" s="59"/>
      <c r="L257" s="62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  <c r="AP257" s="59"/>
      <c r="AQ257" s="59"/>
      <c r="AR257" s="59"/>
      <c r="AS257" s="59"/>
      <c r="AT257" s="59"/>
      <c r="AU257" s="59"/>
      <c r="AV257" s="59"/>
      <c r="AW257" s="59"/>
      <c r="AX257" s="59"/>
      <c r="AY257" s="59"/>
      <c r="AZ257" s="59"/>
      <c r="BA257" s="59"/>
      <c r="BB257" s="59"/>
    </row>
    <row r="258" spans="1:54">
      <c r="A258" s="59"/>
      <c r="B258" s="59"/>
      <c r="C258" s="62"/>
      <c r="D258" s="59"/>
      <c r="E258" s="62"/>
      <c r="F258" s="59"/>
      <c r="G258" s="62"/>
      <c r="H258" s="59"/>
      <c r="I258" s="59"/>
      <c r="J258" s="59"/>
      <c r="K258" s="59"/>
      <c r="L258" s="62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  <c r="AL258" s="59"/>
      <c r="AM258" s="59"/>
      <c r="AN258" s="59"/>
      <c r="AO258" s="59"/>
      <c r="AP258" s="59"/>
      <c r="AQ258" s="59"/>
      <c r="AR258" s="59"/>
      <c r="AS258" s="59"/>
      <c r="AT258" s="59"/>
      <c r="AU258" s="59"/>
      <c r="AV258" s="59"/>
      <c r="AW258" s="59"/>
      <c r="AX258" s="59"/>
      <c r="AY258" s="59"/>
      <c r="AZ258" s="59"/>
      <c r="BA258" s="59"/>
      <c r="BB258" s="59"/>
    </row>
    <row r="259" spans="1:54">
      <c r="A259" s="59"/>
      <c r="B259" s="59"/>
      <c r="C259" s="62"/>
      <c r="D259" s="59"/>
      <c r="E259" s="62"/>
      <c r="F259" s="59"/>
      <c r="G259" s="62"/>
      <c r="H259" s="59"/>
      <c r="I259" s="59"/>
      <c r="J259" s="59"/>
      <c r="K259" s="59"/>
      <c r="L259" s="62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  <c r="AJ259" s="59"/>
      <c r="AK259" s="59"/>
      <c r="AL259" s="59"/>
      <c r="AM259" s="59"/>
      <c r="AN259" s="59"/>
      <c r="AO259" s="59"/>
      <c r="AP259" s="59"/>
      <c r="AQ259" s="59"/>
      <c r="AR259" s="59"/>
      <c r="AS259" s="59"/>
      <c r="AT259" s="59"/>
      <c r="AU259" s="59"/>
      <c r="AV259" s="59"/>
      <c r="AW259" s="59"/>
      <c r="AX259" s="59"/>
      <c r="AY259" s="59"/>
      <c r="AZ259" s="59"/>
      <c r="BA259" s="59"/>
      <c r="BB259" s="59"/>
    </row>
    <row r="260" spans="1:54">
      <c r="A260" s="59"/>
      <c r="B260" s="59"/>
      <c r="C260" s="62"/>
      <c r="D260" s="59"/>
      <c r="E260" s="62"/>
      <c r="F260" s="59"/>
      <c r="G260" s="62"/>
      <c r="H260" s="59"/>
      <c r="I260" s="59"/>
      <c r="J260" s="59"/>
      <c r="K260" s="59"/>
      <c r="L260" s="62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  <c r="AP260" s="59"/>
      <c r="AQ260" s="59"/>
      <c r="AR260" s="59"/>
      <c r="AS260" s="59"/>
      <c r="AT260" s="59"/>
      <c r="AU260" s="59"/>
      <c r="AV260" s="59"/>
      <c r="AW260" s="59"/>
      <c r="AX260" s="59"/>
      <c r="AY260" s="59"/>
      <c r="AZ260" s="59"/>
      <c r="BA260" s="59"/>
      <c r="BB260" s="59"/>
    </row>
    <row r="261" spans="1:54">
      <c r="A261" s="59"/>
      <c r="B261" s="59"/>
      <c r="C261" s="62"/>
      <c r="D261" s="59"/>
      <c r="E261" s="62"/>
      <c r="F261" s="59"/>
      <c r="G261" s="62"/>
      <c r="H261" s="59"/>
      <c r="I261" s="59"/>
      <c r="J261" s="59"/>
      <c r="K261" s="59"/>
      <c r="L261" s="62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  <c r="AP261" s="59"/>
      <c r="AQ261" s="59"/>
      <c r="AR261" s="59"/>
      <c r="AS261" s="59"/>
      <c r="AT261" s="59"/>
      <c r="AU261" s="59"/>
      <c r="AV261" s="59"/>
      <c r="AW261" s="59"/>
      <c r="AX261" s="59"/>
      <c r="AY261" s="59"/>
      <c r="AZ261" s="59"/>
      <c r="BA261" s="59"/>
      <c r="BB261" s="59"/>
    </row>
    <row r="262" spans="1:54">
      <c r="A262" s="59"/>
      <c r="B262" s="59"/>
      <c r="C262" s="62"/>
      <c r="D262" s="59"/>
      <c r="E262" s="62"/>
      <c r="F262" s="59"/>
      <c r="G262" s="62"/>
      <c r="H262" s="59"/>
      <c r="I262" s="59"/>
      <c r="J262" s="59"/>
      <c r="K262" s="59"/>
      <c r="L262" s="62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  <c r="AI262" s="59"/>
      <c r="AJ262" s="59"/>
      <c r="AK262" s="59"/>
      <c r="AL262" s="59"/>
      <c r="AM262" s="59"/>
      <c r="AN262" s="59"/>
      <c r="AO262" s="59"/>
      <c r="AP262" s="59"/>
      <c r="AQ262" s="59"/>
      <c r="AR262" s="59"/>
      <c r="AS262" s="59"/>
      <c r="AT262" s="59"/>
      <c r="AU262" s="59"/>
      <c r="AV262" s="59"/>
      <c r="AW262" s="59"/>
      <c r="AX262" s="59"/>
      <c r="AY262" s="59"/>
      <c r="AZ262" s="59"/>
      <c r="BA262" s="59"/>
      <c r="BB262" s="59"/>
    </row>
    <row r="263" spans="1:54">
      <c r="A263" s="59"/>
      <c r="B263" s="59"/>
      <c r="C263" s="62"/>
      <c r="D263" s="59"/>
      <c r="E263" s="62"/>
      <c r="F263" s="59"/>
      <c r="G263" s="62"/>
      <c r="H263" s="59"/>
      <c r="I263" s="59"/>
      <c r="J263" s="59"/>
      <c r="K263" s="59"/>
      <c r="L263" s="62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  <c r="AI263" s="59"/>
      <c r="AJ263" s="59"/>
      <c r="AK263" s="59"/>
      <c r="AL263" s="59"/>
      <c r="AM263" s="59"/>
      <c r="AN263" s="59"/>
      <c r="AO263" s="59"/>
      <c r="AP263" s="59"/>
      <c r="AQ263" s="59"/>
      <c r="AR263" s="59"/>
      <c r="AS263" s="59"/>
      <c r="AT263" s="59"/>
      <c r="AU263" s="59"/>
      <c r="AV263" s="59"/>
      <c r="AW263" s="59"/>
      <c r="AX263" s="59"/>
      <c r="AY263" s="59"/>
      <c r="AZ263" s="59"/>
      <c r="BA263" s="59"/>
      <c r="BB263" s="59"/>
    </row>
    <row r="264" spans="1:54">
      <c r="A264" s="59"/>
      <c r="B264" s="59"/>
      <c r="C264" s="62"/>
      <c r="D264" s="59"/>
      <c r="E264" s="62"/>
      <c r="F264" s="59"/>
      <c r="G264" s="62"/>
      <c r="H264" s="59"/>
      <c r="I264" s="59"/>
      <c r="J264" s="59"/>
      <c r="K264" s="59"/>
      <c r="L264" s="62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  <c r="AI264" s="59"/>
      <c r="AJ264" s="59"/>
      <c r="AK264" s="59"/>
      <c r="AL264" s="59"/>
      <c r="AM264" s="59"/>
      <c r="AN264" s="59"/>
      <c r="AO264" s="59"/>
      <c r="AP264" s="59"/>
      <c r="AQ264" s="59"/>
      <c r="AR264" s="59"/>
      <c r="AS264" s="59"/>
      <c r="AT264" s="59"/>
      <c r="AU264" s="59"/>
      <c r="AV264" s="59"/>
      <c r="AW264" s="59"/>
      <c r="AX264" s="59"/>
      <c r="AY264" s="59"/>
      <c r="AZ264" s="59"/>
      <c r="BA264" s="59"/>
      <c r="BB264" s="59"/>
    </row>
    <row r="265" spans="1:54">
      <c r="A265" s="59"/>
      <c r="B265" s="59"/>
      <c r="C265" s="62"/>
      <c r="D265" s="59"/>
      <c r="E265" s="62"/>
      <c r="F265" s="59"/>
      <c r="G265" s="62"/>
      <c r="H265" s="59"/>
      <c r="I265" s="59"/>
      <c r="J265" s="59"/>
      <c r="K265" s="59"/>
      <c r="L265" s="62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  <c r="AI265" s="59"/>
      <c r="AJ265" s="59"/>
      <c r="AK265" s="59"/>
      <c r="AL265" s="59"/>
      <c r="AM265" s="59"/>
      <c r="AN265" s="59"/>
      <c r="AO265" s="59"/>
      <c r="AP265" s="59"/>
      <c r="AQ265" s="59"/>
      <c r="AR265" s="59"/>
      <c r="AS265" s="59"/>
      <c r="AT265" s="59"/>
      <c r="AU265" s="59"/>
      <c r="AV265" s="59"/>
      <c r="AW265" s="59"/>
      <c r="AX265" s="59"/>
      <c r="AY265" s="59"/>
      <c r="AZ265" s="59"/>
      <c r="BA265" s="59"/>
      <c r="BB265" s="59"/>
    </row>
    <row r="266" spans="1:54">
      <c r="A266" s="59"/>
      <c r="B266" s="59"/>
      <c r="C266" s="62"/>
      <c r="D266" s="59"/>
      <c r="E266" s="62"/>
      <c r="F266" s="59"/>
      <c r="G266" s="62"/>
      <c r="H266" s="59"/>
      <c r="I266" s="59"/>
      <c r="J266" s="59"/>
      <c r="K266" s="59"/>
      <c r="L266" s="62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  <c r="AQ266" s="59"/>
      <c r="AR266" s="59"/>
      <c r="AS266" s="59"/>
      <c r="AT266" s="59"/>
      <c r="AU266" s="59"/>
      <c r="AV266" s="59"/>
      <c r="AW266" s="59"/>
      <c r="AX266" s="59"/>
      <c r="AY266" s="59"/>
      <c r="AZ266" s="59"/>
      <c r="BA266" s="59"/>
      <c r="BB266" s="59"/>
    </row>
    <row r="267" spans="1:54">
      <c r="A267" s="59"/>
      <c r="B267" s="59"/>
      <c r="C267" s="62"/>
      <c r="D267" s="59"/>
      <c r="E267" s="62"/>
      <c r="F267" s="59"/>
      <c r="G267" s="62"/>
      <c r="H267" s="59"/>
      <c r="I267" s="59"/>
      <c r="J267" s="59"/>
      <c r="K267" s="59"/>
      <c r="L267" s="62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  <c r="AI267" s="59"/>
      <c r="AJ267" s="59"/>
      <c r="AK267" s="59"/>
      <c r="AL267" s="59"/>
      <c r="AM267" s="59"/>
      <c r="AN267" s="59"/>
      <c r="AO267" s="59"/>
      <c r="AP267" s="59"/>
      <c r="AQ267" s="59"/>
      <c r="AR267" s="59"/>
      <c r="AS267" s="59"/>
      <c r="AT267" s="59"/>
      <c r="AU267" s="59"/>
      <c r="AV267" s="59"/>
      <c r="AW267" s="59"/>
      <c r="AX267" s="59"/>
      <c r="AY267" s="59"/>
      <c r="AZ267" s="59"/>
      <c r="BA267" s="59"/>
      <c r="BB267" s="59"/>
    </row>
    <row r="268" spans="1:54">
      <c r="A268" s="59"/>
      <c r="B268" s="59"/>
      <c r="C268" s="62"/>
      <c r="D268" s="59"/>
      <c r="E268" s="62"/>
      <c r="F268" s="59"/>
      <c r="G268" s="62"/>
      <c r="H268" s="59"/>
      <c r="I268" s="59"/>
      <c r="J268" s="59"/>
      <c r="K268" s="59"/>
      <c r="L268" s="62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  <c r="AP268" s="59"/>
      <c r="AQ268" s="59"/>
      <c r="AR268" s="59"/>
      <c r="AS268" s="59"/>
      <c r="AT268" s="59"/>
      <c r="AU268" s="59"/>
      <c r="AV268" s="59"/>
      <c r="AW268" s="59"/>
      <c r="AX268" s="59"/>
      <c r="AY268" s="59"/>
      <c r="AZ268" s="59"/>
      <c r="BA268" s="59"/>
      <c r="BB268" s="59"/>
    </row>
    <row r="269" spans="1:54">
      <c r="A269" s="59"/>
      <c r="B269" s="59"/>
      <c r="C269" s="62"/>
      <c r="D269" s="59"/>
      <c r="E269" s="62"/>
      <c r="F269" s="59"/>
      <c r="G269" s="62"/>
      <c r="H269" s="59"/>
      <c r="I269" s="59"/>
      <c r="J269" s="59"/>
      <c r="K269" s="59"/>
      <c r="L269" s="62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  <c r="AI269" s="59"/>
      <c r="AJ269" s="59"/>
      <c r="AK269" s="59"/>
      <c r="AL269" s="59"/>
      <c r="AM269" s="59"/>
      <c r="AN269" s="59"/>
      <c r="AO269" s="59"/>
      <c r="AP269" s="59"/>
      <c r="AQ269" s="59"/>
      <c r="AR269" s="59"/>
      <c r="AS269" s="59"/>
      <c r="AT269" s="59"/>
      <c r="AU269" s="59"/>
      <c r="AV269" s="59"/>
      <c r="AW269" s="59"/>
      <c r="AX269" s="59"/>
      <c r="AY269" s="59"/>
      <c r="AZ269" s="59"/>
      <c r="BA269" s="59"/>
      <c r="BB269" s="59"/>
    </row>
    <row r="270" spans="1:54">
      <c r="A270" s="59"/>
      <c r="B270" s="59"/>
      <c r="C270" s="62"/>
      <c r="D270" s="59"/>
      <c r="E270" s="62"/>
      <c r="F270" s="59"/>
      <c r="G270" s="62"/>
      <c r="H270" s="59"/>
      <c r="I270" s="59"/>
      <c r="J270" s="59"/>
      <c r="K270" s="59"/>
      <c r="L270" s="62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  <c r="AI270" s="59"/>
      <c r="AJ270" s="59"/>
      <c r="AK270" s="59"/>
      <c r="AL270" s="59"/>
      <c r="AM270" s="59"/>
      <c r="AN270" s="59"/>
      <c r="AO270" s="59"/>
      <c r="AP270" s="59"/>
      <c r="AQ270" s="59"/>
      <c r="AR270" s="59"/>
      <c r="AS270" s="59"/>
      <c r="AT270" s="59"/>
      <c r="AU270" s="59"/>
      <c r="AV270" s="59"/>
      <c r="AW270" s="59"/>
      <c r="AX270" s="59"/>
      <c r="AY270" s="59"/>
      <c r="AZ270" s="59"/>
      <c r="BA270" s="59"/>
      <c r="BB270" s="59"/>
    </row>
    <row r="271" spans="1:54">
      <c r="A271" s="59"/>
      <c r="B271" s="59"/>
      <c r="C271" s="62"/>
      <c r="D271" s="59"/>
      <c r="E271" s="62"/>
      <c r="F271" s="59"/>
      <c r="G271" s="62"/>
      <c r="H271" s="59"/>
      <c r="I271" s="59"/>
      <c r="J271" s="59"/>
      <c r="K271" s="59"/>
      <c r="L271" s="62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  <c r="AP271" s="59"/>
      <c r="AQ271" s="59"/>
      <c r="AR271" s="59"/>
      <c r="AS271" s="59"/>
      <c r="AT271" s="59"/>
      <c r="AU271" s="59"/>
      <c r="AV271" s="59"/>
      <c r="AW271" s="59"/>
      <c r="AX271" s="59"/>
      <c r="AY271" s="59"/>
      <c r="AZ271" s="59"/>
      <c r="BA271" s="59"/>
      <c r="BB271" s="59"/>
    </row>
    <row r="272" spans="1:54">
      <c r="A272" s="59"/>
      <c r="B272" s="59"/>
      <c r="C272" s="62"/>
      <c r="D272" s="59"/>
      <c r="E272" s="62"/>
      <c r="F272" s="59"/>
      <c r="G272" s="62"/>
      <c r="H272" s="59"/>
      <c r="I272" s="59"/>
      <c r="J272" s="59"/>
      <c r="K272" s="59"/>
      <c r="L272" s="62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  <c r="AI272" s="59"/>
      <c r="AJ272" s="59"/>
      <c r="AK272" s="59"/>
      <c r="AL272" s="59"/>
      <c r="AM272" s="59"/>
      <c r="AN272" s="59"/>
      <c r="AO272" s="59"/>
      <c r="AP272" s="59"/>
      <c r="AQ272" s="59"/>
      <c r="AR272" s="59"/>
      <c r="AS272" s="59"/>
      <c r="AT272" s="59"/>
      <c r="AU272" s="59"/>
      <c r="AV272" s="59"/>
      <c r="AW272" s="59"/>
      <c r="AX272" s="59"/>
      <c r="AY272" s="59"/>
      <c r="AZ272" s="59"/>
      <c r="BA272" s="59"/>
      <c r="BB272" s="59"/>
    </row>
    <row r="273" spans="1:54">
      <c r="A273" s="59"/>
      <c r="B273" s="59"/>
      <c r="C273" s="62"/>
      <c r="D273" s="59"/>
      <c r="E273" s="62"/>
      <c r="F273" s="59"/>
      <c r="G273" s="62"/>
      <c r="H273" s="59"/>
      <c r="I273" s="59"/>
      <c r="J273" s="59"/>
      <c r="K273" s="59"/>
      <c r="L273" s="62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  <c r="AI273" s="59"/>
      <c r="AJ273" s="59"/>
      <c r="AK273" s="59"/>
      <c r="AL273" s="59"/>
      <c r="AM273" s="59"/>
      <c r="AN273" s="59"/>
      <c r="AO273" s="59"/>
      <c r="AP273" s="59"/>
      <c r="AQ273" s="59"/>
      <c r="AR273" s="59"/>
      <c r="AS273" s="59"/>
      <c r="AT273" s="59"/>
      <c r="AU273" s="59"/>
      <c r="AV273" s="59"/>
      <c r="AW273" s="59"/>
      <c r="AX273" s="59"/>
      <c r="AY273" s="59"/>
      <c r="AZ273" s="59"/>
      <c r="BA273" s="59"/>
      <c r="BB273" s="59"/>
    </row>
    <row r="274" spans="1:54">
      <c r="A274" s="59"/>
      <c r="B274" s="59"/>
      <c r="C274" s="62"/>
      <c r="D274" s="59"/>
      <c r="E274" s="62"/>
      <c r="F274" s="59"/>
      <c r="G274" s="62"/>
      <c r="H274" s="59"/>
      <c r="I274" s="59"/>
      <c r="J274" s="59"/>
      <c r="K274" s="59"/>
      <c r="L274" s="62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  <c r="AI274" s="59"/>
      <c r="AJ274" s="59"/>
      <c r="AK274" s="59"/>
      <c r="AL274" s="59"/>
      <c r="AM274" s="59"/>
      <c r="AN274" s="59"/>
      <c r="AO274" s="59"/>
      <c r="AP274" s="59"/>
      <c r="AQ274" s="59"/>
      <c r="AR274" s="59"/>
      <c r="AS274" s="59"/>
      <c r="AT274" s="59"/>
      <c r="AU274" s="59"/>
      <c r="AV274" s="59"/>
      <c r="AW274" s="59"/>
      <c r="AX274" s="59"/>
      <c r="AY274" s="59"/>
      <c r="AZ274" s="59"/>
      <c r="BA274" s="59"/>
      <c r="BB274" s="59"/>
    </row>
    <row r="275" spans="1:54">
      <c r="A275" s="59"/>
      <c r="B275" s="59"/>
      <c r="C275" s="62"/>
      <c r="D275" s="59"/>
      <c r="E275" s="62"/>
      <c r="F275" s="59"/>
      <c r="G275" s="62"/>
      <c r="H275" s="59"/>
      <c r="I275" s="59"/>
      <c r="J275" s="59"/>
      <c r="K275" s="59"/>
      <c r="L275" s="62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  <c r="AI275" s="59"/>
      <c r="AJ275" s="59"/>
      <c r="AK275" s="59"/>
      <c r="AL275" s="59"/>
      <c r="AM275" s="59"/>
      <c r="AN275" s="59"/>
      <c r="AO275" s="59"/>
      <c r="AP275" s="59"/>
      <c r="AQ275" s="59"/>
      <c r="AR275" s="59"/>
      <c r="AS275" s="59"/>
      <c r="AT275" s="59"/>
      <c r="AU275" s="59"/>
      <c r="AV275" s="59"/>
      <c r="AW275" s="59"/>
      <c r="AX275" s="59"/>
      <c r="AY275" s="59"/>
      <c r="AZ275" s="59"/>
      <c r="BA275" s="59"/>
      <c r="BB275" s="59"/>
    </row>
    <row r="276" spans="1:54">
      <c r="A276" s="59"/>
      <c r="B276" s="59"/>
      <c r="C276" s="62"/>
      <c r="D276" s="59"/>
      <c r="E276" s="62"/>
      <c r="F276" s="59"/>
      <c r="G276" s="62"/>
      <c r="H276" s="59"/>
      <c r="I276" s="59"/>
      <c r="J276" s="59"/>
      <c r="K276" s="59"/>
      <c r="L276" s="62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  <c r="AI276" s="59"/>
      <c r="AJ276" s="59"/>
      <c r="AK276" s="59"/>
      <c r="AL276" s="59"/>
      <c r="AM276" s="59"/>
      <c r="AN276" s="59"/>
      <c r="AO276" s="59"/>
      <c r="AP276" s="59"/>
      <c r="AQ276" s="59"/>
      <c r="AR276" s="59"/>
      <c r="AS276" s="59"/>
      <c r="AT276" s="59"/>
      <c r="AU276" s="59"/>
      <c r="AV276" s="59"/>
      <c r="AW276" s="59"/>
      <c r="AX276" s="59"/>
      <c r="AY276" s="59"/>
      <c r="AZ276" s="59"/>
      <c r="BA276" s="59"/>
      <c r="BB276" s="59"/>
    </row>
    <row r="277" spans="1:54">
      <c r="A277" s="59"/>
      <c r="B277" s="59"/>
      <c r="C277" s="62"/>
      <c r="D277" s="59"/>
      <c r="E277" s="62"/>
      <c r="F277" s="59"/>
      <c r="G277" s="62"/>
      <c r="H277" s="59"/>
      <c r="I277" s="59"/>
      <c r="J277" s="59"/>
      <c r="K277" s="59"/>
      <c r="L277" s="62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  <c r="AI277" s="59"/>
      <c r="AJ277" s="59"/>
      <c r="AK277" s="59"/>
      <c r="AL277" s="59"/>
      <c r="AM277" s="59"/>
      <c r="AN277" s="59"/>
      <c r="AO277" s="59"/>
      <c r="AP277" s="59"/>
      <c r="AQ277" s="59"/>
      <c r="AR277" s="59"/>
      <c r="AS277" s="59"/>
      <c r="AT277" s="59"/>
      <c r="AU277" s="59"/>
      <c r="AV277" s="59"/>
      <c r="AW277" s="59"/>
      <c r="AX277" s="59"/>
      <c r="AY277" s="59"/>
      <c r="AZ277" s="59"/>
      <c r="BA277" s="59"/>
      <c r="BB277" s="59"/>
    </row>
    <row r="278" spans="1:54">
      <c r="A278" s="59"/>
      <c r="B278" s="59"/>
      <c r="C278" s="62"/>
      <c r="D278" s="59"/>
      <c r="E278" s="62"/>
      <c r="F278" s="59"/>
      <c r="G278" s="62"/>
      <c r="H278" s="59"/>
      <c r="I278" s="59"/>
      <c r="J278" s="59"/>
      <c r="K278" s="59"/>
      <c r="L278" s="62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  <c r="AI278" s="59"/>
      <c r="AJ278" s="59"/>
      <c r="AK278" s="59"/>
      <c r="AL278" s="59"/>
      <c r="AM278" s="59"/>
      <c r="AN278" s="59"/>
      <c r="AO278" s="59"/>
      <c r="AP278" s="59"/>
      <c r="AQ278" s="59"/>
      <c r="AR278" s="59"/>
      <c r="AS278" s="59"/>
      <c r="AT278" s="59"/>
      <c r="AU278" s="59"/>
      <c r="AV278" s="59"/>
      <c r="AW278" s="59"/>
      <c r="AX278" s="59"/>
      <c r="AY278" s="59"/>
      <c r="AZ278" s="59"/>
      <c r="BA278" s="59"/>
      <c r="BB278" s="59"/>
    </row>
    <row r="279" spans="1:54">
      <c r="A279" s="59"/>
      <c r="B279" s="59"/>
      <c r="C279" s="62"/>
      <c r="D279" s="59"/>
      <c r="E279" s="62"/>
      <c r="F279" s="59"/>
      <c r="G279" s="62"/>
      <c r="H279" s="59"/>
      <c r="I279" s="59"/>
      <c r="J279" s="59"/>
      <c r="K279" s="59"/>
      <c r="L279" s="62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  <c r="AM279" s="59"/>
      <c r="AN279" s="59"/>
      <c r="AO279" s="59"/>
      <c r="AP279" s="59"/>
      <c r="AQ279" s="59"/>
      <c r="AR279" s="59"/>
      <c r="AS279" s="59"/>
      <c r="AT279" s="59"/>
      <c r="AU279" s="59"/>
      <c r="AV279" s="59"/>
      <c r="AW279" s="59"/>
      <c r="AX279" s="59"/>
      <c r="AY279" s="59"/>
      <c r="AZ279" s="59"/>
      <c r="BA279" s="59"/>
      <c r="BB279" s="59"/>
    </row>
    <row r="280" spans="1:54">
      <c r="A280" s="59"/>
      <c r="B280" s="59"/>
      <c r="C280" s="62"/>
      <c r="D280" s="59"/>
      <c r="E280" s="62"/>
      <c r="F280" s="59"/>
      <c r="G280" s="62"/>
      <c r="H280" s="59"/>
      <c r="I280" s="59"/>
      <c r="J280" s="59"/>
      <c r="K280" s="59"/>
      <c r="L280" s="62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  <c r="AI280" s="59"/>
      <c r="AJ280" s="59"/>
      <c r="AK280" s="59"/>
      <c r="AL280" s="59"/>
      <c r="AM280" s="59"/>
      <c r="AN280" s="59"/>
      <c r="AO280" s="59"/>
      <c r="AP280" s="59"/>
      <c r="AQ280" s="59"/>
      <c r="AR280" s="59"/>
      <c r="AS280" s="59"/>
      <c r="AT280" s="59"/>
      <c r="AU280" s="59"/>
      <c r="AV280" s="59"/>
      <c r="AW280" s="59"/>
      <c r="AX280" s="59"/>
      <c r="AY280" s="59"/>
      <c r="AZ280" s="59"/>
      <c r="BA280" s="59"/>
      <c r="BB280" s="59"/>
    </row>
    <row r="281" spans="1:54">
      <c r="A281" s="59"/>
      <c r="B281" s="59"/>
      <c r="C281" s="62"/>
      <c r="D281" s="59"/>
      <c r="E281" s="62"/>
      <c r="F281" s="59"/>
      <c r="G281" s="62"/>
      <c r="H281" s="59"/>
      <c r="I281" s="59"/>
      <c r="J281" s="59"/>
      <c r="K281" s="59"/>
      <c r="L281" s="62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  <c r="AI281" s="59"/>
      <c r="AJ281" s="59"/>
      <c r="AK281" s="59"/>
      <c r="AL281" s="59"/>
      <c r="AM281" s="59"/>
      <c r="AN281" s="59"/>
      <c r="AO281" s="59"/>
      <c r="AP281" s="59"/>
      <c r="AQ281" s="59"/>
      <c r="AR281" s="59"/>
      <c r="AS281" s="59"/>
      <c r="AT281" s="59"/>
      <c r="AU281" s="59"/>
      <c r="AV281" s="59"/>
      <c r="AW281" s="59"/>
      <c r="AX281" s="59"/>
      <c r="AY281" s="59"/>
      <c r="AZ281" s="59"/>
      <c r="BA281" s="59"/>
      <c r="BB281" s="59"/>
    </row>
    <row r="282" spans="1:54">
      <c r="A282" s="59"/>
      <c r="B282" s="59"/>
      <c r="C282" s="62"/>
      <c r="D282" s="59"/>
      <c r="E282" s="62"/>
      <c r="F282" s="59"/>
      <c r="G282" s="62"/>
      <c r="H282" s="59"/>
      <c r="I282" s="59"/>
      <c r="J282" s="59"/>
      <c r="K282" s="59"/>
      <c r="L282" s="62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  <c r="AJ282" s="59"/>
      <c r="AK282" s="59"/>
      <c r="AL282" s="59"/>
      <c r="AM282" s="59"/>
      <c r="AN282" s="59"/>
      <c r="AO282" s="59"/>
      <c r="AP282" s="59"/>
      <c r="AQ282" s="59"/>
      <c r="AR282" s="59"/>
      <c r="AS282" s="59"/>
      <c r="AT282" s="59"/>
      <c r="AU282" s="59"/>
      <c r="AV282" s="59"/>
      <c r="AW282" s="59"/>
      <c r="AX282" s="59"/>
      <c r="AY282" s="59"/>
      <c r="AZ282" s="59"/>
      <c r="BA282" s="59"/>
      <c r="BB282" s="59"/>
    </row>
    <row r="283" spans="1:54">
      <c r="A283" s="59"/>
      <c r="B283" s="59"/>
      <c r="C283" s="62"/>
      <c r="D283" s="59"/>
      <c r="E283" s="62"/>
      <c r="F283" s="59"/>
      <c r="G283" s="62"/>
      <c r="H283" s="59"/>
      <c r="I283" s="59"/>
      <c r="J283" s="59"/>
      <c r="K283" s="59"/>
      <c r="L283" s="62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  <c r="AI283" s="59"/>
      <c r="AJ283" s="59"/>
      <c r="AK283" s="59"/>
      <c r="AL283" s="59"/>
      <c r="AM283" s="59"/>
      <c r="AN283" s="59"/>
      <c r="AO283" s="59"/>
      <c r="AP283" s="59"/>
      <c r="AQ283" s="59"/>
      <c r="AR283" s="59"/>
      <c r="AS283" s="59"/>
      <c r="AT283" s="59"/>
      <c r="AU283" s="59"/>
      <c r="AV283" s="59"/>
      <c r="AW283" s="59"/>
      <c r="AX283" s="59"/>
      <c r="AY283" s="59"/>
      <c r="AZ283" s="59"/>
      <c r="BA283" s="59"/>
      <c r="BB283" s="59"/>
    </row>
    <row r="284" spans="1:54">
      <c r="A284" s="59"/>
      <c r="B284" s="59"/>
      <c r="C284" s="62"/>
      <c r="D284" s="59"/>
      <c r="E284" s="62"/>
      <c r="F284" s="59"/>
      <c r="G284" s="62"/>
      <c r="H284" s="59"/>
      <c r="I284" s="59"/>
      <c r="J284" s="59"/>
      <c r="K284" s="59"/>
      <c r="L284" s="62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  <c r="AI284" s="59"/>
      <c r="AJ284" s="59"/>
      <c r="AK284" s="59"/>
      <c r="AL284" s="59"/>
      <c r="AM284" s="59"/>
      <c r="AN284" s="59"/>
      <c r="AO284" s="59"/>
      <c r="AP284" s="59"/>
      <c r="AQ284" s="59"/>
      <c r="AR284" s="59"/>
      <c r="AS284" s="59"/>
      <c r="AT284" s="59"/>
      <c r="AU284" s="59"/>
      <c r="AV284" s="59"/>
      <c r="AW284" s="59"/>
      <c r="AX284" s="59"/>
      <c r="AY284" s="59"/>
      <c r="AZ284" s="59"/>
      <c r="BA284" s="59"/>
      <c r="BB284" s="59"/>
    </row>
    <row r="285" spans="1:54">
      <c r="A285" s="59"/>
      <c r="B285" s="59"/>
      <c r="C285" s="62"/>
      <c r="D285" s="59"/>
      <c r="E285" s="62"/>
      <c r="F285" s="59"/>
      <c r="G285" s="62"/>
      <c r="H285" s="59"/>
      <c r="I285" s="59"/>
      <c r="J285" s="59"/>
      <c r="K285" s="59"/>
      <c r="L285" s="62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  <c r="AI285" s="59"/>
      <c r="AJ285" s="59"/>
      <c r="AK285" s="59"/>
      <c r="AL285" s="59"/>
      <c r="AM285" s="59"/>
      <c r="AN285" s="59"/>
      <c r="AO285" s="59"/>
      <c r="AP285" s="59"/>
      <c r="AQ285" s="59"/>
      <c r="AR285" s="59"/>
      <c r="AS285" s="59"/>
      <c r="AT285" s="59"/>
      <c r="AU285" s="59"/>
      <c r="AV285" s="59"/>
      <c r="AW285" s="59"/>
      <c r="AX285" s="59"/>
      <c r="AY285" s="59"/>
      <c r="AZ285" s="59"/>
      <c r="BA285" s="59"/>
      <c r="BB285" s="59"/>
    </row>
    <row r="286" spans="1:54">
      <c r="A286" s="59"/>
      <c r="B286" s="59"/>
      <c r="C286" s="62"/>
      <c r="D286" s="59"/>
      <c r="E286" s="62"/>
      <c r="F286" s="59"/>
      <c r="G286" s="62"/>
      <c r="H286" s="59"/>
      <c r="I286" s="59"/>
      <c r="J286" s="59"/>
      <c r="K286" s="59"/>
      <c r="L286" s="62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  <c r="AI286" s="59"/>
      <c r="AJ286" s="59"/>
      <c r="AK286" s="59"/>
      <c r="AL286" s="59"/>
      <c r="AM286" s="59"/>
      <c r="AN286" s="59"/>
      <c r="AO286" s="59"/>
      <c r="AP286" s="59"/>
      <c r="AQ286" s="59"/>
      <c r="AR286" s="59"/>
      <c r="AS286" s="59"/>
      <c r="AT286" s="59"/>
      <c r="AU286" s="59"/>
      <c r="AV286" s="59"/>
      <c r="AW286" s="59"/>
      <c r="AX286" s="59"/>
      <c r="AY286" s="59"/>
      <c r="AZ286" s="59"/>
      <c r="BA286" s="59"/>
      <c r="BB286" s="59"/>
    </row>
    <row r="287" spans="1:54">
      <c r="A287" s="59"/>
      <c r="B287" s="59"/>
      <c r="C287" s="62"/>
      <c r="D287" s="59"/>
      <c r="E287" s="62"/>
      <c r="F287" s="59"/>
      <c r="G287" s="62"/>
      <c r="H287" s="59"/>
      <c r="I287" s="59"/>
      <c r="J287" s="59"/>
      <c r="K287" s="59"/>
      <c r="L287" s="62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  <c r="AI287" s="59"/>
      <c r="AJ287" s="59"/>
      <c r="AK287" s="59"/>
      <c r="AL287" s="59"/>
      <c r="AM287" s="59"/>
      <c r="AN287" s="59"/>
      <c r="AO287" s="59"/>
      <c r="AP287" s="59"/>
      <c r="AQ287" s="59"/>
      <c r="AR287" s="59"/>
      <c r="AS287" s="59"/>
      <c r="AT287" s="59"/>
      <c r="AU287" s="59"/>
      <c r="AV287" s="59"/>
      <c r="AW287" s="59"/>
      <c r="AX287" s="59"/>
      <c r="AY287" s="59"/>
      <c r="AZ287" s="59"/>
      <c r="BA287" s="59"/>
      <c r="BB287" s="59"/>
    </row>
    <row r="288" spans="1:54">
      <c r="A288" s="59"/>
      <c r="B288" s="59"/>
      <c r="C288" s="62"/>
      <c r="D288" s="59"/>
      <c r="E288" s="62"/>
      <c r="F288" s="59"/>
      <c r="G288" s="62"/>
      <c r="H288" s="59"/>
      <c r="I288" s="59"/>
      <c r="J288" s="59"/>
      <c r="K288" s="59"/>
      <c r="L288" s="62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  <c r="AI288" s="59"/>
      <c r="AJ288" s="59"/>
      <c r="AK288" s="59"/>
      <c r="AL288" s="59"/>
      <c r="AM288" s="59"/>
      <c r="AN288" s="59"/>
      <c r="AO288" s="59"/>
      <c r="AP288" s="59"/>
      <c r="AQ288" s="59"/>
      <c r="AR288" s="59"/>
      <c r="AS288" s="59"/>
      <c r="AT288" s="59"/>
      <c r="AU288" s="59"/>
      <c r="AV288" s="59"/>
      <c r="AW288" s="59"/>
      <c r="AX288" s="59"/>
      <c r="AY288" s="59"/>
      <c r="AZ288" s="59"/>
      <c r="BA288" s="59"/>
      <c r="BB288" s="59"/>
    </row>
    <row r="289" spans="1:54">
      <c r="A289" s="59"/>
      <c r="B289" s="59"/>
      <c r="C289" s="62"/>
      <c r="D289" s="59"/>
      <c r="E289" s="62"/>
      <c r="F289" s="59"/>
      <c r="G289" s="62"/>
      <c r="H289" s="59"/>
      <c r="I289" s="59"/>
      <c r="J289" s="59"/>
      <c r="K289" s="59"/>
      <c r="L289" s="62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  <c r="AI289" s="59"/>
      <c r="AJ289" s="59"/>
      <c r="AK289" s="59"/>
      <c r="AL289" s="59"/>
      <c r="AM289" s="59"/>
      <c r="AN289" s="59"/>
      <c r="AO289" s="59"/>
      <c r="AP289" s="59"/>
      <c r="AQ289" s="59"/>
      <c r="AR289" s="59"/>
      <c r="AS289" s="59"/>
      <c r="AT289" s="59"/>
      <c r="AU289" s="59"/>
      <c r="AV289" s="59"/>
      <c r="AW289" s="59"/>
      <c r="AX289" s="59"/>
      <c r="AY289" s="59"/>
      <c r="AZ289" s="59"/>
      <c r="BA289" s="59"/>
      <c r="BB289" s="59"/>
    </row>
    <row r="290" spans="1:54">
      <c r="A290" s="59"/>
      <c r="B290" s="59"/>
      <c r="C290" s="62"/>
      <c r="D290" s="59"/>
      <c r="E290" s="62"/>
      <c r="F290" s="59"/>
      <c r="G290" s="62"/>
      <c r="H290" s="59"/>
      <c r="I290" s="59"/>
      <c r="J290" s="59"/>
      <c r="K290" s="59"/>
      <c r="L290" s="62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59"/>
      <c r="AO290" s="59"/>
      <c r="AP290" s="59"/>
      <c r="AQ290" s="59"/>
      <c r="AR290" s="59"/>
      <c r="AS290" s="59"/>
      <c r="AT290" s="59"/>
      <c r="AU290" s="59"/>
      <c r="AV290" s="59"/>
      <c r="AW290" s="59"/>
      <c r="AX290" s="59"/>
      <c r="AY290" s="59"/>
      <c r="AZ290" s="59"/>
      <c r="BA290" s="59"/>
      <c r="BB290" s="59"/>
    </row>
    <row r="291" spans="1:54">
      <c r="A291" s="59"/>
      <c r="B291" s="59"/>
      <c r="C291" s="62"/>
      <c r="D291" s="59"/>
      <c r="E291" s="62"/>
      <c r="F291" s="59"/>
      <c r="G291" s="62"/>
      <c r="H291" s="59"/>
      <c r="I291" s="59"/>
      <c r="J291" s="59"/>
      <c r="K291" s="59"/>
      <c r="L291" s="62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  <c r="AI291" s="59"/>
      <c r="AJ291" s="59"/>
      <c r="AK291" s="59"/>
      <c r="AL291" s="59"/>
      <c r="AM291" s="59"/>
      <c r="AN291" s="59"/>
      <c r="AO291" s="59"/>
      <c r="AP291" s="59"/>
      <c r="AQ291" s="59"/>
      <c r="AR291" s="59"/>
      <c r="AS291" s="59"/>
      <c r="AT291" s="59"/>
      <c r="AU291" s="59"/>
      <c r="AV291" s="59"/>
      <c r="AW291" s="59"/>
      <c r="AX291" s="59"/>
      <c r="AY291" s="59"/>
      <c r="AZ291" s="59"/>
      <c r="BA291" s="59"/>
      <c r="BB291" s="59"/>
    </row>
    <row r="292" spans="1:54">
      <c r="A292" s="59"/>
      <c r="B292" s="59"/>
      <c r="C292" s="62"/>
      <c r="D292" s="59"/>
      <c r="E292" s="62"/>
      <c r="F292" s="59"/>
      <c r="G292" s="62"/>
      <c r="H292" s="59"/>
      <c r="I292" s="59"/>
      <c r="J292" s="59"/>
      <c r="K292" s="59"/>
      <c r="L292" s="62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  <c r="AI292" s="59"/>
      <c r="AJ292" s="59"/>
      <c r="AK292" s="59"/>
      <c r="AL292" s="59"/>
      <c r="AM292" s="59"/>
      <c r="AN292" s="59"/>
      <c r="AO292" s="59"/>
      <c r="AP292" s="59"/>
      <c r="AQ292" s="59"/>
      <c r="AR292" s="59"/>
      <c r="AS292" s="59"/>
      <c r="AT292" s="59"/>
      <c r="AU292" s="59"/>
      <c r="AV292" s="59"/>
      <c r="AW292" s="59"/>
      <c r="AX292" s="59"/>
      <c r="AY292" s="59"/>
      <c r="AZ292" s="59"/>
      <c r="BA292" s="59"/>
      <c r="BB292" s="59"/>
    </row>
    <row r="293" spans="1:54">
      <c r="A293" s="59"/>
      <c r="B293" s="59"/>
      <c r="C293" s="62"/>
      <c r="D293" s="59"/>
      <c r="E293" s="62"/>
      <c r="F293" s="59"/>
      <c r="G293" s="62"/>
      <c r="H293" s="59"/>
      <c r="I293" s="59"/>
      <c r="J293" s="59"/>
      <c r="K293" s="59"/>
      <c r="L293" s="62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  <c r="AP293" s="59"/>
      <c r="AQ293" s="59"/>
      <c r="AR293" s="59"/>
      <c r="AS293" s="59"/>
      <c r="AT293" s="59"/>
      <c r="AU293" s="59"/>
      <c r="AV293" s="59"/>
      <c r="AW293" s="59"/>
      <c r="AX293" s="59"/>
      <c r="AY293" s="59"/>
      <c r="AZ293" s="59"/>
      <c r="BA293" s="59"/>
      <c r="BB293" s="59"/>
    </row>
    <row r="294" spans="1:54">
      <c r="A294" s="59"/>
      <c r="B294" s="59"/>
      <c r="C294" s="62"/>
      <c r="D294" s="59"/>
      <c r="E294" s="62"/>
      <c r="F294" s="59"/>
      <c r="G294" s="62"/>
      <c r="H294" s="59"/>
      <c r="I294" s="59"/>
      <c r="J294" s="59"/>
      <c r="K294" s="59"/>
      <c r="L294" s="62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  <c r="AI294" s="59"/>
      <c r="AJ294" s="59"/>
      <c r="AK294" s="59"/>
      <c r="AL294" s="59"/>
      <c r="AM294" s="59"/>
      <c r="AN294" s="59"/>
      <c r="AO294" s="59"/>
      <c r="AP294" s="59"/>
      <c r="AQ294" s="59"/>
      <c r="AR294" s="59"/>
      <c r="AS294" s="59"/>
      <c r="AT294" s="59"/>
      <c r="AU294" s="59"/>
      <c r="AV294" s="59"/>
      <c r="AW294" s="59"/>
      <c r="AX294" s="59"/>
      <c r="AY294" s="59"/>
      <c r="AZ294" s="59"/>
      <c r="BA294" s="59"/>
      <c r="BB294" s="59"/>
    </row>
    <row r="295" spans="1:54">
      <c r="A295" s="59"/>
      <c r="B295" s="59"/>
      <c r="C295" s="62"/>
      <c r="D295" s="59"/>
      <c r="E295" s="62"/>
      <c r="F295" s="59"/>
      <c r="G295" s="62"/>
      <c r="H295" s="59"/>
      <c r="I295" s="59"/>
      <c r="J295" s="59"/>
      <c r="K295" s="59"/>
      <c r="L295" s="62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  <c r="AI295" s="59"/>
      <c r="AJ295" s="59"/>
      <c r="AK295" s="59"/>
      <c r="AL295" s="59"/>
      <c r="AM295" s="59"/>
      <c r="AN295" s="59"/>
      <c r="AO295" s="59"/>
      <c r="AP295" s="59"/>
      <c r="AQ295" s="59"/>
      <c r="AR295" s="59"/>
      <c r="AS295" s="59"/>
      <c r="AT295" s="59"/>
      <c r="AU295" s="59"/>
      <c r="AV295" s="59"/>
      <c r="AW295" s="59"/>
      <c r="AX295" s="59"/>
      <c r="AY295" s="59"/>
      <c r="AZ295" s="59"/>
      <c r="BA295" s="59"/>
      <c r="BB295" s="59"/>
    </row>
    <row r="296" spans="1:54">
      <c r="A296" s="59"/>
      <c r="B296" s="59"/>
      <c r="C296" s="62"/>
      <c r="D296" s="59"/>
      <c r="E296" s="62"/>
      <c r="F296" s="59"/>
      <c r="G296" s="62"/>
      <c r="H296" s="59"/>
      <c r="I296" s="59"/>
      <c r="J296" s="59"/>
      <c r="K296" s="59"/>
      <c r="L296" s="62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  <c r="AI296" s="59"/>
      <c r="AJ296" s="59"/>
      <c r="AK296" s="59"/>
      <c r="AL296" s="59"/>
      <c r="AM296" s="59"/>
      <c r="AN296" s="59"/>
      <c r="AO296" s="59"/>
      <c r="AP296" s="59"/>
      <c r="AQ296" s="59"/>
      <c r="AR296" s="59"/>
      <c r="AS296" s="59"/>
      <c r="AT296" s="59"/>
      <c r="AU296" s="59"/>
      <c r="AV296" s="59"/>
      <c r="AW296" s="59"/>
      <c r="AX296" s="59"/>
      <c r="AY296" s="59"/>
      <c r="AZ296" s="59"/>
      <c r="BA296" s="59"/>
      <c r="BB296" s="59"/>
    </row>
    <row r="297" spans="1:54">
      <c r="A297" s="59"/>
      <c r="B297" s="59"/>
      <c r="C297" s="62"/>
      <c r="D297" s="59"/>
      <c r="E297" s="62"/>
      <c r="F297" s="59"/>
      <c r="G297" s="62"/>
      <c r="H297" s="59"/>
      <c r="I297" s="59"/>
      <c r="J297" s="59"/>
      <c r="K297" s="59"/>
      <c r="L297" s="62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  <c r="AI297" s="59"/>
      <c r="AJ297" s="59"/>
      <c r="AK297" s="59"/>
      <c r="AL297" s="59"/>
      <c r="AM297" s="59"/>
      <c r="AN297" s="59"/>
      <c r="AO297" s="59"/>
      <c r="AP297" s="59"/>
      <c r="AQ297" s="59"/>
      <c r="AR297" s="59"/>
      <c r="AS297" s="59"/>
      <c r="AT297" s="59"/>
      <c r="AU297" s="59"/>
      <c r="AV297" s="59"/>
      <c r="AW297" s="59"/>
      <c r="AX297" s="59"/>
      <c r="AY297" s="59"/>
      <c r="AZ297" s="59"/>
      <c r="BA297" s="59"/>
      <c r="BB297" s="59"/>
    </row>
    <row r="298" spans="1:54">
      <c r="A298" s="59"/>
      <c r="B298" s="59"/>
      <c r="C298" s="62"/>
      <c r="D298" s="59"/>
      <c r="E298" s="62"/>
      <c r="F298" s="59"/>
      <c r="G298" s="62"/>
      <c r="H298" s="59"/>
      <c r="I298" s="59"/>
      <c r="J298" s="59"/>
      <c r="K298" s="59"/>
      <c r="L298" s="62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  <c r="AH298" s="59"/>
      <c r="AI298" s="59"/>
      <c r="AJ298" s="59"/>
      <c r="AK298" s="59"/>
      <c r="AL298" s="59"/>
      <c r="AM298" s="59"/>
      <c r="AN298" s="59"/>
      <c r="AO298" s="59"/>
      <c r="AP298" s="59"/>
      <c r="AQ298" s="59"/>
      <c r="AR298" s="59"/>
      <c r="AS298" s="59"/>
      <c r="AT298" s="59"/>
      <c r="AU298" s="59"/>
      <c r="AV298" s="59"/>
      <c r="AW298" s="59"/>
      <c r="AX298" s="59"/>
      <c r="AY298" s="59"/>
      <c r="AZ298" s="59"/>
      <c r="BA298" s="59"/>
      <c r="BB298" s="59"/>
    </row>
    <row r="299" spans="1:54">
      <c r="A299" s="59"/>
      <c r="B299" s="59"/>
      <c r="C299" s="62"/>
      <c r="D299" s="59"/>
      <c r="E299" s="62"/>
      <c r="F299" s="59"/>
      <c r="G299" s="62"/>
      <c r="H299" s="59"/>
      <c r="I299" s="59"/>
      <c r="J299" s="59"/>
      <c r="K299" s="59"/>
      <c r="L299" s="62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  <c r="AI299" s="59"/>
      <c r="AJ299" s="59"/>
      <c r="AK299" s="59"/>
      <c r="AL299" s="59"/>
      <c r="AM299" s="59"/>
      <c r="AN299" s="59"/>
      <c r="AO299" s="59"/>
      <c r="AP299" s="59"/>
      <c r="AQ299" s="59"/>
      <c r="AR299" s="59"/>
      <c r="AS299" s="59"/>
      <c r="AT299" s="59"/>
      <c r="AU299" s="59"/>
      <c r="AV299" s="59"/>
      <c r="AW299" s="59"/>
      <c r="AX299" s="59"/>
      <c r="AY299" s="59"/>
      <c r="AZ299" s="59"/>
      <c r="BA299" s="59"/>
      <c r="BB299" s="59"/>
    </row>
    <row r="300" spans="1:54">
      <c r="A300" s="59"/>
      <c r="B300" s="59"/>
      <c r="C300" s="62"/>
      <c r="D300" s="59"/>
      <c r="E300" s="62"/>
      <c r="F300" s="59"/>
      <c r="G300" s="62"/>
      <c r="H300" s="59"/>
      <c r="I300" s="59"/>
      <c r="J300" s="59"/>
      <c r="K300" s="59"/>
      <c r="L300" s="62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  <c r="AH300" s="59"/>
      <c r="AI300" s="59"/>
      <c r="AJ300" s="59"/>
      <c r="AK300" s="59"/>
      <c r="AL300" s="59"/>
      <c r="AM300" s="59"/>
      <c r="AN300" s="59"/>
      <c r="AO300" s="59"/>
      <c r="AP300" s="59"/>
      <c r="AQ300" s="59"/>
      <c r="AR300" s="59"/>
      <c r="AS300" s="59"/>
      <c r="AT300" s="59"/>
      <c r="AU300" s="59"/>
      <c r="AV300" s="59"/>
      <c r="AW300" s="59"/>
      <c r="AX300" s="59"/>
      <c r="AY300" s="59"/>
      <c r="AZ300" s="59"/>
      <c r="BA300" s="59"/>
      <c r="BB300" s="59"/>
    </row>
    <row r="301" spans="1:54">
      <c r="A301" s="59"/>
      <c r="B301" s="59"/>
      <c r="C301" s="62"/>
      <c r="D301" s="59"/>
      <c r="E301" s="62"/>
      <c r="F301" s="59"/>
      <c r="G301" s="62"/>
      <c r="H301" s="59"/>
      <c r="I301" s="59"/>
      <c r="J301" s="59"/>
      <c r="K301" s="59"/>
      <c r="L301" s="62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  <c r="AN301" s="59"/>
      <c r="AO301" s="59"/>
      <c r="AP301" s="59"/>
      <c r="AQ301" s="59"/>
      <c r="AR301" s="59"/>
      <c r="AS301" s="59"/>
      <c r="AT301" s="59"/>
      <c r="AU301" s="59"/>
      <c r="AV301" s="59"/>
      <c r="AW301" s="59"/>
      <c r="AX301" s="59"/>
      <c r="AY301" s="59"/>
      <c r="AZ301" s="59"/>
      <c r="BA301" s="59"/>
      <c r="BB301" s="59"/>
    </row>
    <row r="302" spans="1:54">
      <c r="A302" s="59"/>
      <c r="B302" s="59"/>
      <c r="C302" s="62"/>
      <c r="D302" s="59"/>
      <c r="E302" s="62"/>
      <c r="F302" s="59"/>
      <c r="G302" s="62"/>
      <c r="H302" s="59"/>
      <c r="I302" s="59"/>
      <c r="J302" s="59"/>
      <c r="K302" s="59"/>
      <c r="L302" s="62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  <c r="AI302" s="59"/>
      <c r="AJ302" s="59"/>
      <c r="AK302" s="59"/>
      <c r="AL302" s="59"/>
      <c r="AM302" s="59"/>
      <c r="AN302" s="59"/>
      <c r="AO302" s="59"/>
      <c r="AP302" s="59"/>
      <c r="AQ302" s="59"/>
      <c r="AR302" s="59"/>
      <c r="AS302" s="59"/>
      <c r="AT302" s="59"/>
      <c r="AU302" s="59"/>
      <c r="AV302" s="59"/>
      <c r="AW302" s="59"/>
      <c r="AX302" s="59"/>
      <c r="AY302" s="59"/>
      <c r="AZ302" s="59"/>
      <c r="BA302" s="59"/>
      <c r="BB302" s="59"/>
    </row>
    <row r="303" spans="1:54">
      <c r="A303" s="59"/>
      <c r="B303" s="59"/>
      <c r="C303" s="62"/>
      <c r="D303" s="59"/>
      <c r="E303" s="62"/>
      <c r="F303" s="59"/>
      <c r="G303" s="62"/>
      <c r="H303" s="59"/>
      <c r="I303" s="59"/>
      <c r="J303" s="59"/>
      <c r="K303" s="59"/>
      <c r="L303" s="62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  <c r="AI303" s="59"/>
      <c r="AJ303" s="59"/>
      <c r="AK303" s="59"/>
      <c r="AL303" s="59"/>
      <c r="AM303" s="59"/>
      <c r="AN303" s="59"/>
      <c r="AO303" s="59"/>
      <c r="AP303" s="59"/>
      <c r="AQ303" s="59"/>
      <c r="AR303" s="59"/>
      <c r="AS303" s="59"/>
      <c r="AT303" s="59"/>
      <c r="AU303" s="59"/>
      <c r="AV303" s="59"/>
      <c r="AW303" s="59"/>
      <c r="AX303" s="59"/>
      <c r="AY303" s="59"/>
      <c r="AZ303" s="59"/>
      <c r="BA303" s="59"/>
      <c r="BB303" s="59"/>
    </row>
    <row r="304" spans="1:54">
      <c r="A304" s="59"/>
      <c r="B304" s="59"/>
      <c r="C304" s="62"/>
      <c r="D304" s="59"/>
      <c r="E304" s="62"/>
      <c r="F304" s="59"/>
      <c r="G304" s="62"/>
      <c r="H304" s="59"/>
      <c r="I304" s="59"/>
      <c r="J304" s="59"/>
      <c r="K304" s="59"/>
      <c r="L304" s="62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  <c r="AM304" s="59"/>
      <c r="AN304" s="59"/>
      <c r="AO304" s="59"/>
      <c r="AP304" s="59"/>
      <c r="AQ304" s="59"/>
      <c r="AR304" s="59"/>
      <c r="AS304" s="59"/>
      <c r="AT304" s="59"/>
      <c r="AU304" s="59"/>
      <c r="AV304" s="59"/>
      <c r="AW304" s="59"/>
      <c r="AX304" s="59"/>
      <c r="AY304" s="59"/>
      <c r="AZ304" s="59"/>
      <c r="BA304" s="59"/>
      <c r="BB304" s="59"/>
    </row>
    <row r="305" spans="1:54">
      <c r="A305" s="59"/>
      <c r="B305" s="59"/>
      <c r="C305" s="62"/>
      <c r="D305" s="59"/>
      <c r="E305" s="62"/>
      <c r="F305" s="59"/>
      <c r="G305" s="62"/>
      <c r="H305" s="59"/>
      <c r="I305" s="59"/>
      <c r="J305" s="59"/>
      <c r="K305" s="59"/>
      <c r="L305" s="62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  <c r="AI305" s="59"/>
      <c r="AJ305" s="59"/>
      <c r="AK305" s="59"/>
      <c r="AL305" s="59"/>
      <c r="AM305" s="59"/>
      <c r="AN305" s="59"/>
      <c r="AO305" s="59"/>
      <c r="AP305" s="59"/>
      <c r="AQ305" s="59"/>
      <c r="AR305" s="59"/>
      <c r="AS305" s="59"/>
      <c r="AT305" s="59"/>
      <c r="AU305" s="59"/>
      <c r="AV305" s="59"/>
      <c r="AW305" s="59"/>
      <c r="AX305" s="59"/>
      <c r="AY305" s="59"/>
      <c r="AZ305" s="59"/>
      <c r="BA305" s="59"/>
      <c r="BB305" s="59"/>
    </row>
    <row r="306" spans="1:54">
      <c r="A306" s="59"/>
      <c r="B306" s="59"/>
      <c r="C306" s="62"/>
      <c r="D306" s="59"/>
      <c r="E306" s="62"/>
      <c r="F306" s="59"/>
      <c r="G306" s="62"/>
      <c r="H306" s="59"/>
      <c r="I306" s="59"/>
      <c r="J306" s="59"/>
      <c r="K306" s="59"/>
      <c r="L306" s="62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  <c r="AI306" s="59"/>
      <c r="AJ306" s="59"/>
      <c r="AK306" s="59"/>
      <c r="AL306" s="59"/>
      <c r="AM306" s="59"/>
      <c r="AN306" s="59"/>
      <c r="AO306" s="59"/>
      <c r="AP306" s="59"/>
      <c r="AQ306" s="59"/>
      <c r="AR306" s="59"/>
      <c r="AS306" s="59"/>
      <c r="AT306" s="59"/>
      <c r="AU306" s="59"/>
      <c r="AV306" s="59"/>
      <c r="AW306" s="59"/>
      <c r="AX306" s="59"/>
      <c r="AY306" s="59"/>
      <c r="AZ306" s="59"/>
      <c r="BA306" s="59"/>
      <c r="BB306" s="59"/>
    </row>
    <row r="307" spans="1:54">
      <c r="A307" s="59"/>
      <c r="B307" s="59"/>
      <c r="C307" s="62"/>
      <c r="D307" s="59"/>
      <c r="E307" s="62"/>
      <c r="F307" s="59"/>
      <c r="G307" s="62"/>
      <c r="H307" s="59"/>
      <c r="I307" s="59"/>
      <c r="J307" s="59"/>
      <c r="K307" s="59"/>
      <c r="L307" s="62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  <c r="AI307" s="59"/>
      <c r="AJ307" s="59"/>
      <c r="AK307" s="59"/>
      <c r="AL307" s="59"/>
      <c r="AM307" s="59"/>
      <c r="AN307" s="59"/>
      <c r="AO307" s="59"/>
      <c r="AP307" s="59"/>
      <c r="AQ307" s="59"/>
      <c r="AR307" s="59"/>
      <c r="AS307" s="59"/>
      <c r="AT307" s="59"/>
      <c r="AU307" s="59"/>
      <c r="AV307" s="59"/>
      <c r="AW307" s="59"/>
      <c r="AX307" s="59"/>
      <c r="AY307" s="59"/>
      <c r="AZ307" s="59"/>
      <c r="BA307" s="59"/>
      <c r="BB307" s="59"/>
    </row>
    <row r="308" spans="1:54">
      <c r="A308" s="59"/>
      <c r="B308" s="59"/>
      <c r="C308" s="62"/>
      <c r="D308" s="59"/>
      <c r="E308" s="62"/>
      <c r="F308" s="59"/>
      <c r="G308" s="62"/>
      <c r="H308" s="59"/>
      <c r="I308" s="59"/>
      <c r="J308" s="59"/>
      <c r="K308" s="59"/>
      <c r="L308" s="62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  <c r="AI308" s="59"/>
      <c r="AJ308" s="59"/>
      <c r="AK308" s="59"/>
      <c r="AL308" s="59"/>
      <c r="AM308" s="59"/>
      <c r="AN308" s="59"/>
      <c r="AO308" s="59"/>
      <c r="AP308" s="59"/>
      <c r="AQ308" s="59"/>
      <c r="AR308" s="59"/>
      <c r="AS308" s="59"/>
      <c r="AT308" s="59"/>
      <c r="AU308" s="59"/>
      <c r="AV308" s="59"/>
      <c r="AW308" s="59"/>
      <c r="AX308" s="59"/>
      <c r="AY308" s="59"/>
      <c r="AZ308" s="59"/>
      <c r="BA308" s="59"/>
      <c r="BB308" s="59"/>
    </row>
    <row r="309" spans="1:54">
      <c r="A309" s="59"/>
      <c r="B309" s="59"/>
      <c r="C309" s="62"/>
      <c r="D309" s="59"/>
      <c r="E309" s="62"/>
      <c r="F309" s="59"/>
      <c r="G309" s="62"/>
      <c r="H309" s="59"/>
      <c r="I309" s="59"/>
      <c r="J309" s="59"/>
      <c r="K309" s="59"/>
      <c r="L309" s="62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  <c r="AI309" s="59"/>
      <c r="AJ309" s="59"/>
      <c r="AK309" s="59"/>
      <c r="AL309" s="59"/>
      <c r="AM309" s="59"/>
      <c r="AN309" s="59"/>
      <c r="AO309" s="59"/>
      <c r="AP309" s="59"/>
      <c r="AQ309" s="59"/>
      <c r="AR309" s="59"/>
      <c r="AS309" s="59"/>
      <c r="AT309" s="59"/>
      <c r="AU309" s="59"/>
      <c r="AV309" s="59"/>
      <c r="AW309" s="59"/>
      <c r="AX309" s="59"/>
      <c r="AY309" s="59"/>
      <c r="AZ309" s="59"/>
      <c r="BA309" s="59"/>
      <c r="BB309" s="59"/>
    </row>
    <row r="310" spans="1:54">
      <c r="A310" s="59"/>
      <c r="B310" s="59"/>
      <c r="C310" s="62"/>
      <c r="D310" s="59"/>
      <c r="E310" s="62"/>
      <c r="F310" s="59"/>
      <c r="G310" s="62"/>
      <c r="H310" s="59"/>
      <c r="I310" s="59"/>
      <c r="J310" s="59"/>
      <c r="K310" s="59"/>
      <c r="L310" s="62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  <c r="AH310" s="59"/>
      <c r="AI310" s="59"/>
      <c r="AJ310" s="59"/>
      <c r="AK310" s="59"/>
      <c r="AL310" s="59"/>
      <c r="AM310" s="59"/>
      <c r="AN310" s="59"/>
      <c r="AO310" s="59"/>
      <c r="AP310" s="59"/>
      <c r="AQ310" s="59"/>
      <c r="AR310" s="59"/>
      <c r="AS310" s="59"/>
      <c r="AT310" s="59"/>
      <c r="AU310" s="59"/>
      <c r="AV310" s="59"/>
      <c r="AW310" s="59"/>
      <c r="AX310" s="59"/>
      <c r="AY310" s="59"/>
      <c r="AZ310" s="59"/>
      <c r="BA310" s="59"/>
      <c r="BB310" s="59"/>
    </row>
    <row r="311" spans="1:54">
      <c r="A311" s="59"/>
      <c r="B311" s="59"/>
      <c r="C311" s="62"/>
      <c r="D311" s="59"/>
      <c r="E311" s="62"/>
      <c r="F311" s="59"/>
      <c r="G311" s="62"/>
      <c r="H311" s="59"/>
      <c r="I311" s="59"/>
      <c r="J311" s="59"/>
      <c r="K311" s="59"/>
      <c r="L311" s="62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  <c r="AM311" s="59"/>
      <c r="AN311" s="59"/>
      <c r="AO311" s="59"/>
      <c r="AP311" s="59"/>
      <c r="AQ311" s="59"/>
      <c r="AR311" s="59"/>
      <c r="AS311" s="59"/>
      <c r="AT311" s="59"/>
      <c r="AU311" s="59"/>
      <c r="AV311" s="59"/>
      <c r="AW311" s="59"/>
      <c r="AX311" s="59"/>
      <c r="AY311" s="59"/>
      <c r="AZ311" s="59"/>
      <c r="BA311" s="59"/>
      <c r="BB311" s="59"/>
    </row>
    <row r="312" spans="1:54">
      <c r="A312" s="59"/>
      <c r="B312" s="59"/>
      <c r="C312" s="62"/>
      <c r="D312" s="59"/>
      <c r="E312" s="62"/>
      <c r="F312" s="59"/>
      <c r="G312" s="62"/>
      <c r="H312" s="59"/>
      <c r="I312" s="59"/>
      <c r="J312" s="59"/>
      <c r="K312" s="59"/>
      <c r="L312" s="62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  <c r="AP312" s="59"/>
      <c r="AQ312" s="59"/>
      <c r="AR312" s="59"/>
      <c r="AS312" s="59"/>
      <c r="AT312" s="59"/>
      <c r="AU312" s="59"/>
      <c r="AV312" s="59"/>
      <c r="AW312" s="59"/>
      <c r="AX312" s="59"/>
      <c r="AY312" s="59"/>
      <c r="AZ312" s="59"/>
      <c r="BA312" s="59"/>
      <c r="BB312" s="59"/>
    </row>
    <row r="313" spans="1:54">
      <c r="A313" s="59"/>
      <c r="B313" s="59"/>
      <c r="C313" s="62"/>
      <c r="D313" s="59"/>
      <c r="E313" s="62"/>
      <c r="F313" s="59"/>
      <c r="G313" s="62"/>
      <c r="H313" s="59"/>
      <c r="I313" s="59"/>
      <c r="J313" s="59"/>
      <c r="K313" s="59"/>
      <c r="L313" s="62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  <c r="AI313" s="59"/>
      <c r="AJ313" s="59"/>
      <c r="AK313" s="59"/>
      <c r="AL313" s="59"/>
      <c r="AM313" s="59"/>
      <c r="AN313" s="59"/>
      <c r="AO313" s="59"/>
      <c r="AP313" s="59"/>
      <c r="AQ313" s="59"/>
      <c r="AR313" s="59"/>
      <c r="AS313" s="59"/>
      <c r="AT313" s="59"/>
      <c r="AU313" s="59"/>
      <c r="AV313" s="59"/>
      <c r="AW313" s="59"/>
      <c r="AX313" s="59"/>
      <c r="AY313" s="59"/>
      <c r="AZ313" s="59"/>
      <c r="BA313" s="59"/>
      <c r="BB313" s="59"/>
    </row>
    <row r="314" spans="1:54">
      <c r="A314" s="59"/>
      <c r="B314" s="59"/>
      <c r="C314" s="62"/>
      <c r="D314" s="59"/>
      <c r="E314" s="62"/>
      <c r="F314" s="59"/>
      <c r="G314" s="62"/>
      <c r="H314" s="59"/>
      <c r="I314" s="59"/>
      <c r="J314" s="59"/>
      <c r="K314" s="59"/>
      <c r="L314" s="62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  <c r="AI314" s="59"/>
      <c r="AJ314" s="59"/>
      <c r="AK314" s="59"/>
      <c r="AL314" s="59"/>
      <c r="AM314" s="59"/>
      <c r="AN314" s="59"/>
      <c r="AO314" s="59"/>
      <c r="AP314" s="59"/>
      <c r="AQ314" s="59"/>
      <c r="AR314" s="59"/>
      <c r="AS314" s="59"/>
      <c r="AT314" s="59"/>
      <c r="AU314" s="59"/>
      <c r="AV314" s="59"/>
      <c r="AW314" s="59"/>
      <c r="AX314" s="59"/>
      <c r="AY314" s="59"/>
      <c r="AZ314" s="59"/>
      <c r="BA314" s="59"/>
      <c r="BB314" s="59"/>
    </row>
    <row r="315" spans="1:54">
      <c r="A315" s="59"/>
      <c r="B315" s="59"/>
      <c r="C315" s="62"/>
      <c r="D315" s="59"/>
      <c r="E315" s="62"/>
      <c r="F315" s="59"/>
      <c r="G315" s="62"/>
      <c r="H315" s="59"/>
      <c r="I315" s="59"/>
      <c r="J315" s="59"/>
      <c r="K315" s="59"/>
      <c r="L315" s="62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  <c r="AP315" s="59"/>
      <c r="AQ315" s="59"/>
      <c r="AR315" s="59"/>
      <c r="AS315" s="59"/>
      <c r="AT315" s="59"/>
      <c r="AU315" s="59"/>
      <c r="AV315" s="59"/>
      <c r="AW315" s="59"/>
      <c r="AX315" s="59"/>
      <c r="AY315" s="59"/>
      <c r="AZ315" s="59"/>
      <c r="BA315" s="59"/>
      <c r="BB315" s="59"/>
    </row>
    <row r="316" spans="1:54">
      <c r="A316" s="59"/>
      <c r="B316" s="59"/>
      <c r="C316" s="62"/>
      <c r="D316" s="59"/>
      <c r="E316" s="62"/>
      <c r="F316" s="59"/>
      <c r="G316" s="62"/>
      <c r="H316" s="59"/>
      <c r="I316" s="59"/>
      <c r="J316" s="59"/>
      <c r="K316" s="59"/>
      <c r="L316" s="62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  <c r="AI316" s="59"/>
      <c r="AJ316" s="59"/>
      <c r="AK316" s="59"/>
      <c r="AL316" s="59"/>
      <c r="AM316" s="59"/>
      <c r="AN316" s="59"/>
      <c r="AO316" s="59"/>
      <c r="AP316" s="59"/>
      <c r="AQ316" s="59"/>
      <c r="AR316" s="59"/>
      <c r="AS316" s="59"/>
      <c r="AT316" s="59"/>
      <c r="AU316" s="59"/>
      <c r="AV316" s="59"/>
      <c r="AW316" s="59"/>
      <c r="AX316" s="59"/>
      <c r="AY316" s="59"/>
      <c r="AZ316" s="59"/>
      <c r="BA316" s="59"/>
      <c r="BB316" s="59"/>
    </row>
    <row r="317" spans="1:54">
      <c r="A317" s="59"/>
      <c r="B317" s="59"/>
      <c r="C317" s="62"/>
      <c r="D317" s="59"/>
      <c r="E317" s="62"/>
      <c r="F317" s="59"/>
      <c r="G317" s="62"/>
      <c r="H317" s="59"/>
      <c r="I317" s="59"/>
      <c r="J317" s="59"/>
      <c r="K317" s="59"/>
      <c r="L317" s="62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  <c r="AI317" s="59"/>
      <c r="AJ317" s="59"/>
      <c r="AK317" s="59"/>
      <c r="AL317" s="59"/>
      <c r="AM317" s="59"/>
      <c r="AN317" s="59"/>
      <c r="AO317" s="59"/>
      <c r="AP317" s="59"/>
      <c r="AQ317" s="59"/>
      <c r="AR317" s="59"/>
      <c r="AS317" s="59"/>
      <c r="AT317" s="59"/>
      <c r="AU317" s="59"/>
      <c r="AV317" s="59"/>
      <c r="AW317" s="59"/>
      <c r="AX317" s="59"/>
      <c r="AY317" s="59"/>
      <c r="AZ317" s="59"/>
      <c r="BA317" s="59"/>
      <c r="BB317" s="59"/>
    </row>
    <row r="318" spans="1:54">
      <c r="A318" s="59"/>
      <c r="B318" s="59"/>
      <c r="C318" s="62"/>
      <c r="D318" s="59"/>
      <c r="E318" s="62"/>
      <c r="F318" s="59"/>
      <c r="G318" s="62"/>
      <c r="H318" s="59"/>
      <c r="I318" s="59"/>
      <c r="J318" s="59"/>
      <c r="K318" s="59"/>
      <c r="L318" s="62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  <c r="AI318" s="59"/>
      <c r="AJ318" s="59"/>
      <c r="AK318" s="59"/>
      <c r="AL318" s="59"/>
      <c r="AM318" s="59"/>
      <c r="AN318" s="59"/>
      <c r="AO318" s="59"/>
      <c r="AP318" s="59"/>
      <c r="AQ318" s="59"/>
      <c r="AR318" s="59"/>
      <c r="AS318" s="59"/>
      <c r="AT318" s="59"/>
      <c r="AU318" s="59"/>
      <c r="AV318" s="59"/>
      <c r="AW318" s="59"/>
      <c r="AX318" s="59"/>
      <c r="AY318" s="59"/>
      <c r="AZ318" s="59"/>
      <c r="BA318" s="59"/>
      <c r="BB318" s="59"/>
    </row>
    <row r="319" spans="1:54">
      <c r="A319" s="59"/>
      <c r="B319" s="59"/>
      <c r="C319" s="62"/>
      <c r="D319" s="59"/>
      <c r="E319" s="62"/>
      <c r="F319" s="59"/>
      <c r="G319" s="62"/>
      <c r="H319" s="59"/>
      <c r="I319" s="59"/>
      <c r="J319" s="59"/>
      <c r="K319" s="59"/>
      <c r="L319" s="62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  <c r="AI319" s="59"/>
      <c r="AJ319" s="59"/>
      <c r="AK319" s="59"/>
      <c r="AL319" s="59"/>
      <c r="AM319" s="59"/>
      <c r="AN319" s="59"/>
      <c r="AO319" s="59"/>
      <c r="AP319" s="59"/>
      <c r="AQ319" s="59"/>
      <c r="AR319" s="59"/>
      <c r="AS319" s="59"/>
      <c r="AT319" s="59"/>
      <c r="AU319" s="59"/>
      <c r="AV319" s="59"/>
      <c r="AW319" s="59"/>
      <c r="AX319" s="59"/>
      <c r="AY319" s="59"/>
      <c r="AZ319" s="59"/>
      <c r="BA319" s="59"/>
      <c r="BB319" s="59"/>
    </row>
    <row r="320" spans="1:54">
      <c r="A320" s="59"/>
      <c r="B320" s="59"/>
      <c r="C320" s="62"/>
      <c r="D320" s="59"/>
      <c r="E320" s="62"/>
      <c r="F320" s="59"/>
      <c r="G320" s="62"/>
      <c r="H320" s="59"/>
      <c r="I320" s="59"/>
      <c r="J320" s="59"/>
      <c r="K320" s="59"/>
      <c r="L320" s="62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  <c r="AI320" s="59"/>
      <c r="AJ320" s="59"/>
      <c r="AK320" s="59"/>
      <c r="AL320" s="59"/>
      <c r="AM320" s="59"/>
      <c r="AN320" s="59"/>
      <c r="AO320" s="59"/>
      <c r="AP320" s="59"/>
      <c r="AQ320" s="59"/>
      <c r="AR320" s="59"/>
      <c r="AS320" s="59"/>
      <c r="AT320" s="59"/>
      <c r="AU320" s="59"/>
      <c r="AV320" s="59"/>
      <c r="AW320" s="59"/>
      <c r="AX320" s="59"/>
      <c r="AY320" s="59"/>
      <c r="AZ320" s="59"/>
      <c r="BA320" s="59"/>
      <c r="BB320" s="59"/>
    </row>
    <row r="321" spans="1:54">
      <c r="A321" s="59"/>
      <c r="B321" s="59"/>
      <c r="C321" s="62"/>
      <c r="D321" s="59"/>
      <c r="E321" s="62"/>
      <c r="F321" s="59"/>
      <c r="G321" s="62"/>
      <c r="H321" s="59"/>
      <c r="I321" s="59"/>
      <c r="J321" s="59"/>
      <c r="K321" s="59"/>
      <c r="L321" s="62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  <c r="AI321" s="59"/>
      <c r="AJ321" s="59"/>
      <c r="AK321" s="59"/>
      <c r="AL321" s="59"/>
      <c r="AM321" s="59"/>
      <c r="AN321" s="59"/>
      <c r="AO321" s="59"/>
      <c r="AP321" s="59"/>
      <c r="AQ321" s="59"/>
      <c r="AR321" s="59"/>
      <c r="AS321" s="59"/>
      <c r="AT321" s="59"/>
      <c r="AU321" s="59"/>
      <c r="AV321" s="59"/>
      <c r="AW321" s="59"/>
      <c r="AX321" s="59"/>
      <c r="AY321" s="59"/>
      <c r="AZ321" s="59"/>
      <c r="BA321" s="59"/>
      <c r="BB321" s="59"/>
    </row>
    <row r="322" spans="1:54">
      <c r="A322" s="59"/>
      <c r="B322" s="59"/>
      <c r="C322" s="62"/>
      <c r="D322" s="59"/>
      <c r="E322" s="62"/>
      <c r="F322" s="59"/>
      <c r="G322" s="62"/>
      <c r="H322" s="59"/>
      <c r="I322" s="59"/>
      <c r="J322" s="59"/>
      <c r="K322" s="59"/>
      <c r="L322" s="62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  <c r="AI322" s="59"/>
      <c r="AJ322" s="59"/>
      <c r="AK322" s="59"/>
      <c r="AL322" s="59"/>
      <c r="AM322" s="59"/>
      <c r="AN322" s="59"/>
      <c r="AO322" s="59"/>
      <c r="AP322" s="59"/>
      <c r="AQ322" s="59"/>
      <c r="AR322" s="59"/>
      <c r="AS322" s="59"/>
      <c r="AT322" s="59"/>
      <c r="AU322" s="59"/>
      <c r="AV322" s="59"/>
      <c r="AW322" s="59"/>
      <c r="AX322" s="59"/>
      <c r="AY322" s="59"/>
      <c r="AZ322" s="59"/>
      <c r="BA322" s="59"/>
      <c r="BB322" s="59"/>
    </row>
    <row r="323" spans="1:54">
      <c r="A323" s="59"/>
      <c r="B323" s="59"/>
      <c r="C323" s="62"/>
      <c r="D323" s="59"/>
      <c r="E323" s="62"/>
      <c r="F323" s="59"/>
      <c r="G323" s="62"/>
      <c r="H323" s="59"/>
      <c r="I323" s="59"/>
      <c r="J323" s="59"/>
      <c r="K323" s="59"/>
      <c r="L323" s="62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  <c r="AI323" s="59"/>
      <c r="AJ323" s="59"/>
      <c r="AK323" s="59"/>
      <c r="AL323" s="59"/>
      <c r="AM323" s="59"/>
      <c r="AN323" s="59"/>
      <c r="AO323" s="59"/>
      <c r="AP323" s="59"/>
      <c r="AQ323" s="59"/>
      <c r="AR323" s="59"/>
      <c r="AS323" s="59"/>
      <c r="AT323" s="59"/>
      <c r="AU323" s="59"/>
      <c r="AV323" s="59"/>
      <c r="AW323" s="59"/>
      <c r="AX323" s="59"/>
      <c r="AY323" s="59"/>
      <c r="AZ323" s="59"/>
      <c r="BA323" s="59"/>
      <c r="BB323" s="59"/>
    </row>
    <row r="324" spans="1:54">
      <c r="A324" s="59"/>
      <c r="B324" s="59"/>
      <c r="C324" s="62"/>
      <c r="D324" s="59"/>
      <c r="E324" s="62"/>
      <c r="F324" s="59"/>
      <c r="G324" s="62"/>
      <c r="H324" s="59"/>
      <c r="I324" s="59"/>
      <c r="J324" s="59"/>
      <c r="K324" s="59"/>
      <c r="L324" s="62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  <c r="AI324" s="59"/>
      <c r="AJ324" s="59"/>
      <c r="AK324" s="59"/>
      <c r="AL324" s="59"/>
      <c r="AM324" s="59"/>
      <c r="AN324" s="59"/>
      <c r="AO324" s="59"/>
      <c r="AP324" s="59"/>
      <c r="AQ324" s="59"/>
      <c r="AR324" s="59"/>
      <c r="AS324" s="59"/>
      <c r="AT324" s="59"/>
      <c r="AU324" s="59"/>
      <c r="AV324" s="59"/>
      <c r="AW324" s="59"/>
      <c r="AX324" s="59"/>
      <c r="AY324" s="59"/>
      <c r="AZ324" s="59"/>
      <c r="BA324" s="59"/>
      <c r="BB324" s="59"/>
    </row>
    <row r="325" spans="1:54">
      <c r="A325" s="59"/>
      <c r="B325" s="59"/>
      <c r="C325" s="62"/>
      <c r="D325" s="59"/>
      <c r="E325" s="62"/>
      <c r="F325" s="59"/>
      <c r="G325" s="62"/>
      <c r="H325" s="59"/>
      <c r="I325" s="59"/>
      <c r="J325" s="59"/>
      <c r="K325" s="59"/>
      <c r="L325" s="62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59"/>
      <c r="AH325" s="59"/>
      <c r="AI325" s="59"/>
      <c r="AJ325" s="59"/>
      <c r="AK325" s="59"/>
      <c r="AL325" s="59"/>
      <c r="AM325" s="59"/>
      <c r="AN325" s="59"/>
      <c r="AO325" s="59"/>
      <c r="AP325" s="59"/>
      <c r="AQ325" s="59"/>
      <c r="AR325" s="59"/>
      <c r="AS325" s="59"/>
      <c r="AT325" s="59"/>
      <c r="AU325" s="59"/>
      <c r="AV325" s="59"/>
      <c r="AW325" s="59"/>
      <c r="AX325" s="59"/>
      <c r="AY325" s="59"/>
      <c r="AZ325" s="59"/>
      <c r="BA325" s="59"/>
      <c r="BB325" s="59"/>
    </row>
    <row r="326" spans="1:54">
      <c r="A326" s="59"/>
      <c r="B326" s="59"/>
      <c r="C326" s="62"/>
      <c r="D326" s="59"/>
      <c r="E326" s="62"/>
      <c r="F326" s="59"/>
      <c r="G326" s="62"/>
      <c r="H326" s="59"/>
      <c r="I326" s="59"/>
      <c r="J326" s="59"/>
      <c r="K326" s="59"/>
      <c r="L326" s="62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  <c r="AI326" s="59"/>
      <c r="AJ326" s="59"/>
      <c r="AK326" s="59"/>
      <c r="AL326" s="59"/>
      <c r="AM326" s="59"/>
      <c r="AN326" s="59"/>
      <c r="AO326" s="59"/>
      <c r="AP326" s="59"/>
      <c r="AQ326" s="59"/>
      <c r="AR326" s="59"/>
      <c r="AS326" s="59"/>
      <c r="AT326" s="59"/>
      <c r="AU326" s="59"/>
      <c r="AV326" s="59"/>
      <c r="AW326" s="59"/>
      <c r="AX326" s="59"/>
      <c r="AY326" s="59"/>
      <c r="AZ326" s="59"/>
      <c r="BA326" s="59"/>
      <c r="BB326" s="59"/>
    </row>
    <row r="327" spans="1:54">
      <c r="A327" s="59"/>
      <c r="B327" s="59"/>
      <c r="C327" s="62"/>
      <c r="D327" s="59"/>
      <c r="E327" s="62"/>
      <c r="F327" s="59"/>
      <c r="G327" s="62"/>
      <c r="H327" s="59"/>
      <c r="I327" s="59"/>
      <c r="J327" s="59"/>
      <c r="K327" s="59"/>
      <c r="L327" s="62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  <c r="AH327" s="59"/>
      <c r="AI327" s="59"/>
      <c r="AJ327" s="59"/>
      <c r="AK327" s="59"/>
      <c r="AL327" s="59"/>
      <c r="AM327" s="59"/>
      <c r="AN327" s="59"/>
      <c r="AO327" s="59"/>
      <c r="AP327" s="59"/>
      <c r="AQ327" s="59"/>
      <c r="AR327" s="59"/>
      <c r="AS327" s="59"/>
      <c r="AT327" s="59"/>
      <c r="AU327" s="59"/>
      <c r="AV327" s="59"/>
      <c r="AW327" s="59"/>
      <c r="AX327" s="59"/>
      <c r="AY327" s="59"/>
      <c r="AZ327" s="59"/>
      <c r="BA327" s="59"/>
      <c r="BB327" s="59"/>
    </row>
    <row r="328" spans="1:54">
      <c r="A328" s="59"/>
      <c r="B328" s="59"/>
      <c r="C328" s="62"/>
      <c r="D328" s="59"/>
      <c r="E328" s="62"/>
      <c r="F328" s="59"/>
      <c r="G328" s="62"/>
      <c r="H328" s="59"/>
      <c r="I328" s="59"/>
      <c r="J328" s="59"/>
      <c r="K328" s="59"/>
      <c r="L328" s="62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/>
      <c r="AH328" s="59"/>
      <c r="AI328" s="59"/>
      <c r="AJ328" s="59"/>
      <c r="AK328" s="59"/>
      <c r="AL328" s="59"/>
      <c r="AM328" s="59"/>
      <c r="AN328" s="59"/>
      <c r="AO328" s="59"/>
      <c r="AP328" s="59"/>
      <c r="AQ328" s="59"/>
      <c r="AR328" s="59"/>
      <c r="AS328" s="59"/>
      <c r="AT328" s="59"/>
      <c r="AU328" s="59"/>
      <c r="AV328" s="59"/>
      <c r="AW328" s="59"/>
      <c r="AX328" s="59"/>
      <c r="AY328" s="59"/>
      <c r="AZ328" s="59"/>
      <c r="BA328" s="59"/>
      <c r="BB328" s="59"/>
    </row>
    <row r="329" spans="1:54">
      <c r="A329" s="59"/>
      <c r="B329" s="59"/>
      <c r="C329" s="62"/>
      <c r="D329" s="59"/>
      <c r="E329" s="62"/>
      <c r="F329" s="59"/>
      <c r="G329" s="62"/>
      <c r="H329" s="59"/>
      <c r="I329" s="59"/>
      <c r="J329" s="59"/>
      <c r="K329" s="59"/>
      <c r="L329" s="62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  <c r="AI329" s="59"/>
      <c r="AJ329" s="59"/>
      <c r="AK329" s="59"/>
      <c r="AL329" s="59"/>
      <c r="AM329" s="59"/>
      <c r="AN329" s="59"/>
      <c r="AO329" s="59"/>
      <c r="AP329" s="59"/>
      <c r="AQ329" s="59"/>
      <c r="AR329" s="59"/>
      <c r="AS329" s="59"/>
      <c r="AT329" s="59"/>
      <c r="AU329" s="59"/>
      <c r="AV329" s="59"/>
      <c r="AW329" s="59"/>
      <c r="AX329" s="59"/>
      <c r="AY329" s="59"/>
      <c r="AZ329" s="59"/>
      <c r="BA329" s="59"/>
      <c r="BB329" s="59"/>
    </row>
    <row r="330" spans="1:54">
      <c r="A330" s="59"/>
      <c r="B330" s="59"/>
      <c r="C330" s="62"/>
      <c r="D330" s="59"/>
      <c r="E330" s="62"/>
      <c r="F330" s="59"/>
      <c r="G330" s="62"/>
      <c r="H330" s="59"/>
      <c r="I330" s="59"/>
      <c r="J330" s="59"/>
      <c r="K330" s="59"/>
      <c r="L330" s="62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  <c r="AH330" s="59"/>
      <c r="AI330" s="59"/>
      <c r="AJ330" s="59"/>
      <c r="AK330" s="59"/>
      <c r="AL330" s="59"/>
      <c r="AM330" s="59"/>
      <c r="AN330" s="59"/>
      <c r="AO330" s="59"/>
      <c r="AP330" s="59"/>
      <c r="AQ330" s="59"/>
      <c r="AR330" s="59"/>
      <c r="AS330" s="59"/>
      <c r="AT330" s="59"/>
      <c r="AU330" s="59"/>
      <c r="AV330" s="59"/>
      <c r="AW330" s="59"/>
      <c r="AX330" s="59"/>
      <c r="AY330" s="59"/>
      <c r="AZ330" s="59"/>
      <c r="BA330" s="59"/>
      <c r="BB330" s="59"/>
    </row>
    <row r="331" spans="1:54">
      <c r="A331" s="59"/>
      <c r="B331" s="59"/>
      <c r="C331" s="62"/>
      <c r="D331" s="59"/>
      <c r="E331" s="62"/>
      <c r="F331" s="59"/>
      <c r="G331" s="62"/>
      <c r="H331" s="59"/>
      <c r="I331" s="59"/>
      <c r="J331" s="59"/>
      <c r="K331" s="59"/>
      <c r="L331" s="62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  <c r="AI331" s="59"/>
      <c r="AJ331" s="59"/>
      <c r="AK331" s="59"/>
      <c r="AL331" s="59"/>
      <c r="AM331" s="59"/>
      <c r="AN331" s="59"/>
      <c r="AO331" s="59"/>
      <c r="AP331" s="59"/>
      <c r="AQ331" s="59"/>
      <c r="AR331" s="59"/>
      <c r="AS331" s="59"/>
      <c r="AT331" s="59"/>
      <c r="AU331" s="59"/>
      <c r="AV331" s="59"/>
      <c r="AW331" s="59"/>
      <c r="AX331" s="59"/>
      <c r="AY331" s="59"/>
      <c r="AZ331" s="59"/>
      <c r="BA331" s="59"/>
      <c r="BB331" s="59"/>
    </row>
    <row r="332" spans="1:54">
      <c r="A332" s="59"/>
      <c r="B332" s="59"/>
      <c r="C332" s="62"/>
      <c r="D332" s="59"/>
      <c r="E332" s="62"/>
      <c r="F332" s="59"/>
      <c r="G332" s="62"/>
      <c r="H332" s="59"/>
      <c r="I332" s="59"/>
      <c r="J332" s="59"/>
      <c r="K332" s="59"/>
      <c r="L332" s="62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  <c r="AH332" s="59"/>
      <c r="AI332" s="59"/>
      <c r="AJ332" s="59"/>
      <c r="AK332" s="59"/>
      <c r="AL332" s="59"/>
      <c r="AM332" s="59"/>
      <c r="AN332" s="59"/>
      <c r="AO332" s="59"/>
      <c r="AP332" s="59"/>
      <c r="AQ332" s="59"/>
      <c r="AR332" s="59"/>
      <c r="AS332" s="59"/>
      <c r="AT332" s="59"/>
      <c r="AU332" s="59"/>
      <c r="AV332" s="59"/>
      <c r="AW332" s="59"/>
      <c r="AX332" s="59"/>
      <c r="AY332" s="59"/>
      <c r="AZ332" s="59"/>
      <c r="BA332" s="59"/>
      <c r="BB332" s="59"/>
    </row>
    <row r="333" spans="1:54">
      <c r="A333" s="59"/>
      <c r="B333" s="59"/>
      <c r="C333" s="62"/>
      <c r="D333" s="59"/>
      <c r="E333" s="62"/>
      <c r="F333" s="59"/>
      <c r="G333" s="62"/>
      <c r="H333" s="59"/>
      <c r="I333" s="59"/>
      <c r="J333" s="59"/>
      <c r="K333" s="59"/>
      <c r="L333" s="62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59"/>
      <c r="AI333" s="59"/>
      <c r="AJ333" s="59"/>
      <c r="AK333" s="59"/>
      <c r="AL333" s="59"/>
      <c r="AM333" s="59"/>
      <c r="AN333" s="59"/>
      <c r="AO333" s="59"/>
      <c r="AP333" s="59"/>
      <c r="AQ333" s="59"/>
      <c r="AR333" s="59"/>
      <c r="AS333" s="59"/>
      <c r="AT333" s="59"/>
      <c r="AU333" s="59"/>
      <c r="AV333" s="59"/>
      <c r="AW333" s="59"/>
      <c r="AX333" s="59"/>
      <c r="AY333" s="59"/>
      <c r="AZ333" s="59"/>
      <c r="BA333" s="59"/>
      <c r="BB333" s="59"/>
    </row>
    <row r="334" spans="1:54">
      <c r="A334" s="59"/>
      <c r="B334" s="59"/>
      <c r="C334" s="62"/>
      <c r="D334" s="59"/>
      <c r="E334" s="62"/>
      <c r="F334" s="59"/>
      <c r="G334" s="62"/>
      <c r="H334" s="59"/>
      <c r="I334" s="59"/>
      <c r="J334" s="59"/>
      <c r="K334" s="59"/>
      <c r="L334" s="62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  <c r="AI334" s="59"/>
      <c r="AJ334" s="59"/>
      <c r="AK334" s="59"/>
      <c r="AL334" s="59"/>
      <c r="AM334" s="59"/>
      <c r="AN334" s="59"/>
      <c r="AO334" s="59"/>
      <c r="AP334" s="59"/>
      <c r="AQ334" s="59"/>
      <c r="AR334" s="59"/>
      <c r="AS334" s="59"/>
      <c r="AT334" s="59"/>
      <c r="AU334" s="59"/>
      <c r="AV334" s="59"/>
      <c r="AW334" s="59"/>
      <c r="AX334" s="59"/>
      <c r="AY334" s="59"/>
      <c r="AZ334" s="59"/>
      <c r="BA334" s="59"/>
      <c r="BB334" s="59"/>
    </row>
    <row r="335" spans="1:54">
      <c r="A335" s="59"/>
      <c r="B335" s="59"/>
      <c r="C335" s="62"/>
      <c r="D335" s="59"/>
      <c r="E335" s="62"/>
      <c r="F335" s="59"/>
      <c r="G335" s="62"/>
      <c r="H335" s="59"/>
      <c r="I335" s="59"/>
      <c r="J335" s="59"/>
      <c r="K335" s="59"/>
      <c r="L335" s="62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  <c r="AH335" s="59"/>
      <c r="AI335" s="59"/>
      <c r="AJ335" s="59"/>
      <c r="AK335" s="59"/>
      <c r="AL335" s="59"/>
      <c r="AM335" s="59"/>
      <c r="AN335" s="59"/>
      <c r="AO335" s="59"/>
      <c r="AP335" s="59"/>
      <c r="AQ335" s="59"/>
      <c r="AR335" s="59"/>
      <c r="AS335" s="59"/>
      <c r="AT335" s="59"/>
      <c r="AU335" s="59"/>
      <c r="AV335" s="59"/>
      <c r="AW335" s="59"/>
      <c r="AX335" s="59"/>
      <c r="AY335" s="59"/>
      <c r="AZ335" s="59"/>
      <c r="BA335" s="59"/>
      <c r="BB335" s="59"/>
    </row>
    <row r="336" spans="1:54">
      <c r="A336" s="59"/>
      <c r="B336" s="59"/>
      <c r="C336" s="62"/>
      <c r="D336" s="59"/>
      <c r="E336" s="62"/>
      <c r="F336" s="59"/>
      <c r="G336" s="62"/>
      <c r="H336" s="59"/>
      <c r="I336" s="59"/>
      <c r="J336" s="59"/>
      <c r="K336" s="59"/>
      <c r="L336" s="62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  <c r="AF336" s="59"/>
      <c r="AG336" s="59"/>
      <c r="AH336" s="59"/>
      <c r="AI336" s="59"/>
      <c r="AJ336" s="59"/>
      <c r="AK336" s="59"/>
      <c r="AL336" s="59"/>
      <c r="AM336" s="59"/>
      <c r="AN336" s="59"/>
      <c r="AO336" s="59"/>
      <c r="AP336" s="59"/>
      <c r="AQ336" s="59"/>
      <c r="AR336" s="59"/>
      <c r="AS336" s="59"/>
      <c r="AT336" s="59"/>
      <c r="AU336" s="59"/>
      <c r="AV336" s="59"/>
      <c r="AW336" s="59"/>
      <c r="AX336" s="59"/>
      <c r="AY336" s="59"/>
      <c r="AZ336" s="59"/>
      <c r="BA336" s="59"/>
      <c r="BB336" s="59"/>
    </row>
    <row r="337" spans="1:54">
      <c r="A337" s="59"/>
      <c r="B337" s="59"/>
      <c r="C337" s="62"/>
      <c r="D337" s="59"/>
      <c r="E337" s="62"/>
      <c r="F337" s="59"/>
      <c r="G337" s="62"/>
      <c r="H337" s="59"/>
      <c r="I337" s="59"/>
      <c r="J337" s="59"/>
      <c r="K337" s="59"/>
      <c r="L337" s="62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  <c r="AJ337" s="59"/>
      <c r="AK337" s="59"/>
      <c r="AL337" s="59"/>
      <c r="AM337" s="59"/>
      <c r="AN337" s="59"/>
      <c r="AO337" s="59"/>
      <c r="AP337" s="59"/>
      <c r="AQ337" s="59"/>
      <c r="AR337" s="59"/>
      <c r="AS337" s="59"/>
      <c r="AT337" s="59"/>
      <c r="AU337" s="59"/>
      <c r="AV337" s="59"/>
      <c r="AW337" s="59"/>
      <c r="AX337" s="59"/>
      <c r="AY337" s="59"/>
      <c r="AZ337" s="59"/>
      <c r="BA337" s="59"/>
      <c r="BB337" s="59"/>
    </row>
    <row r="338" spans="1:54">
      <c r="A338" s="59"/>
      <c r="B338" s="59"/>
      <c r="C338" s="62"/>
      <c r="D338" s="59"/>
      <c r="E338" s="62"/>
      <c r="F338" s="59"/>
      <c r="G338" s="62"/>
      <c r="H338" s="59"/>
      <c r="I338" s="59"/>
      <c r="J338" s="59"/>
      <c r="K338" s="59"/>
      <c r="L338" s="62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  <c r="AI338" s="59"/>
      <c r="AJ338" s="59"/>
      <c r="AK338" s="59"/>
      <c r="AL338" s="59"/>
      <c r="AM338" s="59"/>
      <c r="AN338" s="59"/>
      <c r="AO338" s="59"/>
      <c r="AP338" s="59"/>
      <c r="AQ338" s="59"/>
      <c r="AR338" s="59"/>
      <c r="AS338" s="59"/>
      <c r="AT338" s="59"/>
      <c r="AU338" s="59"/>
      <c r="AV338" s="59"/>
      <c r="AW338" s="59"/>
      <c r="AX338" s="59"/>
      <c r="AY338" s="59"/>
      <c r="AZ338" s="59"/>
      <c r="BA338" s="59"/>
      <c r="BB338" s="59"/>
    </row>
    <row r="339" spans="1:54">
      <c r="A339" s="59"/>
      <c r="B339" s="59"/>
      <c r="C339" s="62"/>
      <c r="D339" s="59"/>
      <c r="E339" s="62"/>
      <c r="F339" s="59"/>
      <c r="G339" s="62"/>
      <c r="H339" s="59"/>
      <c r="I339" s="59"/>
      <c r="J339" s="59"/>
      <c r="K339" s="59"/>
      <c r="L339" s="62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  <c r="AH339" s="59"/>
      <c r="AI339" s="59"/>
      <c r="AJ339" s="59"/>
      <c r="AK339" s="59"/>
      <c r="AL339" s="59"/>
      <c r="AM339" s="59"/>
      <c r="AN339" s="59"/>
      <c r="AO339" s="59"/>
      <c r="AP339" s="59"/>
      <c r="AQ339" s="59"/>
      <c r="AR339" s="59"/>
      <c r="AS339" s="59"/>
      <c r="AT339" s="59"/>
      <c r="AU339" s="59"/>
      <c r="AV339" s="59"/>
      <c r="AW339" s="59"/>
      <c r="AX339" s="59"/>
      <c r="AY339" s="59"/>
      <c r="AZ339" s="59"/>
      <c r="BA339" s="59"/>
      <c r="BB339" s="59"/>
    </row>
    <row r="340" spans="1:54">
      <c r="A340" s="59"/>
      <c r="B340" s="59"/>
      <c r="C340" s="62"/>
      <c r="D340" s="59"/>
      <c r="E340" s="62"/>
      <c r="F340" s="59"/>
      <c r="G340" s="62"/>
      <c r="H340" s="59"/>
      <c r="I340" s="59"/>
      <c r="J340" s="59"/>
      <c r="K340" s="59"/>
      <c r="L340" s="62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  <c r="AH340" s="59"/>
      <c r="AI340" s="59"/>
      <c r="AJ340" s="59"/>
      <c r="AK340" s="59"/>
      <c r="AL340" s="59"/>
      <c r="AM340" s="59"/>
      <c r="AN340" s="59"/>
      <c r="AO340" s="59"/>
      <c r="AP340" s="59"/>
      <c r="AQ340" s="59"/>
      <c r="AR340" s="59"/>
      <c r="AS340" s="59"/>
      <c r="AT340" s="59"/>
      <c r="AU340" s="59"/>
      <c r="AV340" s="59"/>
      <c r="AW340" s="59"/>
      <c r="AX340" s="59"/>
      <c r="AY340" s="59"/>
      <c r="AZ340" s="59"/>
      <c r="BA340" s="59"/>
      <c r="BB340" s="59"/>
    </row>
    <row r="341" spans="1:54">
      <c r="A341" s="59"/>
      <c r="B341" s="59"/>
      <c r="C341" s="62"/>
      <c r="D341" s="59"/>
      <c r="E341" s="62"/>
      <c r="F341" s="59"/>
      <c r="G341" s="62"/>
      <c r="H341" s="59"/>
      <c r="I341" s="59"/>
      <c r="J341" s="59"/>
      <c r="K341" s="59"/>
      <c r="L341" s="62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  <c r="AH341" s="59"/>
      <c r="AI341" s="59"/>
      <c r="AJ341" s="59"/>
      <c r="AK341" s="59"/>
      <c r="AL341" s="59"/>
      <c r="AM341" s="59"/>
      <c r="AN341" s="59"/>
      <c r="AO341" s="59"/>
      <c r="AP341" s="59"/>
      <c r="AQ341" s="59"/>
      <c r="AR341" s="59"/>
      <c r="AS341" s="59"/>
      <c r="AT341" s="59"/>
      <c r="AU341" s="59"/>
      <c r="AV341" s="59"/>
      <c r="AW341" s="59"/>
      <c r="AX341" s="59"/>
      <c r="AY341" s="59"/>
      <c r="AZ341" s="59"/>
      <c r="BA341" s="59"/>
      <c r="BB341" s="59"/>
    </row>
    <row r="342" spans="1:54">
      <c r="A342" s="59"/>
      <c r="B342" s="59"/>
      <c r="C342" s="62"/>
      <c r="D342" s="59"/>
      <c r="E342" s="62"/>
      <c r="F342" s="59"/>
      <c r="G342" s="62"/>
      <c r="H342" s="59"/>
      <c r="I342" s="59"/>
      <c r="J342" s="59"/>
      <c r="K342" s="59"/>
      <c r="L342" s="62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  <c r="AF342" s="59"/>
      <c r="AG342" s="59"/>
      <c r="AH342" s="59"/>
      <c r="AI342" s="59"/>
      <c r="AJ342" s="59"/>
      <c r="AK342" s="59"/>
      <c r="AL342" s="59"/>
      <c r="AM342" s="59"/>
      <c r="AN342" s="59"/>
      <c r="AO342" s="59"/>
      <c r="AP342" s="59"/>
      <c r="AQ342" s="59"/>
      <c r="AR342" s="59"/>
      <c r="AS342" s="59"/>
      <c r="AT342" s="59"/>
      <c r="AU342" s="59"/>
      <c r="AV342" s="59"/>
      <c r="AW342" s="59"/>
      <c r="AX342" s="59"/>
      <c r="AY342" s="59"/>
      <c r="AZ342" s="59"/>
      <c r="BA342" s="59"/>
      <c r="BB342" s="59"/>
    </row>
    <row r="343" spans="1:54">
      <c r="A343" s="59"/>
      <c r="B343" s="59"/>
      <c r="C343" s="62"/>
      <c r="D343" s="59"/>
      <c r="E343" s="62"/>
      <c r="F343" s="59"/>
      <c r="G343" s="62"/>
      <c r="H343" s="59"/>
      <c r="I343" s="59"/>
      <c r="J343" s="59"/>
      <c r="K343" s="59"/>
      <c r="L343" s="62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  <c r="AI343" s="59"/>
      <c r="AJ343" s="59"/>
      <c r="AK343" s="59"/>
      <c r="AL343" s="59"/>
      <c r="AM343" s="59"/>
      <c r="AN343" s="59"/>
      <c r="AO343" s="59"/>
      <c r="AP343" s="59"/>
      <c r="AQ343" s="59"/>
      <c r="AR343" s="59"/>
      <c r="AS343" s="59"/>
      <c r="AT343" s="59"/>
      <c r="AU343" s="59"/>
      <c r="AV343" s="59"/>
      <c r="AW343" s="59"/>
      <c r="AX343" s="59"/>
      <c r="AY343" s="59"/>
      <c r="AZ343" s="59"/>
      <c r="BA343" s="59"/>
      <c r="BB343" s="59"/>
    </row>
    <row r="344" spans="1:54">
      <c r="A344" s="59"/>
      <c r="B344" s="59"/>
      <c r="C344" s="62"/>
      <c r="D344" s="59"/>
      <c r="E344" s="62"/>
      <c r="F344" s="59"/>
      <c r="G344" s="62"/>
      <c r="H344" s="59"/>
      <c r="I344" s="59"/>
      <c r="J344" s="59"/>
      <c r="K344" s="59"/>
      <c r="L344" s="62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  <c r="AH344" s="59"/>
      <c r="AI344" s="59"/>
      <c r="AJ344" s="59"/>
      <c r="AK344" s="59"/>
      <c r="AL344" s="59"/>
      <c r="AM344" s="59"/>
      <c r="AN344" s="59"/>
      <c r="AO344" s="59"/>
      <c r="AP344" s="59"/>
      <c r="AQ344" s="59"/>
      <c r="AR344" s="59"/>
      <c r="AS344" s="59"/>
      <c r="AT344" s="59"/>
      <c r="AU344" s="59"/>
      <c r="AV344" s="59"/>
      <c r="AW344" s="59"/>
      <c r="AX344" s="59"/>
      <c r="AY344" s="59"/>
      <c r="AZ344" s="59"/>
      <c r="BA344" s="59"/>
      <c r="BB344" s="59"/>
    </row>
    <row r="345" spans="1:54">
      <c r="A345" s="59"/>
      <c r="B345" s="59"/>
      <c r="C345" s="62"/>
      <c r="D345" s="59"/>
      <c r="E345" s="62"/>
      <c r="F345" s="59"/>
      <c r="G345" s="62"/>
      <c r="H345" s="59"/>
      <c r="I345" s="59"/>
      <c r="J345" s="59"/>
      <c r="K345" s="59"/>
      <c r="L345" s="62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  <c r="AI345" s="59"/>
      <c r="AJ345" s="59"/>
      <c r="AK345" s="59"/>
      <c r="AL345" s="59"/>
      <c r="AM345" s="59"/>
      <c r="AN345" s="59"/>
      <c r="AO345" s="59"/>
      <c r="AP345" s="59"/>
      <c r="AQ345" s="59"/>
      <c r="AR345" s="59"/>
      <c r="AS345" s="59"/>
      <c r="AT345" s="59"/>
      <c r="AU345" s="59"/>
      <c r="AV345" s="59"/>
      <c r="AW345" s="59"/>
      <c r="AX345" s="59"/>
      <c r="AY345" s="59"/>
      <c r="AZ345" s="59"/>
      <c r="BA345" s="59"/>
      <c r="BB345" s="59"/>
    </row>
    <row r="346" spans="1:54">
      <c r="A346" s="59"/>
      <c r="B346" s="59"/>
      <c r="C346" s="62"/>
      <c r="D346" s="59"/>
      <c r="E346" s="62"/>
      <c r="F346" s="59"/>
      <c r="G346" s="62"/>
      <c r="H346" s="59"/>
      <c r="I346" s="59"/>
      <c r="J346" s="59"/>
      <c r="K346" s="59"/>
      <c r="L346" s="62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  <c r="AF346" s="59"/>
      <c r="AG346" s="59"/>
      <c r="AH346" s="59"/>
      <c r="AI346" s="59"/>
      <c r="AJ346" s="59"/>
      <c r="AK346" s="59"/>
      <c r="AL346" s="59"/>
      <c r="AM346" s="59"/>
      <c r="AN346" s="59"/>
      <c r="AO346" s="59"/>
      <c r="AP346" s="59"/>
      <c r="AQ346" s="59"/>
      <c r="AR346" s="59"/>
      <c r="AS346" s="59"/>
      <c r="AT346" s="59"/>
      <c r="AU346" s="59"/>
      <c r="AV346" s="59"/>
      <c r="AW346" s="59"/>
      <c r="AX346" s="59"/>
      <c r="AY346" s="59"/>
      <c r="AZ346" s="59"/>
      <c r="BA346" s="59"/>
      <c r="BB346" s="59"/>
    </row>
    <row r="347" spans="1:54">
      <c r="A347" s="59"/>
      <c r="B347" s="59"/>
      <c r="C347" s="62"/>
      <c r="D347" s="59"/>
      <c r="E347" s="62"/>
      <c r="F347" s="59"/>
      <c r="G347" s="62"/>
      <c r="H347" s="59"/>
      <c r="I347" s="59"/>
      <c r="J347" s="59"/>
      <c r="K347" s="59"/>
      <c r="L347" s="62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  <c r="AI347" s="59"/>
      <c r="AJ347" s="59"/>
      <c r="AK347" s="59"/>
      <c r="AL347" s="59"/>
      <c r="AM347" s="59"/>
      <c r="AN347" s="59"/>
      <c r="AO347" s="59"/>
      <c r="AP347" s="59"/>
      <c r="AQ347" s="59"/>
      <c r="AR347" s="59"/>
      <c r="AS347" s="59"/>
      <c r="AT347" s="59"/>
      <c r="AU347" s="59"/>
      <c r="AV347" s="59"/>
      <c r="AW347" s="59"/>
      <c r="AX347" s="59"/>
      <c r="AY347" s="59"/>
      <c r="AZ347" s="59"/>
      <c r="BA347" s="59"/>
      <c r="BB347" s="59"/>
    </row>
    <row r="348" spans="1:54">
      <c r="A348" s="59"/>
      <c r="B348" s="59"/>
      <c r="C348" s="62"/>
      <c r="D348" s="59"/>
      <c r="E348" s="62"/>
      <c r="F348" s="59"/>
      <c r="G348" s="62"/>
      <c r="H348" s="59"/>
      <c r="I348" s="59"/>
      <c r="J348" s="59"/>
      <c r="K348" s="59"/>
      <c r="L348" s="62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  <c r="AI348" s="59"/>
      <c r="AJ348" s="59"/>
      <c r="AK348" s="59"/>
      <c r="AL348" s="59"/>
      <c r="AM348" s="59"/>
      <c r="AN348" s="59"/>
      <c r="AO348" s="59"/>
      <c r="AP348" s="59"/>
      <c r="AQ348" s="59"/>
      <c r="AR348" s="59"/>
      <c r="AS348" s="59"/>
      <c r="AT348" s="59"/>
      <c r="AU348" s="59"/>
      <c r="AV348" s="59"/>
      <c r="AW348" s="59"/>
      <c r="AX348" s="59"/>
      <c r="AY348" s="59"/>
      <c r="AZ348" s="59"/>
      <c r="BA348" s="59"/>
      <c r="BB348" s="59"/>
    </row>
    <row r="349" spans="1:54">
      <c r="A349" s="59"/>
      <c r="B349" s="59"/>
      <c r="C349" s="62"/>
      <c r="D349" s="59"/>
      <c r="E349" s="62"/>
      <c r="F349" s="59"/>
      <c r="G349" s="62"/>
      <c r="H349" s="59"/>
      <c r="I349" s="59"/>
      <c r="J349" s="59"/>
      <c r="K349" s="59"/>
      <c r="L349" s="62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  <c r="AI349" s="59"/>
      <c r="AJ349" s="59"/>
      <c r="AK349" s="59"/>
      <c r="AL349" s="59"/>
      <c r="AM349" s="59"/>
      <c r="AN349" s="59"/>
      <c r="AO349" s="59"/>
      <c r="AP349" s="59"/>
      <c r="AQ349" s="59"/>
      <c r="AR349" s="59"/>
      <c r="AS349" s="59"/>
      <c r="AT349" s="59"/>
      <c r="AU349" s="59"/>
      <c r="AV349" s="59"/>
      <c r="AW349" s="59"/>
      <c r="AX349" s="59"/>
      <c r="AY349" s="59"/>
      <c r="AZ349" s="59"/>
      <c r="BA349" s="59"/>
      <c r="BB349" s="59"/>
    </row>
    <row r="350" spans="1:54">
      <c r="A350" s="59"/>
      <c r="B350" s="59"/>
      <c r="C350" s="62"/>
      <c r="D350" s="59"/>
      <c r="E350" s="62"/>
      <c r="F350" s="59"/>
      <c r="G350" s="62"/>
      <c r="H350" s="59"/>
      <c r="I350" s="59"/>
      <c r="J350" s="59"/>
      <c r="K350" s="59"/>
      <c r="L350" s="62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  <c r="AH350" s="59"/>
      <c r="AI350" s="59"/>
      <c r="AJ350" s="59"/>
      <c r="AK350" s="59"/>
      <c r="AL350" s="59"/>
      <c r="AM350" s="59"/>
      <c r="AN350" s="59"/>
      <c r="AO350" s="59"/>
      <c r="AP350" s="59"/>
      <c r="AQ350" s="59"/>
      <c r="AR350" s="59"/>
      <c r="AS350" s="59"/>
      <c r="AT350" s="59"/>
      <c r="AU350" s="59"/>
      <c r="AV350" s="59"/>
      <c r="AW350" s="59"/>
      <c r="AX350" s="59"/>
      <c r="AY350" s="59"/>
      <c r="AZ350" s="59"/>
      <c r="BA350" s="59"/>
      <c r="BB350" s="59"/>
    </row>
    <row r="351" spans="1:54">
      <c r="A351" s="59"/>
      <c r="B351" s="59"/>
      <c r="C351" s="62"/>
      <c r="D351" s="59"/>
      <c r="E351" s="62"/>
      <c r="F351" s="59"/>
      <c r="G351" s="62"/>
      <c r="H351" s="59"/>
      <c r="I351" s="59"/>
      <c r="J351" s="59"/>
      <c r="K351" s="59"/>
      <c r="L351" s="62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  <c r="AI351" s="59"/>
      <c r="AJ351" s="59"/>
      <c r="AK351" s="59"/>
      <c r="AL351" s="59"/>
      <c r="AM351" s="59"/>
      <c r="AN351" s="59"/>
      <c r="AO351" s="59"/>
      <c r="AP351" s="59"/>
      <c r="AQ351" s="59"/>
      <c r="AR351" s="59"/>
      <c r="AS351" s="59"/>
      <c r="AT351" s="59"/>
      <c r="AU351" s="59"/>
      <c r="AV351" s="59"/>
      <c r="AW351" s="59"/>
      <c r="AX351" s="59"/>
      <c r="AY351" s="59"/>
      <c r="AZ351" s="59"/>
      <c r="BA351" s="59"/>
      <c r="BB351" s="59"/>
    </row>
    <row r="352" spans="1:54">
      <c r="A352" s="59"/>
      <c r="B352" s="59"/>
      <c r="C352" s="62"/>
      <c r="D352" s="59"/>
      <c r="E352" s="62"/>
      <c r="F352" s="59"/>
      <c r="G352" s="62"/>
      <c r="H352" s="59"/>
      <c r="I352" s="59"/>
      <c r="J352" s="59"/>
      <c r="K352" s="59"/>
      <c r="L352" s="62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  <c r="AI352" s="59"/>
      <c r="AJ352" s="59"/>
      <c r="AK352" s="59"/>
      <c r="AL352" s="59"/>
      <c r="AM352" s="59"/>
      <c r="AN352" s="59"/>
      <c r="AO352" s="59"/>
      <c r="AP352" s="59"/>
      <c r="AQ352" s="59"/>
      <c r="AR352" s="59"/>
      <c r="AS352" s="59"/>
      <c r="AT352" s="59"/>
      <c r="AU352" s="59"/>
      <c r="AV352" s="59"/>
      <c r="AW352" s="59"/>
      <c r="AX352" s="59"/>
      <c r="AY352" s="59"/>
      <c r="AZ352" s="59"/>
      <c r="BA352" s="59"/>
      <c r="BB352" s="59"/>
    </row>
    <row r="353" spans="1:54">
      <c r="A353" s="59"/>
      <c r="B353" s="59"/>
      <c r="C353" s="62"/>
      <c r="D353" s="59"/>
      <c r="E353" s="62"/>
      <c r="F353" s="59"/>
      <c r="G353" s="62"/>
      <c r="H353" s="59"/>
      <c r="I353" s="59"/>
      <c r="J353" s="59"/>
      <c r="K353" s="59"/>
      <c r="L353" s="62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  <c r="AI353" s="59"/>
      <c r="AJ353" s="59"/>
      <c r="AK353" s="59"/>
      <c r="AL353" s="59"/>
      <c r="AM353" s="59"/>
      <c r="AN353" s="59"/>
      <c r="AO353" s="59"/>
      <c r="AP353" s="59"/>
      <c r="AQ353" s="59"/>
      <c r="AR353" s="59"/>
      <c r="AS353" s="59"/>
      <c r="AT353" s="59"/>
      <c r="AU353" s="59"/>
      <c r="AV353" s="59"/>
      <c r="AW353" s="59"/>
      <c r="AX353" s="59"/>
      <c r="AY353" s="59"/>
      <c r="AZ353" s="59"/>
      <c r="BA353" s="59"/>
      <c r="BB353" s="59"/>
    </row>
    <row r="354" spans="1:54">
      <c r="A354" s="59"/>
      <c r="B354" s="59"/>
      <c r="C354" s="62"/>
      <c r="D354" s="59"/>
      <c r="E354" s="62"/>
      <c r="F354" s="59"/>
      <c r="G354" s="62"/>
      <c r="H354" s="59"/>
      <c r="I354" s="59"/>
      <c r="J354" s="59"/>
      <c r="K354" s="59"/>
      <c r="L354" s="62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59"/>
      <c r="AI354" s="59"/>
      <c r="AJ354" s="59"/>
      <c r="AK354" s="59"/>
      <c r="AL354" s="59"/>
      <c r="AM354" s="59"/>
      <c r="AN354" s="59"/>
      <c r="AO354" s="59"/>
      <c r="AP354" s="59"/>
      <c r="AQ354" s="59"/>
      <c r="AR354" s="59"/>
      <c r="AS354" s="59"/>
      <c r="AT354" s="59"/>
      <c r="AU354" s="59"/>
      <c r="AV354" s="59"/>
      <c r="AW354" s="59"/>
      <c r="AX354" s="59"/>
      <c r="AY354" s="59"/>
      <c r="AZ354" s="59"/>
      <c r="BA354" s="59"/>
      <c r="BB354" s="59"/>
    </row>
    <row r="355" spans="1:54">
      <c r="A355" s="59"/>
      <c r="B355" s="59"/>
      <c r="C355" s="62"/>
      <c r="D355" s="59"/>
      <c r="E355" s="62"/>
      <c r="F355" s="59"/>
      <c r="G355" s="62"/>
      <c r="H355" s="59"/>
      <c r="I355" s="59"/>
      <c r="J355" s="59"/>
      <c r="K355" s="59"/>
      <c r="L355" s="62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59"/>
      <c r="AI355" s="59"/>
      <c r="AJ355" s="59"/>
      <c r="AK355" s="59"/>
      <c r="AL355" s="59"/>
      <c r="AM355" s="59"/>
      <c r="AN355" s="59"/>
      <c r="AO355" s="59"/>
      <c r="AP355" s="59"/>
      <c r="AQ355" s="59"/>
      <c r="AR355" s="59"/>
      <c r="AS355" s="59"/>
      <c r="AT355" s="59"/>
      <c r="AU355" s="59"/>
      <c r="AV355" s="59"/>
      <c r="AW355" s="59"/>
      <c r="AX355" s="59"/>
      <c r="AY355" s="59"/>
      <c r="AZ355" s="59"/>
      <c r="BA355" s="59"/>
      <c r="BB355" s="59"/>
    </row>
    <row r="356" spans="1:54">
      <c r="A356" s="59"/>
      <c r="B356" s="59"/>
      <c r="C356" s="62"/>
      <c r="D356" s="59"/>
      <c r="E356" s="62"/>
      <c r="F356" s="59"/>
      <c r="G356" s="62"/>
      <c r="H356" s="59"/>
      <c r="I356" s="59"/>
      <c r="J356" s="59"/>
      <c r="K356" s="59"/>
      <c r="L356" s="62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  <c r="AI356" s="59"/>
      <c r="AJ356" s="59"/>
      <c r="AK356" s="59"/>
      <c r="AL356" s="59"/>
      <c r="AM356" s="59"/>
      <c r="AN356" s="59"/>
      <c r="AO356" s="59"/>
      <c r="AP356" s="59"/>
      <c r="AQ356" s="59"/>
      <c r="AR356" s="59"/>
      <c r="AS356" s="59"/>
      <c r="AT356" s="59"/>
      <c r="AU356" s="59"/>
      <c r="AV356" s="59"/>
      <c r="AW356" s="59"/>
      <c r="AX356" s="59"/>
      <c r="AY356" s="59"/>
      <c r="AZ356" s="59"/>
      <c r="BA356" s="59"/>
      <c r="BB356" s="59"/>
    </row>
    <row r="357" spans="1:54">
      <c r="A357" s="59"/>
      <c r="B357" s="59"/>
      <c r="C357" s="62"/>
      <c r="D357" s="59"/>
      <c r="E357" s="62"/>
      <c r="F357" s="59"/>
      <c r="G357" s="62"/>
      <c r="H357" s="59"/>
      <c r="I357" s="59"/>
      <c r="J357" s="59"/>
      <c r="K357" s="59"/>
      <c r="L357" s="62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  <c r="AI357" s="59"/>
      <c r="AJ357" s="59"/>
      <c r="AK357" s="59"/>
      <c r="AL357" s="59"/>
      <c r="AM357" s="59"/>
      <c r="AN357" s="59"/>
      <c r="AO357" s="59"/>
      <c r="AP357" s="59"/>
      <c r="AQ357" s="59"/>
      <c r="AR357" s="59"/>
      <c r="AS357" s="59"/>
      <c r="AT357" s="59"/>
      <c r="AU357" s="59"/>
      <c r="AV357" s="59"/>
      <c r="AW357" s="59"/>
      <c r="AX357" s="59"/>
      <c r="AY357" s="59"/>
      <c r="AZ357" s="59"/>
      <c r="BA357" s="59"/>
      <c r="BB357" s="59"/>
    </row>
    <row r="358" spans="1:54">
      <c r="A358" s="59"/>
      <c r="B358" s="59"/>
      <c r="C358" s="62"/>
      <c r="D358" s="59"/>
      <c r="E358" s="62"/>
      <c r="F358" s="59"/>
      <c r="G358" s="62"/>
      <c r="H358" s="59"/>
      <c r="I358" s="59"/>
      <c r="J358" s="59"/>
      <c r="K358" s="59"/>
      <c r="L358" s="62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  <c r="AH358" s="59"/>
      <c r="AI358" s="59"/>
      <c r="AJ358" s="59"/>
      <c r="AK358" s="59"/>
      <c r="AL358" s="59"/>
      <c r="AM358" s="59"/>
      <c r="AN358" s="59"/>
      <c r="AO358" s="59"/>
      <c r="AP358" s="59"/>
      <c r="AQ358" s="59"/>
      <c r="AR358" s="59"/>
      <c r="AS358" s="59"/>
      <c r="AT358" s="59"/>
      <c r="AU358" s="59"/>
      <c r="AV358" s="59"/>
      <c r="AW358" s="59"/>
      <c r="AX358" s="59"/>
      <c r="AY358" s="59"/>
      <c r="AZ358" s="59"/>
      <c r="BA358" s="59"/>
      <c r="BB358" s="59"/>
    </row>
    <row r="359" spans="1:54">
      <c r="A359" s="59"/>
      <c r="B359" s="59"/>
      <c r="C359" s="62"/>
      <c r="D359" s="59"/>
      <c r="E359" s="62"/>
      <c r="F359" s="59"/>
      <c r="G359" s="62"/>
      <c r="H359" s="59"/>
      <c r="I359" s="59"/>
      <c r="J359" s="59"/>
      <c r="K359" s="59"/>
      <c r="L359" s="62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59"/>
      <c r="AN359" s="59"/>
      <c r="AO359" s="59"/>
      <c r="AP359" s="59"/>
      <c r="AQ359" s="59"/>
      <c r="AR359" s="59"/>
      <c r="AS359" s="59"/>
      <c r="AT359" s="59"/>
      <c r="AU359" s="59"/>
      <c r="AV359" s="59"/>
      <c r="AW359" s="59"/>
      <c r="AX359" s="59"/>
      <c r="AY359" s="59"/>
      <c r="AZ359" s="59"/>
      <c r="BA359" s="59"/>
      <c r="BB359" s="59"/>
    </row>
    <row r="360" spans="1:54">
      <c r="A360" s="59"/>
      <c r="B360" s="59"/>
      <c r="C360" s="62"/>
      <c r="D360" s="59"/>
      <c r="E360" s="62"/>
      <c r="F360" s="59"/>
      <c r="G360" s="62"/>
      <c r="H360" s="59"/>
      <c r="I360" s="59"/>
      <c r="J360" s="59"/>
      <c r="K360" s="59"/>
      <c r="L360" s="62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59"/>
      <c r="AI360" s="59"/>
      <c r="AJ360" s="59"/>
      <c r="AK360" s="59"/>
      <c r="AL360" s="59"/>
      <c r="AM360" s="59"/>
      <c r="AN360" s="59"/>
      <c r="AO360" s="59"/>
      <c r="AP360" s="59"/>
      <c r="AQ360" s="59"/>
      <c r="AR360" s="59"/>
      <c r="AS360" s="59"/>
      <c r="AT360" s="59"/>
      <c r="AU360" s="59"/>
      <c r="AV360" s="59"/>
      <c r="AW360" s="59"/>
      <c r="AX360" s="59"/>
      <c r="AY360" s="59"/>
      <c r="AZ360" s="59"/>
      <c r="BA360" s="59"/>
      <c r="BB360" s="59"/>
    </row>
    <row r="361" spans="1:54">
      <c r="A361" s="59"/>
      <c r="B361" s="59"/>
      <c r="C361" s="62"/>
      <c r="D361" s="59"/>
      <c r="E361" s="62"/>
      <c r="F361" s="59"/>
      <c r="G361" s="62"/>
      <c r="H361" s="59"/>
      <c r="I361" s="59"/>
      <c r="J361" s="59"/>
      <c r="K361" s="59"/>
      <c r="L361" s="62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  <c r="AI361" s="59"/>
      <c r="AJ361" s="59"/>
      <c r="AK361" s="59"/>
      <c r="AL361" s="59"/>
      <c r="AM361" s="59"/>
      <c r="AN361" s="59"/>
      <c r="AO361" s="59"/>
      <c r="AP361" s="59"/>
      <c r="AQ361" s="59"/>
      <c r="AR361" s="59"/>
      <c r="AS361" s="59"/>
      <c r="AT361" s="59"/>
      <c r="AU361" s="59"/>
      <c r="AV361" s="59"/>
      <c r="AW361" s="59"/>
      <c r="AX361" s="59"/>
      <c r="AY361" s="59"/>
      <c r="AZ361" s="59"/>
      <c r="BA361" s="59"/>
      <c r="BB361" s="59"/>
    </row>
    <row r="362" spans="1:54">
      <c r="A362" s="59"/>
      <c r="B362" s="59"/>
      <c r="C362" s="62"/>
      <c r="D362" s="59"/>
      <c r="E362" s="62"/>
      <c r="F362" s="59"/>
      <c r="G362" s="62"/>
      <c r="H362" s="59"/>
      <c r="I362" s="59"/>
      <c r="J362" s="59"/>
      <c r="K362" s="59"/>
      <c r="L362" s="62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  <c r="AI362" s="59"/>
      <c r="AJ362" s="59"/>
      <c r="AK362" s="59"/>
      <c r="AL362" s="59"/>
      <c r="AM362" s="59"/>
      <c r="AN362" s="59"/>
      <c r="AO362" s="59"/>
      <c r="AP362" s="59"/>
      <c r="AQ362" s="59"/>
      <c r="AR362" s="59"/>
      <c r="AS362" s="59"/>
      <c r="AT362" s="59"/>
      <c r="AU362" s="59"/>
      <c r="AV362" s="59"/>
      <c r="AW362" s="59"/>
      <c r="AX362" s="59"/>
      <c r="AY362" s="59"/>
      <c r="AZ362" s="59"/>
      <c r="BA362" s="59"/>
      <c r="BB362" s="59"/>
    </row>
    <row r="363" spans="1:54">
      <c r="A363" s="59"/>
      <c r="B363" s="59"/>
      <c r="C363" s="62"/>
      <c r="D363" s="59"/>
      <c r="E363" s="62"/>
      <c r="F363" s="59"/>
      <c r="G363" s="62"/>
      <c r="H363" s="59"/>
      <c r="I363" s="59"/>
      <c r="J363" s="59"/>
      <c r="K363" s="59"/>
      <c r="L363" s="62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  <c r="AI363" s="59"/>
      <c r="AJ363" s="59"/>
      <c r="AK363" s="59"/>
      <c r="AL363" s="59"/>
      <c r="AM363" s="59"/>
      <c r="AN363" s="59"/>
      <c r="AO363" s="59"/>
      <c r="AP363" s="59"/>
      <c r="AQ363" s="59"/>
      <c r="AR363" s="59"/>
      <c r="AS363" s="59"/>
      <c r="AT363" s="59"/>
      <c r="AU363" s="59"/>
      <c r="AV363" s="59"/>
      <c r="AW363" s="59"/>
      <c r="AX363" s="59"/>
      <c r="AY363" s="59"/>
      <c r="AZ363" s="59"/>
      <c r="BA363" s="59"/>
      <c r="BB363" s="59"/>
    </row>
    <row r="364" spans="1:54">
      <c r="A364" s="59"/>
      <c r="B364" s="59"/>
      <c r="C364" s="62"/>
      <c r="D364" s="59"/>
      <c r="E364" s="62"/>
      <c r="F364" s="59"/>
      <c r="G364" s="62"/>
      <c r="H364" s="59"/>
      <c r="I364" s="59"/>
      <c r="J364" s="59"/>
      <c r="K364" s="59"/>
      <c r="L364" s="62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  <c r="AI364" s="59"/>
      <c r="AJ364" s="59"/>
      <c r="AK364" s="59"/>
      <c r="AL364" s="59"/>
      <c r="AM364" s="59"/>
      <c r="AN364" s="59"/>
      <c r="AO364" s="59"/>
      <c r="AP364" s="59"/>
      <c r="AQ364" s="59"/>
      <c r="AR364" s="59"/>
      <c r="AS364" s="59"/>
      <c r="AT364" s="59"/>
      <c r="AU364" s="59"/>
      <c r="AV364" s="59"/>
      <c r="AW364" s="59"/>
      <c r="AX364" s="59"/>
      <c r="AY364" s="59"/>
      <c r="AZ364" s="59"/>
      <c r="BA364" s="59"/>
      <c r="BB364" s="59"/>
    </row>
    <row r="365" spans="1:54">
      <c r="A365" s="59"/>
      <c r="B365" s="59"/>
      <c r="C365" s="62"/>
      <c r="D365" s="59"/>
      <c r="E365" s="62"/>
      <c r="F365" s="59"/>
      <c r="G365" s="62"/>
      <c r="H365" s="59"/>
      <c r="I365" s="59"/>
      <c r="J365" s="59"/>
      <c r="K365" s="59"/>
      <c r="L365" s="62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  <c r="AI365" s="59"/>
      <c r="AJ365" s="59"/>
      <c r="AK365" s="59"/>
      <c r="AL365" s="59"/>
      <c r="AM365" s="59"/>
      <c r="AN365" s="59"/>
      <c r="AO365" s="59"/>
      <c r="AP365" s="59"/>
      <c r="AQ365" s="59"/>
      <c r="AR365" s="59"/>
      <c r="AS365" s="59"/>
      <c r="AT365" s="59"/>
      <c r="AU365" s="59"/>
      <c r="AV365" s="59"/>
      <c r="AW365" s="59"/>
      <c r="AX365" s="59"/>
      <c r="AY365" s="59"/>
      <c r="AZ365" s="59"/>
      <c r="BA365" s="59"/>
      <c r="BB365" s="59"/>
    </row>
    <row r="366" spans="1:54">
      <c r="A366" s="59"/>
      <c r="B366" s="59"/>
      <c r="C366" s="62"/>
      <c r="D366" s="59"/>
      <c r="E366" s="62"/>
      <c r="F366" s="59"/>
      <c r="G366" s="62"/>
      <c r="H366" s="59"/>
      <c r="I366" s="59"/>
      <c r="J366" s="59"/>
      <c r="K366" s="59"/>
      <c r="L366" s="62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  <c r="AI366" s="59"/>
      <c r="AJ366" s="59"/>
      <c r="AK366" s="59"/>
      <c r="AL366" s="59"/>
      <c r="AM366" s="59"/>
      <c r="AN366" s="59"/>
      <c r="AO366" s="59"/>
      <c r="AP366" s="59"/>
      <c r="AQ366" s="59"/>
      <c r="AR366" s="59"/>
      <c r="AS366" s="59"/>
      <c r="AT366" s="59"/>
      <c r="AU366" s="59"/>
      <c r="AV366" s="59"/>
      <c r="AW366" s="59"/>
      <c r="AX366" s="59"/>
      <c r="AY366" s="59"/>
      <c r="AZ366" s="59"/>
      <c r="BA366" s="59"/>
      <c r="BB366" s="59"/>
    </row>
    <row r="367" spans="1:54">
      <c r="A367" s="59"/>
      <c r="B367" s="59"/>
      <c r="C367" s="62"/>
      <c r="D367" s="59"/>
      <c r="E367" s="62"/>
      <c r="F367" s="59"/>
      <c r="G367" s="62"/>
      <c r="H367" s="59"/>
      <c r="I367" s="59"/>
      <c r="J367" s="59"/>
      <c r="K367" s="59"/>
      <c r="L367" s="62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  <c r="AP367" s="59"/>
      <c r="AQ367" s="59"/>
      <c r="AR367" s="59"/>
      <c r="AS367" s="59"/>
      <c r="AT367" s="59"/>
      <c r="AU367" s="59"/>
      <c r="AV367" s="59"/>
      <c r="AW367" s="59"/>
      <c r="AX367" s="59"/>
      <c r="AY367" s="59"/>
      <c r="AZ367" s="59"/>
      <c r="BA367" s="59"/>
      <c r="BB367" s="59"/>
    </row>
    <row r="368" spans="1:54">
      <c r="A368" s="59"/>
      <c r="B368" s="59"/>
      <c r="C368" s="62"/>
      <c r="D368" s="59"/>
      <c r="E368" s="62"/>
      <c r="F368" s="59"/>
      <c r="G368" s="62"/>
      <c r="H368" s="59"/>
      <c r="I368" s="59"/>
      <c r="J368" s="59"/>
      <c r="K368" s="59"/>
      <c r="L368" s="62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  <c r="AI368" s="59"/>
      <c r="AJ368" s="59"/>
      <c r="AK368" s="59"/>
      <c r="AL368" s="59"/>
      <c r="AM368" s="59"/>
      <c r="AN368" s="59"/>
      <c r="AO368" s="59"/>
      <c r="AP368" s="59"/>
      <c r="AQ368" s="59"/>
      <c r="AR368" s="59"/>
      <c r="AS368" s="59"/>
      <c r="AT368" s="59"/>
      <c r="AU368" s="59"/>
      <c r="AV368" s="59"/>
      <c r="AW368" s="59"/>
      <c r="AX368" s="59"/>
      <c r="AY368" s="59"/>
      <c r="AZ368" s="59"/>
      <c r="BA368" s="59"/>
      <c r="BB368" s="59"/>
    </row>
    <row r="369" spans="1:54">
      <c r="A369" s="59"/>
      <c r="B369" s="59"/>
      <c r="C369" s="62"/>
      <c r="D369" s="59"/>
      <c r="E369" s="62"/>
      <c r="F369" s="59"/>
      <c r="G369" s="62"/>
      <c r="H369" s="59"/>
      <c r="I369" s="59"/>
      <c r="J369" s="59"/>
      <c r="K369" s="59"/>
      <c r="L369" s="62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  <c r="AJ369" s="59"/>
      <c r="AK369" s="59"/>
      <c r="AL369" s="59"/>
      <c r="AM369" s="59"/>
      <c r="AN369" s="59"/>
      <c r="AO369" s="59"/>
      <c r="AP369" s="59"/>
      <c r="AQ369" s="59"/>
      <c r="AR369" s="59"/>
      <c r="AS369" s="59"/>
      <c r="AT369" s="59"/>
      <c r="AU369" s="59"/>
      <c r="AV369" s="59"/>
      <c r="AW369" s="59"/>
      <c r="AX369" s="59"/>
      <c r="AY369" s="59"/>
      <c r="AZ369" s="59"/>
      <c r="BA369" s="59"/>
      <c r="BB369" s="59"/>
    </row>
    <row r="370" spans="1:54">
      <c r="A370" s="59"/>
      <c r="B370" s="59"/>
      <c r="C370" s="62"/>
      <c r="D370" s="59"/>
      <c r="E370" s="62"/>
      <c r="F370" s="59"/>
      <c r="G370" s="62"/>
      <c r="H370" s="59"/>
      <c r="I370" s="59"/>
      <c r="J370" s="59"/>
      <c r="K370" s="59"/>
      <c r="L370" s="62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  <c r="AM370" s="59"/>
      <c r="AN370" s="59"/>
      <c r="AO370" s="59"/>
      <c r="AP370" s="59"/>
      <c r="AQ370" s="59"/>
      <c r="AR370" s="59"/>
      <c r="AS370" s="59"/>
      <c r="AT370" s="59"/>
      <c r="AU370" s="59"/>
      <c r="AV370" s="59"/>
      <c r="AW370" s="59"/>
      <c r="AX370" s="59"/>
      <c r="AY370" s="59"/>
      <c r="AZ370" s="59"/>
      <c r="BA370" s="59"/>
      <c r="BB370" s="59"/>
    </row>
    <row r="371" spans="1:54">
      <c r="A371" s="59"/>
      <c r="B371" s="59"/>
      <c r="C371" s="62"/>
      <c r="D371" s="59"/>
      <c r="E371" s="62"/>
      <c r="F371" s="59"/>
      <c r="G371" s="62"/>
      <c r="H371" s="59"/>
      <c r="I371" s="59"/>
      <c r="J371" s="59"/>
      <c r="K371" s="59"/>
      <c r="L371" s="62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  <c r="AI371" s="59"/>
      <c r="AJ371" s="59"/>
      <c r="AK371" s="59"/>
      <c r="AL371" s="59"/>
      <c r="AM371" s="59"/>
      <c r="AN371" s="59"/>
      <c r="AO371" s="59"/>
      <c r="AP371" s="59"/>
      <c r="AQ371" s="59"/>
      <c r="AR371" s="59"/>
      <c r="AS371" s="59"/>
      <c r="AT371" s="59"/>
      <c r="AU371" s="59"/>
      <c r="AV371" s="59"/>
      <c r="AW371" s="59"/>
      <c r="AX371" s="59"/>
      <c r="AY371" s="59"/>
      <c r="AZ371" s="59"/>
      <c r="BA371" s="59"/>
      <c r="BB371" s="59"/>
    </row>
    <row r="372" spans="1:54">
      <c r="A372" s="59"/>
      <c r="B372" s="59"/>
      <c r="C372" s="62"/>
      <c r="D372" s="59"/>
      <c r="E372" s="62"/>
      <c r="F372" s="59"/>
      <c r="G372" s="62"/>
      <c r="H372" s="59"/>
      <c r="I372" s="59"/>
      <c r="J372" s="59"/>
      <c r="K372" s="59"/>
      <c r="L372" s="62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  <c r="AI372" s="59"/>
      <c r="AJ372" s="59"/>
      <c r="AK372" s="59"/>
      <c r="AL372" s="59"/>
      <c r="AM372" s="59"/>
      <c r="AN372" s="59"/>
      <c r="AO372" s="59"/>
      <c r="AP372" s="59"/>
      <c r="AQ372" s="59"/>
      <c r="AR372" s="59"/>
      <c r="AS372" s="59"/>
      <c r="AT372" s="59"/>
      <c r="AU372" s="59"/>
      <c r="AV372" s="59"/>
      <c r="AW372" s="59"/>
      <c r="AX372" s="59"/>
      <c r="AY372" s="59"/>
      <c r="AZ372" s="59"/>
      <c r="BA372" s="59"/>
      <c r="BB372" s="59"/>
    </row>
    <row r="373" spans="1:54">
      <c r="A373" s="59"/>
      <c r="B373" s="59"/>
      <c r="C373" s="62"/>
      <c r="D373" s="59"/>
      <c r="E373" s="62"/>
      <c r="F373" s="59"/>
      <c r="G373" s="62"/>
      <c r="H373" s="59"/>
      <c r="I373" s="59"/>
      <c r="J373" s="59"/>
      <c r="K373" s="59"/>
      <c r="L373" s="62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  <c r="AJ373" s="59"/>
      <c r="AK373" s="59"/>
      <c r="AL373" s="59"/>
      <c r="AM373" s="59"/>
      <c r="AN373" s="59"/>
      <c r="AO373" s="59"/>
      <c r="AP373" s="59"/>
      <c r="AQ373" s="59"/>
      <c r="AR373" s="59"/>
      <c r="AS373" s="59"/>
      <c r="AT373" s="59"/>
      <c r="AU373" s="59"/>
      <c r="AV373" s="59"/>
      <c r="AW373" s="59"/>
      <c r="AX373" s="59"/>
      <c r="AY373" s="59"/>
      <c r="AZ373" s="59"/>
      <c r="BA373" s="59"/>
      <c r="BB373" s="59"/>
    </row>
    <row r="374" spans="1:54">
      <c r="A374" s="59"/>
      <c r="B374" s="59"/>
      <c r="C374" s="62"/>
      <c r="D374" s="59"/>
      <c r="E374" s="62"/>
      <c r="F374" s="59"/>
      <c r="G374" s="62"/>
      <c r="H374" s="59"/>
      <c r="I374" s="59"/>
      <c r="J374" s="59"/>
      <c r="K374" s="59"/>
      <c r="L374" s="62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  <c r="AI374" s="59"/>
      <c r="AJ374" s="59"/>
      <c r="AK374" s="59"/>
      <c r="AL374" s="59"/>
      <c r="AM374" s="59"/>
      <c r="AN374" s="59"/>
      <c r="AO374" s="59"/>
      <c r="AP374" s="59"/>
      <c r="AQ374" s="59"/>
      <c r="AR374" s="59"/>
      <c r="AS374" s="59"/>
      <c r="AT374" s="59"/>
      <c r="AU374" s="59"/>
      <c r="AV374" s="59"/>
      <c r="AW374" s="59"/>
      <c r="AX374" s="59"/>
      <c r="AY374" s="59"/>
      <c r="AZ374" s="59"/>
      <c r="BA374" s="59"/>
      <c r="BB374" s="59"/>
    </row>
    <row r="375" spans="1:54">
      <c r="A375" s="59"/>
      <c r="B375" s="59"/>
      <c r="C375" s="62"/>
      <c r="D375" s="59"/>
      <c r="E375" s="62"/>
      <c r="F375" s="59"/>
      <c r="G375" s="62"/>
      <c r="H375" s="59"/>
      <c r="I375" s="59"/>
      <c r="J375" s="59"/>
      <c r="K375" s="59"/>
      <c r="L375" s="62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  <c r="AI375" s="59"/>
      <c r="AJ375" s="59"/>
      <c r="AK375" s="59"/>
      <c r="AL375" s="59"/>
      <c r="AM375" s="59"/>
      <c r="AN375" s="59"/>
      <c r="AO375" s="59"/>
      <c r="AP375" s="59"/>
      <c r="AQ375" s="59"/>
      <c r="AR375" s="59"/>
      <c r="AS375" s="59"/>
      <c r="AT375" s="59"/>
      <c r="AU375" s="59"/>
      <c r="AV375" s="59"/>
      <c r="AW375" s="59"/>
      <c r="AX375" s="59"/>
      <c r="AY375" s="59"/>
      <c r="AZ375" s="59"/>
      <c r="BA375" s="59"/>
      <c r="BB375" s="59"/>
    </row>
    <row r="376" spans="1:54">
      <c r="A376" s="59"/>
      <c r="B376" s="59"/>
      <c r="C376" s="62"/>
      <c r="D376" s="59"/>
      <c r="E376" s="62"/>
      <c r="F376" s="59"/>
      <c r="G376" s="62"/>
      <c r="H376" s="59"/>
      <c r="I376" s="59"/>
      <c r="J376" s="59"/>
      <c r="K376" s="59"/>
      <c r="L376" s="62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  <c r="AI376" s="59"/>
      <c r="AJ376" s="59"/>
      <c r="AK376" s="59"/>
      <c r="AL376" s="59"/>
      <c r="AM376" s="59"/>
      <c r="AN376" s="59"/>
      <c r="AO376" s="59"/>
      <c r="AP376" s="59"/>
      <c r="AQ376" s="59"/>
      <c r="AR376" s="59"/>
      <c r="AS376" s="59"/>
      <c r="AT376" s="59"/>
      <c r="AU376" s="59"/>
      <c r="AV376" s="59"/>
      <c r="AW376" s="59"/>
      <c r="AX376" s="59"/>
      <c r="AY376" s="59"/>
      <c r="AZ376" s="59"/>
      <c r="BA376" s="59"/>
      <c r="BB376" s="59"/>
    </row>
    <row r="377" spans="1:54">
      <c r="A377" s="59"/>
      <c r="B377" s="59"/>
      <c r="C377" s="62"/>
      <c r="D377" s="59"/>
      <c r="E377" s="62"/>
      <c r="F377" s="59"/>
      <c r="G377" s="62"/>
      <c r="H377" s="59"/>
      <c r="I377" s="59"/>
      <c r="J377" s="59"/>
      <c r="K377" s="59"/>
      <c r="L377" s="62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  <c r="AI377" s="59"/>
      <c r="AJ377" s="59"/>
      <c r="AK377" s="59"/>
      <c r="AL377" s="59"/>
      <c r="AM377" s="59"/>
      <c r="AN377" s="59"/>
      <c r="AO377" s="59"/>
      <c r="AP377" s="59"/>
      <c r="AQ377" s="59"/>
      <c r="AR377" s="59"/>
      <c r="AS377" s="59"/>
      <c r="AT377" s="59"/>
      <c r="AU377" s="59"/>
      <c r="AV377" s="59"/>
      <c r="AW377" s="59"/>
      <c r="AX377" s="59"/>
      <c r="AY377" s="59"/>
      <c r="AZ377" s="59"/>
      <c r="BA377" s="59"/>
      <c r="BB377" s="59"/>
    </row>
    <row r="378" spans="1:54">
      <c r="A378" s="59"/>
      <c r="B378" s="59"/>
      <c r="C378" s="62"/>
      <c r="D378" s="59"/>
      <c r="E378" s="62"/>
      <c r="F378" s="59"/>
      <c r="G378" s="62"/>
      <c r="H378" s="59"/>
      <c r="I378" s="59"/>
      <c r="J378" s="59"/>
      <c r="K378" s="59"/>
      <c r="L378" s="62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  <c r="AM378" s="59"/>
      <c r="AN378" s="59"/>
      <c r="AO378" s="59"/>
      <c r="AP378" s="59"/>
      <c r="AQ378" s="59"/>
      <c r="AR378" s="59"/>
      <c r="AS378" s="59"/>
      <c r="AT378" s="59"/>
      <c r="AU378" s="59"/>
      <c r="AV378" s="59"/>
      <c r="AW378" s="59"/>
      <c r="AX378" s="59"/>
      <c r="AY378" s="59"/>
      <c r="AZ378" s="59"/>
      <c r="BA378" s="59"/>
      <c r="BB378" s="59"/>
    </row>
    <row r="379" spans="1:54">
      <c r="A379" s="59"/>
      <c r="B379" s="59"/>
      <c r="C379" s="62"/>
      <c r="D379" s="59"/>
      <c r="E379" s="62"/>
      <c r="F379" s="59"/>
      <c r="G379" s="62"/>
      <c r="H379" s="59"/>
      <c r="I379" s="59"/>
      <c r="J379" s="59"/>
      <c r="K379" s="59"/>
      <c r="L379" s="62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  <c r="AI379" s="59"/>
      <c r="AJ379" s="59"/>
      <c r="AK379" s="59"/>
      <c r="AL379" s="59"/>
      <c r="AM379" s="59"/>
      <c r="AN379" s="59"/>
      <c r="AO379" s="59"/>
      <c r="AP379" s="59"/>
      <c r="AQ379" s="59"/>
      <c r="AR379" s="59"/>
      <c r="AS379" s="59"/>
      <c r="AT379" s="59"/>
      <c r="AU379" s="59"/>
      <c r="AV379" s="59"/>
      <c r="AW379" s="59"/>
      <c r="AX379" s="59"/>
      <c r="AY379" s="59"/>
      <c r="AZ379" s="59"/>
      <c r="BA379" s="59"/>
      <c r="BB379" s="59"/>
    </row>
    <row r="380" spans="1:54">
      <c r="A380" s="59"/>
      <c r="B380" s="59"/>
      <c r="C380" s="62"/>
      <c r="D380" s="59"/>
      <c r="E380" s="62"/>
      <c r="F380" s="59"/>
      <c r="G380" s="62"/>
      <c r="H380" s="59"/>
      <c r="I380" s="59"/>
      <c r="J380" s="59"/>
      <c r="K380" s="59"/>
      <c r="L380" s="62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  <c r="AI380" s="59"/>
      <c r="AJ380" s="59"/>
      <c r="AK380" s="59"/>
      <c r="AL380" s="59"/>
      <c r="AM380" s="59"/>
      <c r="AN380" s="59"/>
      <c r="AO380" s="59"/>
      <c r="AP380" s="59"/>
      <c r="AQ380" s="59"/>
      <c r="AR380" s="59"/>
      <c r="AS380" s="59"/>
      <c r="AT380" s="59"/>
      <c r="AU380" s="59"/>
      <c r="AV380" s="59"/>
      <c r="AW380" s="59"/>
      <c r="AX380" s="59"/>
      <c r="AY380" s="59"/>
      <c r="AZ380" s="59"/>
      <c r="BA380" s="59"/>
      <c r="BB380" s="59"/>
    </row>
    <row r="381" spans="1:54">
      <c r="A381" s="59"/>
      <c r="B381" s="59"/>
      <c r="C381" s="62"/>
      <c r="D381" s="59"/>
      <c r="E381" s="62"/>
      <c r="F381" s="59"/>
      <c r="G381" s="62"/>
      <c r="H381" s="59"/>
      <c r="I381" s="59"/>
      <c r="J381" s="59"/>
      <c r="K381" s="59"/>
      <c r="L381" s="62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  <c r="AP381" s="59"/>
      <c r="AQ381" s="59"/>
      <c r="AR381" s="59"/>
      <c r="AS381" s="59"/>
      <c r="AT381" s="59"/>
      <c r="AU381" s="59"/>
      <c r="AV381" s="59"/>
      <c r="AW381" s="59"/>
      <c r="AX381" s="59"/>
      <c r="AY381" s="59"/>
      <c r="AZ381" s="59"/>
      <c r="BA381" s="59"/>
      <c r="BB381" s="59"/>
    </row>
    <row r="382" spans="1:54">
      <c r="A382" s="59"/>
      <c r="B382" s="59"/>
      <c r="C382" s="62"/>
      <c r="D382" s="59"/>
      <c r="E382" s="62"/>
      <c r="F382" s="59"/>
      <c r="G382" s="62"/>
      <c r="H382" s="59"/>
      <c r="I382" s="59"/>
      <c r="J382" s="59"/>
      <c r="K382" s="59"/>
      <c r="L382" s="62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  <c r="AI382" s="59"/>
      <c r="AJ382" s="59"/>
      <c r="AK382" s="59"/>
      <c r="AL382" s="59"/>
      <c r="AM382" s="59"/>
      <c r="AN382" s="59"/>
      <c r="AO382" s="59"/>
      <c r="AP382" s="59"/>
      <c r="AQ382" s="59"/>
      <c r="AR382" s="59"/>
      <c r="AS382" s="59"/>
      <c r="AT382" s="59"/>
      <c r="AU382" s="59"/>
      <c r="AV382" s="59"/>
      <c r="AW382" s="59"/>
      <c r="AX382" s="59"/>
      <c r="AY382" s="59"/>
      <c r="AZ382" s="59"/>
      <c r="BA382" s="59"/>
      <c r="BB382" s="59"/>
    </row>
    <row r="383" spans="1:54">
      <c r="A383" s="59"/>
      <c r="B383" s="59"/>
      <c r="C383" s="62"/>
      <c r="D383" s="59"/>
      <c r="E383" s="62"/>
      <c r="F383" s="59"/>
      <c r="G383" s="62"/>
      <c r="H383" s="59"/>
      <c r="I383" s="59"/>
      <c r="J383" s="59"/>
      <c r="K383" s="59"/>
      <c r="L383" s="62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  <c r="AI383" s="59"/>
      <c r="AJ383" s="59"/>
      <c r="AK383" s="59"/>
      <c r="AL383" s="59"/>
      <c r="AM383" s="59"/>
      <c r="AN383" s="59"/>
      <c r="AO383" s="59"/>
      <c r="AP383" s="59"/>
      <c r="AQ383" s="59"/>
      <c r="AR383" s="59"/>
      <c r="AS383" s="59"/>
      <c r="AT383" s="59"/>
      <c r="AU383" s="59"/>
      <c r="AV383" s="59"/>
      <c r="AW383" s="59"/>
      <c r="AX383" s="59"/>
      <c r="AY383" s="59"/>
      <c r="AZ383" s="59"/>
      <c r="BA383" s="59"/>
      <c r="BB383" s="59"/>
    </row>
    <row r="384" spans="1:54">
      <c r="A384" s="59"/>
      <c r="B384" s="59"/>
      <c r="C384" s="62"/>
      <c r="D384" s="59"/>
      <c r="E384" s="62"/>
      <c r="F384" s="59"/>
      <c r="G384" s="62"/>
      <c r="H384" s="59"/>
      <c r="I384" s="59"/>
      <c r="J384" s="59"/>
      <c r="K384" s="59"/>
      <c r="L384" s="62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  <c r="AI384" s="59"/>
      <c r="AJ384" s="59"/>
      <c r="AK384" s="59"/>
      <c r="AL384" s="59"/>
      <c r="AM384" s="59"/>
      <c r="AN384" s="59"/>
      <c r="AO384" s="59"/>
      <c r="AP384" s="59"/>
      <c r="AQ384" s="59"/>
      <c r="AR384" s="59"/>
      <c r="AS384" s="59"/>
      <c r="AT384" s="59"/>
      <c r="AU384" s="59"/>
      <c r="AV384" s="59"/>
      <c r="AW384" s="59"/>
      <c r="AX384" s="59"/>
      <c r="AY384" s="59"/>
      <c r="AZ384" s="59"/>
      <c r="BA384" s="59"/>
      <c r="BB384" s="59"/>
    </row>
    <row r="385" spans="1:54">
      <c r="A385" s="59"/>
      <c r="B385" s="59"/>
      <c r="C385" s="62"/>
      <c r="D385" s="59"/>
      <c r="E385" s="62"/>
      <c r="F385" s="59"/>
      <c r="G385" s="62"/>
      <c r="H385" s="59"/>
      <c r="I385" s="59"/>
      <c r="J385" s="59"/>
      <c r="K385" s="59"/>
      <c r="L385" s="62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  <c r="AI385" s="59"/>
      <c r="AJ385" s="59"/>
      <c r="AK385" s="59"/>
      <c r="AL385" s="59"/>
      <c r="AM385" s="59"/>
      <c r="AN385" s="59"/>
      <c r="AO385" s="59"/>
      <c r="AP385" s="59"/>
      <c r="AQ385" s="59"/>
      <c r="AR385" s="59"/>
      <c r="AS385" s="59"/>
      <c r="AT385" s="59"/>
      <c r="AU385" s="59"/>
      <c r="AV385" s="59"/>
      <c r="AW385" s="59"/>
      <c r="AX385" s="59"/>
      <c r="AY385" s="59"/>
      <c r="AZ385" s="59"/>
      <c r="BA385" s="59"/>
      <c r="BB385" s="59"/>
    </row>
    <row r="386" spans="1:54">
      <c r="A386" s="59"/>
      <c r="B386" s="59"/>
      <c r="C386" s="62"/>
      <c r="D386" s="59"/>
      <c r="E386" s="62"/>
      <c r="F386" s="59"/>
      <c r="G386" s="62"/>
      <c r="H386" s="59"/>
      <c r="I386" s="59"/>
      <c r="J386" s="59"/>
      <c r="K386" s="59"/>
      <c r="L386" s="62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  <c r="AI386" s="59"/>
      <c r="AJ386" s="59"/>
      <c r="AK386" s="59"/>
      <c r="AL386" s="59"/>
      <c r="AM386" s="59"/>
      <c r="AN386" s="59"/>
      <c r="AO386" s="59"/>
      <c r="AP386" s="59"/>
      <c r="AQ386" s="59"/>
      <c r="AR386" s="59"/>
      <c r="AS386" s="59"/>
      <c r="AT386" s="59"/>
      <c r="AU386" s="59"/>
      <c r="AV386" s="59"/>
      <c r="AW386" s="59"/>
      <c r="AX386" s="59"/>
      <c r="AY386" s="59"/>
      <c r="AZ386" s="59"/>
      <c r="BA386" s="59"/>
      <c r="BB386" s="59"/>
    </row>
    <row r="387" spans="1:54">
      <c r="A387" s="59"/>
      <c r="B387" s="59"/>
      <c r="C387" s="62"/>
      <c r="D387" s="59"/>
      <c r="E387" s="62"/>
      <c r="F387" s="59"/>
      <c r="G387" s="62"/>
      <c r="H387" s="59"/>
      <c r="I387" s="59"/>
      <c r="J387" s="59"/>
      <c r="K387" s="59"/>
      <c r="L387" s="62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  <c r="AI387" s="59"/>
      <c r="AJ387" s="59"/>
      <c r="AK387" s="59"/>
      <c r="AL387" s="59"/>
      <c r="AM387" s="59"/>
      <c r="AN387" s="59"/>
      <c r="AO387" s="59"/>
      <c r="AP387" s="59"/>
      <c r="AQ387" s="59"/>
      <c r="AR387" s="59"/>
      <c r="AS387" s="59"/>
      <c r="AT387" s="59"/>
      <c r="AU387" s="59"/>
      <c r="AV387" s="59"/>
      <c r="AW387" s="59"/>
      <c r="AX387" s="59"/>
      <c r="AY387" s="59"/>
      <c r="AZ387" s="59"/>
      <c r="BA387" s="59"/>
      <c r="BB387" s="59"/>
    </row>
    <row r="388" spans="1:54">
      <c r="A388" s="59"/>
      <c r="B388" s="59"/>
      <c r="C388" s="62"/>
      <c r="D388" s="59"/>
      <c r="E388" s="62"/>
      <c r="F388" s="59"/>
      <c r="G388" s="62"/>
      <c r="H388" s="59"/>
      <c r="I388" s="59"/>
      <c r="J388" s="59"/>
      <c r="K388" s="59"/>
      <c r="L388" s="62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  <c r="AI388" s="59"/>
      <c r="AJ388" s="59"/>
      <c r="AK388" s="59"/>
      <c r="AL388" s="59"/>
      <c r="AM388" s="59"/>
      <c r="AN388" s="59"/>
      <c r="AO388" s="59"/>
      <c r="AP388" s="59"/>
      <c r="AQ388" s="59"/>
      <c r="AR388" s="59"/>
      <c r="AS388" s="59"/>
      <c r="AT388" s="59"/>
      <c r="AU388" s="59"/>
      <c r="AV388" s="59"/>
      <c r="AW388" s="59"/>
      <c r="AX388" s="59"/>
      <c r="AY388" s="59"/>
      <c r="AZ388" s="59"/>
      <c r="BA388" s="59"/>
      <c r="BB388" s="59"/>
    </row>
    <row r="389" spans="1:54">
      <c r="A389" s="59"/>
      <c r="B389" s="59"/>
      <c r="C389" s="62"/>
      <c r="D389" s="59"/>
      <c r="E389" s="62"/>
      <c r="F389" s="59"/>
      <c r="G389" s="62"/>
      <c r="H389" s="59"/>
      <c r="I389" s="59"/>
      <c r="J389" s="59"/>
      <c r="K389" s="59"/>
      <c r="L389" s="62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  <c r="AP389" s="59"/>
      <c r="AQ389" s="59"/>
      <c r="AR389" s="59"/>
      <c r="AS389" s="59"/>
      <c r="AT389" s="59"/>
      <c r="AU389" s="59"/>
      <c r="AV389" s="59"/>
      <c r="AW389" s="59"/>
      <c r="AX389" s="59"/>
      <c r="AY389" s="59"/>
      <c r="AZ389" s="59"/>
      <c r="BA389" s="59"/>
      <c r="BB389" s="59"/>
    </row>
    <row r="390" spans="1:54">
      <c r="A390" s="59"/>
      <c r="B390" s="59"/>
      <c r="C390" s="62"/>
      <c r="D390" s="59"/>
      <c r="E390" s="62"/>
      <c r="F390" s="59"/>
      <c r="G390" s="62"/>
      <c r="H390" s="59"/>
      <c r="I390" s="59"/>
      <c r="J390" s="59"/>
      <c r="K390" s="59"/>
      <c r="L390" s="62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  <c r="AI390" s="59"/>
      <c r="AJ390" s="59"/>
      <c r="AK390" s="59"/>
      <c r="AL390" s="59"/>
      <c r="AM390" s="59"/>
      <c r="AN390" s="59"/>
      <c r="AO390" s="59"/>
      <c r="AP390" s="59"/>
      <c r="AQ390" s="59"/>
      <c r="AR390" s="59"/>
      <c r="AS390" s="59"/>
      <c r="AT390" s="59"/>
      <c r="AU390" s="59"/>
      <c r="AV390" s="59"/>
      <c r="AW390" s="59"/>
      <c r="AX390" s="59"/>
      <c r="AY390" s="59"/>
      <c r="AZ390" s="59"/>
      <c r="BA390" s="59"/>
      <c r="BB390" s="59"/>
    </row>
    <row r="391" spans="1:54">
      <c r="A391" s="59"/>
      <c r="B391" s="59"/>
      <c r="C391" s="62"/>
      <c r="D391" s="59"/>
      <c r="E391" s="62"/>
      <c r="F391" s="59"/>
      <c r="G391" s="62"/>
      <c r="H391" s="59"/>
      <c r="I391" s="59"/>
      <c r="J391" s="59"/>
      <c r="K391" s="59"/>
      <c r="L391" s="62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  <c r="AI391" s="59"/>
      <c r="AJ391" s="59"/>
      <c r="AK391" s="59"/>
      <c r="AL391" s="59"/>
      <c r="AM391" s="59"/>
      <c r="AN391" s="59"/>
      <c r="AO391" s="59"/>
      <c r="AP391" s="59"/>
      <c r="AQ391" s="59"/>
      <c r="AR391" s="59"/>
      <c r="AS391" s="59"/>
      <c r="AT391" s="59"/>
      <c r="AU391" s="59"/>
      <c r="AV391" s="59"/>
      <c r="AW391" s="59"/>
      <c r="AX391" s="59"/>
      <c r="AY391" s="59"/>
      <c r="AZ391" s="59"/>
      <c r="BA391" s="59"/>
      <c r="BB391" s="59"/>
    </row>
    <row r="392" spans="1:54">
      <c r="A392" s="59"/>
      <c r="B392" s="59"/>
      <c r="C392" s="62"/>
      <c r="D392" s="59"/>
      <c r="E392" s="62"/>
      <c r="F392" s="59"/>
      <c r="G392" s="62"/>
      <c r="H392" s="59"/>
      <c r="I392" s="59"/>
      <c r="J392" s="59"/>
      <c r="K392" s="59"/>
      <c r="L392" s="62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  <c r="AJ392" s="59"/>
      <c r="AK392" s="59"/>
      <c r="AL392" s="59"/>
      <c r="AM392" s="59"/>
      <c r="AN392" s="59"/>
      <c r="AO392" s="59"/>
      <c r="AP392" s="59"/>
      <c r="AQ392" s="59"/>
      <c r="AR392" s="59"/>
      <c r="AS392" s="59"/>
      <c r="AT392" s="59"/>
      <c r="AU392" s="59"/>
      <c r="AV392" s="59"/>
      <c r="AW392" s="59"/>
      <c r="AX392" s="59"/>
      <c r="AY392" s="59"/>
      <c r="AZ392" s="59"/>
      <c r="BA392" s="59"/>
      <c r="BB392" s="59"/>
    </row>
    <row r="393" spans="1:54">
      <c r="A393" s="59"/>
      <c r="B393" s="59"/>
      <c r="C393" s="62"/>
      <c r="D393" s="59"/>
      <c r="E393" s="62"/>
      <c r="F393" s="59"/>
      <c r="G393" s="62"/>
      <c r="H393" s="59"/>
      <c r="I393" s="59"/>
      <c r="J393" s="59"/>
      <c r="K393" s="59"/>
      <c r="L393" s="62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  <c r="AI393" s="59"/>
      <c r="AJ393" s="59"/>
      <c r="AK393" s="59"/>
      <c r="AL393" s="59"/>
      <c r="AM393" s="59"/>
      <c r="AN393" s="59"/>
      <c r="AO393" s="59"/>
      <c r="AP393" s="59"/>
      <c r="AQ393" s="59"/>
      <c r="AR393" s="59"/>
      <c r="AS393" s="59"/>
      <c r="AT393" s="59"/>
      <c r="AU393" s="59"/>
      <c r="AV393" s="59"/>
      <c r="AW393" s="59"/>
      <c r="AX393" s="59"/>
      <c r="AY393" s="59"/>
      <c r="AZ393" s="59"/>
      <c r="BA393" s="59"/>
      <c r="BB393" s="59"/>
    </row>
    <row r="394" spans="1:54">
      <c r="A394" s="59"/>
      <c r="B394" s="59"/>
      <c r="C394" s="62"/>
      <c r="D394" s="59"/>
      <c r="E394" s="62"/>
      <c r="F394" s="59"/>
      <c r="G394" s="62"/>
      <c r="H394" s="59"/>
      <c r="I394" s="59"/>
      <c r="J394" s="59"/>
      <c r="K394" s="59"/>
      <c r="L394" s="62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/>
      <c r="AR394" s="59"/>
      <c r="AS394" s="59"/>
      <c r="AT394" s="59"/>
      <c r="AU394" s="59"/>
      <c r="AV394" s="59"/>
      <c r="AW394" s="59"/>
      <c r="AX394" s="59"/>
      <c r="AY394" s="59"/>
      <c r="AZ394" s="59"/>
      <c r="BA394" s="59"/>
      <c r="BB394" s="59"/>
    </row>
    <row r="395" spans="1:54">
      <c r="A395" s="59"/>
      <c r="B395" s="59"/>
      <c r="C395" s="62"/>
      <c r="D395" s="59"/>
      <c r="E395" s="62"/>
      <c r="F395" s="59"/>
      <c r="G395" s="62"/>
      <c r="H395" s="59"/>
      <c r="I395" s="59"/>
      <c r="J395" s="59"/>
      <c r="K395" s="59"/>
      <c r="L395" s="62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  <c r="AI395" s="59"/>
      <c r="AJ395" s="59"/>
      <c r="AK395" s="59"/>
      <c r="AL395" s="59"/>
      <c r="AM395" s="59"/>
      <c r="AN395" s="59"/>
      <c r="AO395" s="59"/>
      <c r="AP395" s="59"/>
      <c r="AQ395" s="59"/>
      <c r="AR395" s="59"/>
      <c r="AS395" s="59"/>
      <c r="AT395" s="59"/>
      <c r="AU395" s="59"/>
      <c r="AV395" s="59"/>
      <c r="AW395" s="59"/>
      <c r="AX395" s="59"/>
      <c r="AY395" s="59"/>
      <c r="AZ395" s="59"/>
      <c r="BA395" s="59"/>
      <c r="BB395" s="59"/>
    </row>
    <row r="396" spans="1:54">
      <c r="A396" s="59"/>
      <c r="B396" s="59"/>
      <c r="C396" s="62"/>
      <c r="D396" s="59"/>
      <c r="E396" s="62"/>
      <c r="F396" s="59"/>
      <c r="G396" s="62"/>
      <c r="H396" s="59"/>
      <c r="I396" s="59"/>
      <c r="J396" s="59"/>
      <c r="K396" s="59"/>
      <c r="L396" s="62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  <c r="AJ396" s="59"/>
      <c r="AK396" s="59"/>
      <c r="AL396" s="59"/>
      <c r="AM396" s="59"/>
      <c r="AN396" s="59"/>
      <c r="AO396" s="59"/>
      <c r="AP396" s="59"/>
      <c r="AQ396" s="59"/>
      <c r="AR396" s="59"/>
      <c r="AS396" s="59"/>
      <c r="AT396" s="59"/>
      <c r="AU396" s="59"/>
      <c r="AV396" s="59"/>
      <c r="AW396" s="59"/>
      <c r="AX396" s="59"/>
      <c r="AY396" s="59"/>
      <c r="AZ396" s="59"/>
      <c r="BA396" s="59"/>
      <c r="BB396" s="59"/>
    </row>
    <row r="397" spans="1:54">
      <c r="A397" s="59"/>
      <c r="B397" s="59"/>
      <c r="C397" s="62"/>
      <c r="D397" s="59"/>
      <c r="E397" s="62"/>
      <c r="F397" s="59"/>
      <c r="G397" s="62"/>
      <c r="H397" s="59"/>
      <c r="I397" s="59"/>
      <c r="J397" s="59"/>
      <c r="K397" s="59"/>
      <c r="L397" s="62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  <c r="AM397" s="59"/>
      <c r="AN397" s="59"/>
      <c r="AO397" s="59"/>
      <c r="AP397" s="59"/>
      <c r="AQ397" s="59"/>
      <c r="AR397" s="59"/>
      <c r="AS397" s="59"/>
      <c r="AT397" s="59"/>
      <c r="AU397" s="59"/>
      <c r="AV397" s="59"/>
      <c r="AW397" s="59"/>
      <c r="AX397" s="59"/>
      <c r="AY397" s="59"/>
      <c r="AZ397" s="59"/>
      <c r="BA397" s="59"/>
      <c r="BB397" s="59"/>
    </row>
    <row r="398" spans="1:54">
      <c r="A398" s="59"/>
      <c r="B398" s="59"/>
      <c r="C398" s="62"/>
      <c r="D398" s="59"/>
      <c r="E398" s="62"/>
      <c r="F398" s="59"/>
      <c r="G398" s="62"/>
      <c r="H398" s="59"/>
      <c r="I398" s="59"/>
      <c r="J398" s="59"/>
      <c r="K398" s="59"/>
      <c r="L398" s="62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  <c r="AI398" s="59"/>
      <c r="AJ398" s="59"/>
      <c r="AK398" s="59"/>
      <c r="AL398" s="59"/>
      <c r="AM398" s="59"/>
      <c r="AN398" s="59"/>
      <c r="AO398" s="59"/>
      <c r="AP398" s="59"/>
      <c r="AQ398" s="59"/>
      <c r="AR398" s="59"/>
      <c r="AS398" s="59"/>
      <c r="AT398" s="59"/>
      <c r="AU398" s="59"/>
      <c r="AV398" s="59"/>
      <c r="AW398" s="59"/>
      <c r="AX398" s="59"/>
      <c r="AY398" s="59"/>
      <c r="AZ398" s="59"/>
      <c r="BA398" s="59"/>
      <c r="BB398" s="59"/>
    </row>
    <row r="399" spans="1:54">
      <c r="A399" s="59"/>
      <c r="B399" s="59"/>
      <c r="C399" s="62"/>
      <c r="D399" s="59"/>
      <c r="E399" s="62"/>
      <c r="F399" s="59"/>
      <c r="G399" s="62"/>
      <c r="H399" s="59"/>
      <c r="I399" s="59"/>
      <c r="J399" s="59"/>
      <c r="K399" s="59"/>
      <c r="L399" s="62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  <c r="AM399" s="59"/>
      <c r="AN399" s="59"/>
      <c r="AO399" s="59"/>
      <c r="AP399" s="59"/>
      <c r="AQ399" s="59"/>
      <c r="AR399" s="59"/>
      <c r="AS399" s="59"/>
      <c r="AT399" s="59"/>
      <c r="AU399" s="59"/>
      <c r="AV399" s="59"/>
      <c r="AW399" s="59"/>
      <c r="AX399" s="59"/>
      <c r="AY399" s="59"/>
      <c r="AZ399" s="59"/>
      <c r="BA399" s="59"/>
      <c r="BB399" s="59"/>
    </row>
    <row r="400" spans="1:54">
      <c r="A400" s="59"/>
      <c r="B400" s="59"/>
      <c r="C400" s="62"/>
      <c r="D400" s="59"/>
      <c r="E400" s="62"/>
      <c r="F400" s="59"/>
      <c r="G400" s="62"/>
      <c r="H400" s="59"/>
      <c r="I400" s="59"/>
      <c r="J400" s="59"/>
      <c r="K400" s="59"/>
      <c r="L400" s="62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  <c r="AJ400" s="59"/>
      <c r="AK400" s="59"/>
      <c r="AL400" s="59"/>
      <c r="AM400" s="59"/>
      <c r="AN400" s="59"/>
      <c r="AO400" s="59"/>
      <c r="AP400" s="59"/>
      <c r="AQ400" s="59"/>
      <c r="AR400" s="59"/>
      <c r="AS400" s="59"/>
      <c r="AT400" s="59"/>
      <c r="AU400" s="59"/>
      <c r="AV400" s="59"/>
      <c r="AW400" s="59"/>
      <c r="AX400" s="59"/>
      <c r="AY400" s="59"/>
      <c r="AZ400" s="59"/>
      <c r="BA400" s="59"/>
      <c r="BB400" s="59"/>
    </row>
    <row r="401" spans="1:54">
      <c r="A401" s="59"/>
      <c r="B401" s="59"/>
      <c r="C401" s="62"/>
      <c r="D401" s="59"/>
      <c r="E401" s="62"/>
      <c r="F401" s="59"/>
      <c r="G401" s="62"/>
      <c r="H401" s="59"/>
      <c r="I401" s="59"/>
      <c r="J401" s="59"/>
      <c r="K401" s="59"/>
      <c r="L401" s="62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  <c r="AI401" s="59"/>
      <c r="AJ401" s="59"/>
      <c r="AK401" s="59"/>
      <c r="AL401" s="59"/>
      <c r="AM401" s="59"/>
      <c r="AN401" s="59"/>
      <c r="AO401" s="59"/>
      <c r="AP401" s="59"/>
      <c r="AQ401" s="59"/>
      <c r="AR401" s="59"/>
      <c r="AS401" s="59"/>
      <c r="AT401" s="59"/>
      <c r="AU401" s="59"/>
      <c r="AV401" s="59"/>
      <c r="AW401" s="59"/>
      <c r="AX401" s="59"/>
      <c r="AY401" s="59"/>
      <c r="AZ401" s="59"/>
      <c r="BA401" s="59"/>
      <c r="BB401" s="59"/>
    </row>
    <row r="402" spans="1:54">
      <c r="A402" s="59"/>
      <c r="B402" s="59"/>
      <c r="C402" s="62"/>
      <c r="D402" s="59"/>
      <c r="E402" s="62"/>
      <c r="F402" s="59"/>
      <c r="G402" s="62"/>
      <c r="H402" s="59"/>
      <c r="I402" s="59"/>
      <c r="J402" s="59"/>
      <c r="K402" s="59"/>
      <c r="L402" s="62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  <c r="AI402" s="59"/>
      <c r="AJ402" s="59"/>
      <c r="AK402" s="59"/>
      <c r="AL402" s="59"/>
      <c r="AM402" s="59"/>
      <c r="AN402" s="59"/>
      <c r="AO402" s="59"/>
      <c r="AP402" s="59"/>
      <c r="AQ402" s="59"/>
      <c r="AR402" s="59"/>
      <c r="AS402" s="59"/>
      <c r="AT402" s="59"/>
      <c r="AU402" s="59"/>
      <c r="AV402" s="59"/>
      <c r="AW402" s="59"/>
      <c r="AX402" s="59"/>
      <c r="AY402" s="59"/>
      <c r="AZ402" s="59"/>
      <c r="BA402" s="59"/>
      <c r="BB402" s="59"/>
    </row>
    <row r="403" spans="1:54">
      <c r="A403" s="59"/>
      <c r="B403" s="59"/>
      <c r="C403" s="62"/>
      <c r="D403" s="59"/>
      <c r="E403" s="62"/>
      <c r="F403" s="59"/>
      <c r="G403" s="62"/>
      <c r="H403" s="59"/>
      <c r="I403" s="59"/>
      <c r="J403" s="59"/>
      <c r="K403" s="59"/>
      <c r="L403" s="62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  <c r="AM403" s="59"/>
      <c r="AN403" s="59"/>
      <c r="AO403" s="59"/>
      <c r="AP403" s="59"/>
      <c r="AQ403" s="59"/>
      <c r="AR403" s="59"/>
      <c r="AS403" s="59"/>
      <c r="AT403" s="59"/>
      <c r="AU403" s="59"/>
      <c r="AV403" s="59"/>
      <c r="AW403" s="59"/>
      <c r="AX403" s="59"/>
      <c r="AY403" s="59"/>
      <c r="AZ403" s="59"/>
      <c r="BA403" s="59"/>
      <c r="BB403" s="59"/>
    </row>
    <row r="404" spans="1:54">
      <c r="A404" s="59"/>
      <c r="B404" s="59"/>
      <c r="C404" s="62"/>
      <c r="D404" s="59"/>
      <c r="E404" s="62"/>
      <c r="F404" s="59"/>
      <c r="G404" s="62"/>
      <c r="H404" s="59"/>
      <c r="I404" s="59"/>
      <c r="J404" s="59"/>
      <c r="K404" s="59"/>
      <c r="L404" s="62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  <c r="AI404" s="59"/>
      <c r="AJ404" s="59"/>
      <c r="AK404" s="59"/>
      <c r="AL404" s="59"/>
      <c r="AM404" s="59"/>
      <c r="AN404" s="59"/>
      <c r="AO404" s="59"/>
      <c r="AP404" s="59"/>
      <c r="AQ404" s="59"/>
      <c r="AR404" s="59"/>
      <c r="AS404" s="59"/>
      <c r="AT404" s="59"/>
      <c r="AU404" s="59"/>
      <c r="AV404" s="59"/>
      <c r="AW404" s="59"/>
      <c r="AX404" s="59"/>
      <c r="AY404" s="59"/>
      <c r="AZ404" s="59"/>
      <c r="BA404" s="59"/>
      <c r="BB404" s="59"/>
    </row>
    <row r="405" spans="1:54">
      <c r="A405" s="59"/>
      <c r="B405" s="59"/>
      <c r="C405" s="62"/>
      <c r="D405" s="59"/>
      <c r="E405" s="62"/>
      <c r="F405" s="59"/>
      <c r="G405" s="62"/>
      <c r="H405" s="59"/>
      <c r="I405" s="59"/>
      <c r="J405" s="59"/>
      <c r="K405" s="59"/>
      <c r="L405" s="62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  <c r="AM405" s="59"/>
      <c r="AN405" s="59"/>
      <c r="AO405" s="59"/>
      <c r="AP405" s="59"/>
      <c r="AQ405" s="59"/>
      <c r="AR405" s="59"/>
      <c r="AS405" s="59"/>
      <c r="AT405" s="59"/>
      <c r="AU405" s="59"/>
      <c r="AV405" s="59"/>
      <c r="AW405" s="59"/>
      <c r="AX405" s="59"/>
      <c r="AY405" s="59"/>
      <c r="AZ405" s="59"/>
      <c r="BA405" s="59"/>
      <c r="BB405" s="59"/>
    </row>
    <row r="406" spans="1:54">
      <c r="A406" s="59"/>
      <c r="B406" s="59"/>
      <c r="C406" s="62"/>
      <c r="D406" s="59"/>
      <c r="E406" s="62"/>
      <c r="F406" s="59"/>
      <c r="G406" s="62"/>
      <c r="H406" s="59"/>
      <c r="I406" s="59"/>
      <c r="J406" s="59"/>
      <c r="K406" s="59"/>
      <c r="L406" s="62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  <c r="AI406" s="59"/>
      <c r="AJ406" s="59"/>
      <c r="AK406" s="59"/>
      <c r="AL406" s="59"/>
      <c r="AM406" s="59"/>
      <c r="AN406" s="59"/>
      <c r="AO406" s="59"/>
      <c r="AP406" s="59"/>
      <c r="AQ406" s="59"/>
      <c r="AR406" s="59"/>
      <c r="AS406" s="59"/>
      <c r="AT406" s="59"/>
      <c r="AU406" s="59"/>
      <c r="AV406" s="59"/>
      <c r="AW406" s="59"/>
      <c r="AX406" s="59"/>
      <c r="AY406" s="59"/>
      <c r="AZ406" s="59"/>
      <c r="BA406" s="59"/>
      <c r="BB406" s="59"/>
    </row>
    <row r="407" spans="1:54">
      <c r="A407" s="59"/>
      <c r="B407" s="59"/>
      <c r="C407" s="62"/>
      <c r="D407" s="59"/>
      <c r="E407" s="62"/>
      <c r="F407" s="59"/>
      <c r="G407" s="62"/>
      <c r="H407" s="59"/>
      <c r="I407" s="59"/>
      <c r="J407" s="59"/>
      <c r="K407" s="59"/>
      <c r="L407" s="62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  <c r="AJ407" s="59"/>
      <c r="AK407" s="59"/>
      <c r="AL407" s="59"/>
      <c r="AM407" s="59"/>
      <c r="AN407" s="59"/>
      <c r="AO407" s="59"/>
      <c r="AP407" s="59"/>
      <c r="AQ407" s="59"/>
      <c r="AR407" s="59"/>
      <c r="AS407" s="59"/>
      <c r="AT407" s="59"/>
      <c r="AU407" s="59"/>
      <c r="AV407" s="59"/>
      <c r="AW407" s="59"/>
      <c r="AX407" s="59"/>
      <c r="AY407" s="59"/>
      <c r="AZ407" s="59"/>
      <c r="BA407" s="59"/>
      <c r="BB407" s="59"/>
    </row>
    <row r="408" spans="1:54">
      <c r="A408" s="59"/>
      <c r="B408" s="59"/>
      <c r="C408" s="62"/>
      <c r="D408" s="59"/>
      <c r="E408" s="62"/>
      <c r="F408" s="59"/>
      <c r="G408" s="62"/>
      <c r="H408" s="59"/>
      <c r="I408" s="59"/>
      <c r="J408" s="59"/>
      <c r="K408" s="59"/>
      <c r="L408" s="62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  <c r="AM408" s="59"/>
      <c r="AN408" s="59"/>
      <c r="AO408" s="59"/>
      <c r="AP408" s="59"/>
      <c r="AQ408" s="59"/>
      <c r="AR408" s="59"/>
      <c r="AS408" s="59"/>
      <c r="AT408" s="59"/>
      <c r="AU408" s="59"/>
      <c r="AV408" s="59"/>
      <c r="AW408" s="59"/>
      <c r="AX408" s="59"/>
      <c r="AY408" s="59"/>
      <c r="AZ408" s="59"/>
      <c r="BA408" s="59"/>
      <c r="BB408" s="59"/>
    </row>
  </sheetData>
  <mergeCells count="3">
    <mergeCell ref="A1:L1"/>
    <mergeCell ref="B3:C3"/>
    <mergeCell ref="D3:E3"/>
  </mergeCells>
  <printOptions horizontalCentered="1"/>
  <pageMargins left="0.2" right="0.2" top="0.37" bottom="0.15748031496062992" header="0.15748031496062992" footer="0.15748031496062992"/>
  <pageSetup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zoomScaleNormal="100" workbookViewId="0">
      <selection activeCell="L2" sqref="L2"/>
    </sheetView>
  </sheetViews>
  <sheetFormatPr baseColWidth="10" defaultColWidth="11.42578125" defaultRowHeight="12.75"/>
  <cols>
    <col min="1" max="1" width="28.28515625" style="18" bestFit="1" customWidth="1"/>
    <col min="2" max="2" width="17.7109375" style="18" customWidth="1"/>
    <col min="3" max="3" width="18.28515625" style="18" customWidth="1"/>
    <col min="4" max="4" width="15.5703125" style="18" customWidth="1"/>
    <col min="5" max="5" width="21.7109375" style="18" customWidth="1"/>
    <col min="6" max="6" width="23.42578125" style="18" customWidth="1"/>
    <col min="7" max="7" width="18.28515625" style="18" customWidth="1"/>
    <col min="8" max="8" width="17.5703125" style="18" customWidth="1"/>
    <col min="9" max="9" width="18.42578125" style="18" customWidth="1"/>
    <col min="10" max="10" width="21.42578125" style="18" customWidth="1"/>
    <col min="11" max="11" width="17.140625" style="18" customWidth="1"/>
    <col min="12" max="12" width="33.28515625" style="18" customWidth="1"/>
    <col min="13" max="13" width="21.42578125" style="18" customWidth="1"/>
    <col min="14" max="14" width="17.7109375" style="18" customWidth="1"/>
    <col min="15" max="15" width="17.7109375" style="18" bestFit="1" customWidth="1"/>
    <col min="16" max="16" width="22.7109375" style="18" customWidth="1"/>
    <col min="17" max="17" width="20.7109375" style="18" customWidth="1"/>
    <col min="18" max="18" width="0.28515625" style="18" customWidth="1"/>
    <col min="19" max="20" width="11.42578125" style="18" customWidth="1"/>
    <col min="21" max="21" width="21.28515625" style="18" customWidth="1"/>
    <col min="22" max="22" width="16.7109375" style="18" bestFit="1" customWidth="1"/>
    <col min="23" max="24" width="15.28515625" style="18" bestFit="1" customWidth="1"/>
    <col min="25" max="25" width="14.28515625" style="18" bestFit="1" customWidth="1"/>
    <col min="26" max="26" width="13.28515625" style="18" bestFit="1" customWidth="1"/>
    <col min="27" max="27" width="12.5703125" style="18" bestFit="1" customWidth="1"/>
    <col min="28" max="28" width="14.28515625" style="18" bestFit="1" customWidth="1"/>
    <col min="29" max="16384" width="11.42578125" style="18"/>
  </cols>
  <sheetData>
    <row r="1" spans="1:29" ht="38.25" customHeight="1" thickBot="1">
      <c r="A1" s="38"/>
      <c r="B1" s="431" t="s">
        <v>149</v>
      </c>
      <c r="C1" s="431"/>
      <c r="D1" s="431"/>
      <c r="E1" s="431"/>
      <c r="F1" s="431" t="s">
        <v>148</v>
      </c>
      <c r="G1" s="431"/>
      <c r="H1" s="431"/>
      <c r="I1" s="431"/>
      <c r="J1" s="49" t="s">
        <v>147</v>
      </c>
      <c r="L1" s="432" t="s">
        <v>347</v>
      </c>
      <c r="M1" s="432"/>
      <c r="N1" s="432"/>
      <c r="O1" s="432"/>
      <c r="P1" s="432"/>
      <c r="Q1" s="432"/>
      <c r="T1" s="48"/>
    </row>
    <row r="2" spans="1:29" ht="68.25" customHeight="1" thickTop="1" thickBot="1">
      <c r="A2" s="47" t="s">
        <v>0</v>
      </c>
      <c r="B2" s="46" t="s">
        <v>331</v>
      </c>
      <c r="C2" s="45" t="s">
        <v>330</v>
      </c>
      <c r="D2" s="45" t="s">
        <v>146</v>
      </c>
      <c r="E2" s="44" t="s">
        <v>145</v>
      </c>
      <c r="F2" s="45" t="s">
        <v>223</v>
      </c>
      <c r="G2" s="45" t="s">
        <v>144</v>
      </c>
      <c r="H2" s="45" t="s">
        <v>143</v>
      </c>
      <c r="I2" s="42" t="s">
        <v>222</v>
      </c>
      <c r="J2" s="43" t="s">
        <v>142</v>
      </c>
      <c r="L2" s="47" t="s">
        <v>0</v>
      </c>
      <c r="M2" s="46" t="s">
        <v>141</v>
      </c>
      <c r="N2" s="45" t="s">
        <v>140</v>
      </c>
      <c r="O2" s="44" t="s">
        <v>139</v>
      </c>
      <c r="P2" s="43" t="s">
        <v>138</v>
      </c>
      <c r="Q2" s="42" t="s">
        <v>78</v>
      </c>
    </row>
    <row r="3" spans="1:29" ht="26.25" customHeight="1" thickTop="1">
      <c r="A3" s="38"/>
      <c r="B3" s="41" t="s">
        <v>137</v>
      </c>
      <c r="C3" s="41" t="s">
        <v>136</v>
      </c>
      <c r="D3" s="41" t="s">
        <v>135</v>
      </c>
      <c r="E3" s="41" t="s">
        <v>134</v>
      </c>
      <c r="F3" s="41" t="s">
        <v>133</v>
      </c>
      <c r="G3" s="41" t="s">
        <v>132</v>
      </c>
      <c r="H3" s="41"/>
      <c r="I3" s="41" t="s">
        <v>131</v>
      </c>
      <c r="J3" s="41" t="s">
        <v>130</v>
      </c>
      <c r="M3" s="40">
        <f>M4*P3</f>
        <v>9129360.9000000004</v>
      </c>
      <c r="N3" s="40">
        <f>P3*N4</f>
        <v>5477616.54</v>
      </c>
      <c r="O3" s="40">
        <f>P3*O4</f>
        <v>3651744.3600000003</v>
      </c>
      <c r="P3" s="40">
        <f>+'PART MES'!E11</f>
        <v>18258721.800000001</v>
      </c>
    </row>
    <row r="4" spans="1:29" ht="13.5" thickBot="1">
      <c r="F4" s="39"/>
      <c r="G4" s="38"/>
      <c r="H4" s="38"/>
      <c r="I4" s="38"/>
      <c r="M4" s="164">
        <v>0.5</v>
      </c>
      <c r="N4" s="164">
        <v>0.3</v>
      </c>
      <c r="O4" s="164">
        <v>0.2</v>
      </c>
      <c r="P4" s="37" t="s">
        <v>129</v>
      </c>
      <c r="Q4" s="37"/>
    </row>
    <row r="5" spans="1:29" ht="13.5" thickTop="1">
      <c r="A5" s="33" t="s">
        <v>1</v>
      </c>
      <c r="B5" s="32">
        <v>685947</v>
      </c>
      <c r="C5" s="31">
        <v>200922.61</v>
      </c>
      <c r="D5" s="165">
        <f t="shared" ref="D5:D55" si="0">IFERROR(C5/B5,0)</f>
        <v>0.29291273232480058</v>
      </c>
      <c r="E5" s="36">
        <f t="shared" ref="E5:E55" si="1">IFERROR(D5/$D$56,0)</f>
        <v>1.8633927432824153E-2</v>
      </c>
      <c r="F5" s="151">
        <v>145672.85</v>
      </c>
      <c r="G5" s="152">
        <f t="shared" ref="G5:G55" si="2">IFERROR((C5/F5)-1,0)</f>
        <v>0.37927287068249149</v>
      </c>
      <c r="H5" s="35">
        <f t="shared" ref="H5:H55" si="3">IF(G5&lt;0,0,G5)</f>
        <v>0.37927287068249149</v>
      </c>
      <c r="I5" s="28">
        <f t="shared" ref="I5:I55" si="4">IFERROR(H5/$H$56,0)</f>
        <v>3.6405629422176358E-2</v>
      </c>
      <c r="J5" s="34">
        <f t="shared" ref="J5:J55" si="5">IFERROR(C5/$C$56,0)</f>
        <v>8.3458031995285368E-5</v>
      </c>
      <c r="L5" s="33" t="s">
        <v>1</v>
      </c>
      <c r="M5" s="32">
        <f t="shared" ref="M5:M55" si="6">IFERROR($M$3*E5,0)</f>
        <v>170115.84851866221</v>
      </c>
      <c r="N5" s="31">
        <f t="shared" ref="N5:N55" si="7">IFERROR($N$3*I5,0)</f>
        <v>199416.07787202386</v>
      </c>
      <c r="O5" s="30">
        <f t="shared" ref="O5:O55" si="8">IFERROR($O$3*J5,0)</f>
        <v>304.76739763548289</v>
      </c>
      <c r="P5" s="29">
        <f>IFERROR(SUM(M5:O5),2)</f>
        <v>369836.69378832157</v>
      </c>
      <c r="Q5" s="183">
        <f t="shared" ref="Q5:Q55" si="9">IFERROR(P5/$P$56,0)</f>
        <v>2.0255344149464043E-2</v>
      </c>
      <c r="S5" s="19" t="s">
        <v>154</v>
      </c>
      <c r="T5" s="19"/>
      <c r="AC5" s="19"/>
    </row>
    <row r="6" spans="1:29">
      <c r="A6" s="24" t="s">
        <v>2</v>
      </c>
      <c r="B6" s="23">
        <v>2702829</v>
      </c>
      <c r="C6" s="22">
        <v>996274</v>
      </c>
      <c r="D6" s="166">
        <f t="shared" si="0"/>
        <v>0.3686041551278309</v>
      </c>
      <c r="E6" s="27">
        <f t="shared" si="1"/>
        <v>2.3449110673936745E-2</v>
      </c>
      <c r="F6" s="56">
        <v>768052</v>
      </c>
      <c r="G6" s="153">
        <f t="shared" si="2"/>
        <v>0.29714394337883365</v>
      </c>
      <c r="H6" s="26">
        <f t="shared" si="3"/>
        <v>0.29714394337883365</v>
      </c>
      <c r="I6" s="20">
        <f t="shared" si="4"/>
        <v>2.8522241172240413E-2</v>
      </c>
      <c r="J6" s="25">
        <f t="shared" si="5"/>
        <v>4.1382633526446295E-4</v>
      </c>
      <c r="L6" s="24" t="s">
        <v>2</v>
      </c>
      <c r="M6" s="23">
        <f t="shared" si="6"/>
        <v>214075.39412641077</v>
      </c>
      <c r="N6" s="22">
        <f t="shared" si="7"/>
        <v>156233.90000293308</v>
      </c>
      <c r="O6" s="21">
        <f t="shared" si="8"/>
        <v>1511.1879858214718</v>
      </c>
      <c r="P6" s="154">
        <f t="shared" ref="P6:P55" si="10">IFERROR(SUM(M6:O6),2)</f>
        <v>371820.48211516527</v>
      </c>
      <c r="Q6" s="184">
        <f t="shared" si="9"/>
        <v>2.0363992955693386E-2</v>
      </c>
      <c r="S6" s="19"/>
      <c r="T6" s="19"/>
      <c r="U6" s="19"/>
      <c r="V6" s="19"/>
      <c r="W6" s="19"/>
      <c r="X6" s="19"/>
      <c r="Y6" s="19"/>
      <c r="Z6" s="19"/>
    </row>
    <row r="7" spans="1:29">
      <c r="A7" s="24" t="s">
        <v>3</v>
      </c>
      <c r="B7" s="23">
        <v>1181103</v>
      </c>
      <c r="C7" s="22">
        <v>288767</v>
      </c>
      <c r="D7" s="166">
        <f t="shared" si="0"/>
        <v>0.24448926130913223</v>
      </c>
      <c r="E7" s="27">
        <f t="shared" si="1"/>
        <v>1.555342137974184E-2</v>
      </c>
      <c r="F7" s="56">
        <v>272877</v>
      </c>
      <c r="G7" s="153">
        <f t="shared" si="2"/>
        <v>5.8231364314324852E-2</v>
      </c>
      <c r="H7" s="26">
        <f t="shared" si="3"/>
        <v>5.8231364314324852E-2</v>
      </c>
      <c r="I7" s="20">
        <f t="shared" si="4"/>
        <v>5.5895099118485917E-3</v>
      </c>
      <c r="J7" s="25">
        <f t="shared" si="5"/>
        <v>1.1994630930377905E-4</v>
      </c>
      <c r="L7" s="24" t="s">
        <v>3</v>
      </c>
      <c r="M7" s="23">
        <f t="shared" si="6"/>
        <v>141992.79700543921</v>
      </c>
      <c r="N7" s="22">
        <f t="shared" si="7"/>
        <v>30617.191943635789</v>
      </c>
      <c r="O7" s="21">
        <f t="shared" si="8"/>
        <v>438.01325850289072</v>
      </c>
      <c r="P7" s="154">
        <f t="shared" si="10"/>
        <v>173048.00220757787</v>
      </c>
      <c r="Q7" s="184">
        <f t="shared" si="9"/>
        <v>9.4775529252862523E-3</v>
      </c>
      <c r="S7" s="19"/>
      <c r="T7" s="19"/>
      <c r="U7" s="19"/>
      <c r="V7" s="19"/>
      <c r="W7" s="19"/>
      <c r="X7" s="19"/>
      <c r="Y7" s="19"/>
      <c r="Z7" s="19"/>
    </row>
    <row r="8" spans="1:29">
      <c r="A8" s="24" t="s">
        <v>4</v>
      </c>
      <c r="B8" s="23">
        <v>56374737</v>
      </c>
      <c r="C8" s="22">
        <v>25832482</v>
      </c>
      <c r="D8" s="166">
        <f t="shared" si="0"/>
        <v>0.45822798250925767</v>
      </c>
      <c r="E8" s="27">
        <f t="shared" si="1"/>
        <v>2.9150617339156106E-2</v>
      </c>
      <c r="F8" s="56">
        <v>23142962</v>
      </c>
      <c r="G8" s="153">
        <f t="shared" si="2"/>
        <v>0.11621330061381085</v>
      </c>
      <c r="H8" s="26">
        <f t="shared" si="3"/>
        <v>0.11621330061381085</v>
      </c>
      <c r="I8" s="20">
        <f t="shared" si="4"/>
        <v>1.1155077737200482E-2</v>
      </c>
      <c r="J8" s="25">
        <f t="shared" si="5"/>
        <v>1.0730141865435819E-2</v>
      </c>
      <c r="L8" s="24" t="s">
        <v>4</v>
      </c>
      <c r="M8" s="23">
        <f t="shared" si="6"/>
        <v>266126.50614695379</v>
      </c>
      <c r="N8" s="22">
        <f t="shared" si="7"/>
        <v>61103.238318275136</v>
      </c>
      <c r="O8" s="21">
        <f t="shared" si="8"/>
        <v>39183.735039105137</v>
      </c>
      <c r="P8" s="154">
        <f t="shared" si="10"/>
        <v>366413.47950433404</v>
      </c>
      <c r="Q8" s="184">
        <f t="shared" si="9"/>
        <v>2.0067860363825359E-2</v>
      </c>
      <c r="S8" s="19"/>
      <c r="T8" s="19"/>
      <c r="U8" s="19"/>
      <c r="V8" s="19"/>
      <c r="W8" s="19"/>
      <c r="X8" s="19"/>
      <c r="Y8" s="19"/>
      <c r="Z8" s="19"/>
    </row>
    <row r="9" spans="1:29">
      <c r="A9" s="24" t="s">
        <v>5</v>
      </c>
      <c r="B9" s="23">
        <v>10911069</v>
      </c>
      <c r="C9" s="22">
        <v>1947895</v>
      </c>
      <c r="D9" s="166">
        <f t="shared" si="0"/>
        <v>0.17852467068075548</v>
      </c>
      <c r="E9" s="27">
        <f t="shared" si="1"/>
        <v>1.1357019997154855E-2</v>
      </c>
      <c r="F9" s="56">
        <v>2531264</v>
      </c>
      <c r="G9" s="153">
        <f t="shared" si="2"/>
        <v>-0.23046549075876721</v>
      </c>
      <c r="H9" s="26">
        <f t="shared" si="3"/>
        <v>0</v>
      </c>
      <c r="I9" s="20">
        <f t="shared" si="4"/>
        <v>0</v>
      </c>
      <c r="J9" s="25">
        <f t="shared" si="5"/>
        <v>8.0910497446482702E-4</v>
      </c>
      <c r="L9" s="24" t="s">
        <v>5</v>
      </c>
      <c r="M9" s="23">
        <f t="shared" si="6"/>
        <v>103682.33430254365</v>
      </c>
      <c r="N9" s="22">
        <f t="shared" si="7"/>
        <v>0</v>
      </c>
      <c r="O9" s="21">
        <f t="shared" si="8"/>
        <v>2954.6445271498765</v>
      </c>
      <c r="P9" s="154">
        <f t="shared" si="10"/>
        <v>106636.97882969353</v>
      </c>
      <c r="Q9" s="184">
        <f t="shared" si="9"/>
        <v>5.8403309934703931E-3</v>
      </c>
      <c r="S9" s="19"/>
      <c r="T9" s="19"/>
      <c r="U9" s="19"/>
      <c r="V9" s="19"/>
      <c r="W9" s="19"/>
      <c r="X9" s="19"/>
      <c r="Y9" s="19"/>
      <c r="Z9" s="19"/>
    </row>
    <row r="10" spans="1:29">
      <c r="A10" s="24" t="s">
        <v>6</v>
      </c>
      <c r="B10" s="23">
        <v>696327770</v>
      </c>
      <c r="C10" s="22">
        <v>336540527.27999997</v>
      </c>
      <c r="D10" s="166">
        <f t="shared" si="0"/>
        <v>0.48330763439177499</v>
      </c>
      <c r="E10" s="27">
        <f t="shared" si="1"/>
        <v>3.0746083707279399E-2</v>
      </c>
      <c r="F10" s="56">
        <v>299493654.98000002</v>
      </c>
      <c r="G10" s="153">
        <f t="shared" si="2"/>
        <v>0.12369835448592026</v>
      </c>
      <c r="H10" s="26">
        <f t="shared" si="3"/>
        <v>0.12369835448592026</v>
      </c>
      <c r="I10" s="20">
        <f t="shared" si="4"/>
        <v>1.1873552794440112E-2</v>
      </c>
      <c r="J10" s="25">
        <f t="shared" si="5"/>
        <v>0.13979019132512985</v>
      </c>
      <c r="L10" s="24" t="s">
        <v>6</v>
      </c>
      <c r="M10" s="23">
        <f t="shared" si="6"/>
        <v>280692.09442536358</v>
      </c>
      <c r="N10" s="22">
        <f t="shared" si="7"/>
        <v>65038.769175388377</v>
      </c>
      <c r="O10" s="21">
        <f t="shared" si="8"/>
        <v>510478.04275486391</v>
      </c>
      <c r="P10" s="154">
        <f t="shared" si="10"/>
        <v>856208.90635561594</v>
      </c>
      <c r="Q10" s="184">
        <f t="shared" si="9"/>
        <v>4.6893145956997707E-2</v>
      </c>
      <c r="S10" s="19"/>
      <c r="T10" s="19"/>
      <c r="U10" s="19"/>
      <c r="V10" s="19"/>
      <c r="W10" s="19"/>
      <c r="X10" s="19"/>
      <c r="Y10" s="19"/>
      <c r="Z10" s="19"/>
    </row>
    <row r="11" spans="1:29">
      <c r="A11" s="24" t="s">
        <v>7</v>
      </c>
      <c r="B11" s="23">
        <v>1849663</v>
      </c>
      <c r="C11" s="22">
        <v>792296.3</v>
      </c>
      <c r="D11" s="166">
        <f t="shared" si="0"/>
        <v>0.42834629875820623</v>
      </c>
      <c r="E11" s="27">
        <f t="shared" si="1"/>
        <v>2.7249665058357801E-2</v>
      </c>
      <c r="F11" s="56">
        <v>788778.4</v>
      </c>
      <c r="G11" s="153">
        <f t="shared" si="2"/>
        <v>4.459934501249041E-3</v>
      </c>
      <c r="H11" s="26">
        <f t="shared" si="3"/>
        <v>4.459934501249041E-3</v>
      </c>
      <c r="I11" s="20">
        <f t="shared" si="4"/>
        <v>4.2810001782483655E-4</v>
      </c>
      <c r="J11" s="25">
        <f t="shared" si="5"/>
        <v>3.2909929825790249E-4</v>
      </c>
      <c r="L11" s="24" t="s">
        <v>7</v>
      </c>
      <c r="M11" s="23">
        <f t="shared" si="6"/>
        <v>248772.02672186794</v>
      </c>
      <c r="N11" s="22">
        <f t="shared" si="7"/>
        <v>2344.9677384116194</v>
      </c>
      <c r="O11" s="21">
        <f t="shared" si="8"/>
        <v>1201.7865062932533</v>
      </c>
      <c r="P11" s="154">
        <f t="shared" si="10"/>
        <v>252318.78096657281</v>
      </c>
      <c r="Q11" s="184">
        <f t="shared" si="9"/>
        <v>1.3819082394177932E-2</v>
      </c>
      <c r="S11" s="19"/>
      <c r="T11" s="19"/>
      <c r="U11" s="19"/>
      <c r="V11" s="19"/>
      <c r="W11" s="19"/>
      <c r="X11" s="19"/>
      <c r="Y11" s="19"/>
      <c r="Z11" s="19"/>
    </row>
    <row r="12" spans="1:29">
      <c r="A12" s="24" t="s">
        <v>8</v>
      </c>
      <c r="B12" s="23">
        <v>2325037</v>
      </c>
      <c r="C12" s="22">
        <v>960189</v>
      </c>
      <c r="D12" s="166">
        <f t="shared" si="0"/>
        <v>0.41297794400691257</v>
      </c>
      <c r="E12" s="27">
        <f t="shared" si="1"/>
        <v>2.6271992271911782E-2</v>
      </c>
      <c r="F12" s="56">
        <v>799410</v>
      </c>
      <c r="G12" s="153">
        <f t="shared" si="2"/>
        <v>0.20112207753218003</v>
      </c>
      <c r="H12" s="26">
        <f t="shared" si="3"/>
        <v>0.20112207753218003</v>
      </c>
      <c r="I12" s="20">
        <f t="shared" si="4"/>
        <v>1.9305298082826401E-2</v>
      </c>
      <c r="J12" s="25">
        <f t="shared" si="5"/>
        <v>3.9883756379394564E-4</v>
      </c>
      <c r="L12" s="24" t="s">
        <v>8</v>
      </c>
      <c r="M12" s="23">
        <f t="shared" si="6"/>
        <v>239846.49901229361</v>
      </c>
      <c r="N12" s="22">
        <f t="shared" si="7"/>
        <v>105747.02008812019</v>
      </c>
      <c r="O12" s="21">
        <f t="shared" si="8"/>
        <v>1456.4528241406813</v>
      </c>
      <c r="P12" s="154">
        <f t="shared" si="10"/>
        <v>347049.97192455444</v>
      </c>
      <c r="Q12" s="184">
        <f t="shared" si="9"/>
        <v>1.9007353073562598E-2</v>
      </c>
      <c r="S12" s="19"/>
      <c r="T12" s="19"/>
      <c r="U12" s="19"/>
      <c r="V12" s="19"/>
      <c r="W12" s="19"/>
      <c r="X12" s="19"/>
      <c r="Y12" s="19"/>
      <c r="Z12" s="19"/>
    </row>
    <row r="13" spans="1:29">
      <c r="A13" s="24" t="s">
        <v>9</v>
      </c>
      <c r="B13" s="23">
        <v>116630005</v>
      </c>
      <c r="C13" s="22">
        <v>36285132.439999998</v>
      </c>
      <c r="D13" s="166">
        <f t="shared" si="0"/>
        <v>0.31111318601075255</v>
      </c>
      <c r="E13" s="27">
        <f t="shared" si="1"/>
        <v>1.9791766938593535E-2</v>
      </c>
      <c r="F13" s="56">
        <v>27527682</v>
      </c>
      <c r="G13" s="153">
        <f t="shared" si="2"/>
        <v>0.31813250530865611</v>
      </c>
      <c r="H13" s="26">
        <f t="shared" si="3"/>
        <v>0.31813250530865611</v>
      </c>
      <c r="I13" s="20">
        <f t="shared" si="4"/>
        <v>3.0536890430824436E-2</v>
      </c>
      <c r="J13" s="25">
        <f t="shared" si="5"/>
        <v>1.5071901286424095E-2</v>
      </c>
      <c r="L13" s="24" t="s">
        <v>9</v>
      </c>
      <c r="M13" s="23">
        <f t="shared" si="6"/>
        <v>180686.18323110853</v>
      </c>
      <c r="N13" s="22">
        <f t="shared" si="7"/>
        <v>167269.37610405165</v>
      </c>
      <c r="O13" s="21">
        <f t="shared" si="8"/>
        <v>55038.730517175936</v>
      </c>
      <c r="P13" s="154">
        <f t="shared" si="10"/>
        <v>402994.28985233611</v>
      </c>
      <c r="Q13" s="184">
        <f t="shared" si="9"/>
        <v>2.2071330855828915E-2</v>
      </c>
      <c r="S13" s="19"/>
      <c r="T13" s="19"/>
      <c r="U13" s="19"/>
      <c r="V13" s="19"/>
      <c r="W13" s="19"/>
      <c r="X13" s="19"/>
      <c r="Y13" s="19"/>
      <c r="Z13" s="19"/>
    </row>
    <row r="14" spans="1:29">
      <c r="A14" s="24" t="s">
        <v>10</v>
      </c>
      <c r="B14" s="23">
        <v>36098646</v>
      </c>
      <c r="C14" s="22">
        <v>5537234.6299999999</v>
      </c>
      <c r="D14" s="166">
        <f t="shared" si="0"/>
        <v>0.15339175408407285</v>
      </c>
      <c r="E14" s="27">
        <f t="shared" si="1"/>
        <v>9.7581651426021446E-3</v>
      </c>
      <c r="F14" s="56">
        <v>4946842.92</v>
      </c>
      <c r="G14" s="153">
        <f t="shared" si="2"/>
        <v>0.1193471714278731</v>
      </c>
      <c r="H14" s="26">
        <f t="shared" si="3"/>
        <v>0.1193471714278731</v>
      </c>
      <c r="I14" s="20">
        <f t="shared" si="4"/>
        <v>1.1455891605876144E-2</v>
      </c>
      <c r="J14" s="25">
        <f t="shared" si="5"/>
        <v>2.300023401626836E-3</v>
      </c>
      <c r="L14" s="24" t="s">
        <v>10</v>
      </c>
      <c r="M14" s="23">
        <f t="shared" si="6"/>
        <v>89085.811308614953</v>
      </c>
      <c r="N14" s="22">
        <f t="shared" si="7"/>
        <v>62750.981340794329</v>
      </c>
      <c r="O14" s="21">
        <f t="shared" si="8"/>
        <v>8399.0974847588132</v>
      </c>
      <c r="P14" s="154">
        <f t="shared" si="10"/>
        <v>160235.89013416809</v>
      </c>
      <c r="Q14" s="184">
        <f t="shared" si="9"/>
        <v>8.7758547333892829E-3</v>
      </c>
      <c r="S14" s="19"/>
      <c r="T14" s="19"/>
      <c r="U14" s="19"/>
      <c r="V14" s="19"/>
      <c r="W14" s="19"/>
      <c r="X14" s="19"/>
      <c r="Y14" s="19"/>
      <c r="Z14" s="19"/>
    </row>
    <row r="15" spans="1:29">
      <c r="A15" s="24" t="s">
        <v>11</v>
      </c>
      <c r="B15" s="23">
        <v>3294944</v>
      </c>
      <c r="C15" s="22">
        <v>1064298</v>
      </c>
      <c r="D15" s="166">
        <f t="shared" si="0"/>
        <v>0.32300943506171881</v>
      </c>
      <c r="E15" s="27">
        <f t="shared" si="1"/>
        <v>2.0548558354859803E-2</v>
      </c>
      <c r="F15" s="56">
        <v>1221813</v>
      </c>
      <c r="G15" s="153">
        <f t="shared" si="2"/>
        <v>-0.12891907354071364</v>
      </c>
      <c r="H15" s="26">
        <f t="shared" si="3"/>
        <v>0</v>
      </c>
      <c r="I15" s="20">
        <f t="shared" si="4"/>
        <v>0</v>
      </c>
      <c r="J15" s="25">
        <f t="shared" si="5"/>
        <v>4.4208173752330923E-4</v>
      </c>
      <c r="L15" s="24" t="s">
        <v>11</v>
      </c>
      <c r="M15" s="23">
        <f t="shared" si="6"/>
        <v>187595.2051962254</v>
      </c>
      <c r="N15" s="22">
        <f t="shared" si="7"/>
        <v>0</v>
      </c>
      <c r="O15" s="21">
        <f t="shared" si="8"/>
        <v>1614.3694916597449</v>
      </c>
      <c r="P15" s="154">
        <f t="shared" si="10"/>
        <v>189209.57468788515</v>
      </c>
      <c r="Q15" s="184">
        <f t="shared" si="9"/>
        <v>1.0362695524934563E-2</v>
      </c>
      <c r="S15" s="19"/>
      <c r="T15" s="19"/>
      <c r="U15" s="19"/>
      <c r="V15" s="19"/>
      <c r="W15" s="19"/>
      <c r="X15" s="19"/>
      <c r="Y15" s="19"/>
      <c r="Z15" s="19"/>
    </row>
    <row r="16" spans="1:29">
      <c r="A16" s="24" t="s">
        <v>12</v>
      </c>
      <c r="B16" s="23">
        <v>5282316</v>
      </c>
      <c r="C16" s="22">
        <v>1864847</v>
      </c>
      <c r="D16" s="166">
        <f t="shared" si="0"/>
        <v>0.35303586532876868</v>
      </c>
      <c r="E16" s="27">
        <f t="shared" si="1"/>
        <v>2.2458718825598717E-2</v>
      </c>
      <c r="F16" s="56">
        <v>1408205</v>
      </c>
      <c r="G16" s="153">
        <f t="shared" si="2"/>
        <v>0.32427238931831659</v>
      </c>
      <c r="H16" s="26">
        <f t="shared" si="3"/>
        <v>0.32427238931831659</v>
      </c>
      <c r="I16" s="20">
        <f t="shared" si="4"/>
        <v>3.1126245376113866E-2</v>
      </c>
      <c r="J16" s="25">
        <f t="shared" si="5"/>
        <v>7.7460899294664709E-4</v>
      </c>
      <c r="L16" s="24" t="s">
        <v>12</v>
      </c>
      <c r="M16" s="23">
        <f t="shared" si="6"/>
        <v>205033.74951051484</v>
      </c>
      <c r="N16" s="22">
        <f t="shared" si="7"/>
        <v>170497.63650029982</v>
      </c>
      <c r="O16" s="21">
        <f t="shared" si="8"/>
        <v>2828.6740211981987</v>
      </c>
      <c r="P16" s="154">
        <f t="shared" si="10"/>
        <v>378360.06003201287</v>
      </c>
      <c r="Q16" s="184">
        <f t="shared" si="9"/>
        <v>2.0722154824222846E-2</v>
      </c>
      <c r="S16" s="19"/>
      <c r="T16" s="19"/>
      <c r="U16" s="19"/>
      <c r="V16" s="19"/>
      <c r="W16" s="19"/>
      <c r="X16" s="19"/>
      <c r="Y16" s="19"/>
      <c r="Z16" s="19"/>
    </row>
    <row r="17" spans="1:26">
      <c r="A17" s="24" t="s">
        <v>13</v>
      </c>
      <c r="B17" s="23">
        <v>53700075</v>
      </c>
      <c r="C17" s="22">
        <v>14209085</v>
      </c>
      <c r="D17" s="166">
        <f t="shared" si="0"/>
        <v>0.26460084087405839</v>
      </c>
      <c r="E17" s="27">
        <f t="shared" si="1"/>
        <v>1.6832839011054458E-2</v>
      </c>
      <c r="F17" s="56">
        <v>12990205</v>
      </c>
      <c r="G17" s="153">
        <f t="shared" si="2"/>
        <v>9.3830697821935871E-2</v>
      </c>
      <c r="H17" s="26">
        <f t="shared" si="3"/>
        <v>9.3830697821935871E-2</v>
      </c>
      <c r="I17" s="20">
        <f t="shared" si="4"/>
        <v>9.0066173390748148E-3</v>
      </c>
      <c r="J17" s="25">
        <f t="shared" si="5"/>
        <v>5.9020847407553053E-3</v>
      </c>
      <c r="L17" s="24" t="s">
        <v>13</v>
      </c>
      <c r="M17" s="23">
        <f t="shared" si="6"/>
        <v>153673.06230351524</v>
      </c>
      <c r="N17" s="22">
        <f t="shared" si="7"/>
        <v>49334.796105966998</v>
      </c>
      <c r="O17" s="21">
        <f t="shared" si="8"/>
        <v>21552.904664295249</v>
      </c>
      <c r="P17" s="154">
        <f t="shared" si="10"/>
        <v>224560.76307377749</v>
      </c>
      <c r="Q17" s="184">
        <f t="shared" si="9"/>
        <v>1.2298821655400735E-2</v>
      </c>
      <c r="S17" s="19"/>
      <c r="T17" s="19"/>
      <c r="U17" s="19"/>
      <c r="V17" s="19"/>
      <c r="W17" s="19"/>
      <c r="X17" s="19"/>
      <c r="Y17" s="19"/>
      <c r="Z17" s="19"/>
    </row>
    <row r="18" spans="1:26">
      <c r="A18" s="24" t="s">
        <v>14</v>
      </c>
      <c r="B18" s="23">
        <v>7034210</v>
      </c>
      <c r="C18" s="22">
        <v>838434</v>
      </c>
      <c r="D18" s="166">
        <f t="shared" si="0"/>
        <v>0.11919376873877806</v>
      </c>
      <c r="E18" s="27">
        <f t="shared" si="1"/>
        <v>7.5826271514219216E-3</v>
      </c>
      <c r="F18" s="56">
        <v>691812</v>
      </c>
      <c r="G18" s="153">
        <f t="shared" si="2"/>
        <v>0.21193908171584197</v>
      </c>
      <c r="H18" s="26">
        <f t="shared" si="3"/>
        <v>0.21193908171584197</v>
      </c>
      <c r="I18" s="20">
        <f t="shared" si="4"/>
        <v>2.0343600255770897E-2</v>
      </c>
      <c r="J18" s="25">
        <f t="shared" si="5"/>
        <v>3.4826370012780092E-4</v>
      </c>
      <c r="L18" s="24" t="s">
        <v>14</v>
      </c>
      <c r="M18" s="23">
        <f t="shared" si="6"/>
        <v>69224.539835469681</v>
      </c>
      <c r="N18" s="22">
        <f t="shared" si="7"/>
        <v>111434.44124415889</v>
      </c>
      <c r="O18" s="21">
        <f t="shared" si="8"/>
        <v>1271.7700027344283</v>
      </c>
      <c r="P18" s="154">
        <f t="shared" si="10"/>
        <v>181930.75108236301</v>
      </c>
      <c r="Q18" s="184">
        <f t="shared" si="9"/>
        <v>9.9640463924677916E-3</v>
      </c>
      <c r="S18" s="19"/>
      <c r="T18" s="19"/>
      <c r="U18" s="19"/>
      <c r="V18" s="19"/>
      <c r="W18" s="19"/>
      <c r="X18" s="19"/>
      <c r="Y18" s="19"/>
      <c r="Z18" s="19"/>
    </row>
    <row r="19" spans="1:26">
      <c r="A19" s="24" t="s">
        <v>15</v>
      </c>
      <c r="B19" s="23">
        <v>1629962</v>
      </c>
      <c r="C19" s="22">
        <v>363195</v>
      </c>
      <c r="D19" s="166">
        <f t="shared" si="0"/>
        <v>0.22282421307981412</v>
      </c>
      <c r="E19" s="27">
        <f t="shared" si="1"/>
        <v>1.4175178333324536E-2</v>
      </c>
      <c r="F19" s="56">
        <v>329170</v>
      </c>
      <c r="G19" s="153">
        <f t="shared" si="2"/>
        <v>0.10336604186286724</v>
      </c>
      <c r="H19" s="26">
        <f t="shared" si="3"/>
        <v>0.10336604186286724</v>
      </c>
      <c r="I19" s="20">
        <f t="shared" si="4"/>
        <v>9.9218955685522765E-3</v>
      </c>
      <c r="J19" s="25">
        <f t="shared" si="5"/>
        <v>1.5086176677939664E-4</v>
      </c>
      <c r="L19" s="24" t="s">
        <v>15</v>
      </c>
      <c r="M19" s="23">
        <f t="shared" si="6"/>
        <v>129410.31882678019</v>
      </c>
      <c r="N19" s="22">
        <f t="shared" si="7"/>
        <v>54348.339274454651</v>
      </c>
      <c r="O19" s="21">
        <f t="shared" si="8"/>
        <v>550.90860597629705</v>
      </c>
      <c r="P19" s="154">
        <f t="shared" si="10"/>
        <v>184309.56670721114</v>
      </c>
      <c r="Q19" s="184">
        <f t="shared" si="9"/>
        <v>1.009433019058383E-2</v>
      </c>
      <c r="S19" s="19"/>
      <c r="T19" s="19"/>
      <c r="U19" s="19"/>
      <c r="V19" s="19"/>
      <c r="W19" s="19"/>
      <c r="X19" s="19"/>
      <c r="Y19" s="19"/>
      <c r="Z19" s="19"/>
    </row>
    <row r="20" spans="1:26">
      <c r="A20" s="24" t="s">
        <v>16</v>
      </c>
      <c r="B20" s="23">
        <v>2243867</v>
      </c>
      <c r="C20" s="22">
        <v>1038863</v>
      </c>
      <c r="D20" s="166">
        <f t="shared" si="0"/>
        <v>0.46297886639448771</v>
      </c>
      <c r="E20" s="27">
        <f t="shared" si="1"/>
        <v>2.9452849423287516E-2</v>
      </c>
      <c r="F20" s="56">
        <v>632096</v>
      </c>
      <c r="G20" s="153">
        <f t="shared" si="2"/>
        <v>0.64352092087277879</v>
      </c>
      <c r="H20" s="26">
        <f t="shared" si="3"/>
        <v>0.64352092087277879</v>
      </c>
      <c r="I20" s="20">
        <f t="shared" si="4"/>
        <v>6.1770260890409545E-2</v>
      </c>
      <c r="J20" s="25">
        <f t="shared" si="5"/>
        <v>4.315166993536374E-4</v>
      </c>
      <c r="L20" s="24" t="s">
        <v>16</v>
      </c>
      <c r="M20" s="23">
        <f t="shared" si="6"/>
        <v>268885.6919185486</v>
      </c>
      <c r="N20" s="22">
        <f t="shared" si="7"/>
        <v>338353.80273342243</v>
      </c>
      <c r="O20" s="21">
        <f t="shared" si="8"/>
        <v>1575.7886731104611</v>
      </c>
      <c r="P20" s="154">
        <f t="shared" si="10"/>
        <v>608815.28332508146</v>
      </c>
      <c r="Q20" s="184">
        <f t="shared" si="9"/>
        <v>3.3343806318637342E-2</v>
      </c>
      <c r="S20" s="19"/>
      <c r="T20" s="19"/>
      <c r="U20" s="19"/>
      <c r="V20" s="19"/>
      <c r="W20" s="19"/>
      <c r="X20" s="19"/>
      <c r="Y20" s="19"/>
      <c r="Z20" s="19"/>
    </row>
    <row r="21" spans="1:26">
      <c r="A21" s="24" t="s">
        <v>17</v>
      </c>
      <c r="B21" s="23">
        <v>10409374</v>
      </c>
      <c r="C21" s="22">
        <v>1281029</v>
      </c>
      <c r="D21" s="166">
        <f t="shared" si="0"/>
        <v>0.12306494127312555</v>
      </c>
      <c r="E21" s="27">
        <f t="shared" si="1"/>
        <v>7.8288955451255617E-3</v>
      </c>
      <c r="F21" s="56">
        <v>1193413</v>
      </c>
      <c r="G21" s="153">
        <f t="shared" si="2"/>
        <v>7.3416327792641844E-2</v>
      </c>
      <c r="H21" s="26">
        <f t="shared" si="3"/>
        <v>7.3416327792641844E-2</v>
      </c>
      <c r="I21" s="20">
        <f t="shared" si="4"/>
        <v>7.0470835900979982E-3</v>
      </c>
      <c r="J21" s="25">
        <f t="shared" si="5"/>
        <v>5.3210616400458082E-4</v>
      </c>
      <c r="L21" s="24" t="s">
        <v>17</v>
      </c>
      <c r="M21" s="23">
        <f t="shared" si="6"/>
        <v>71472.812879853489</v>
      </c>
      <c r="N21" s="22">
        <f t="shared" si="7"/>
        <v>38601.221631883374</v>
      </c>
      <c r="O21" s="21">
        <f t="shared" si="8"/>
        <v>1943.1156833249631</v>
      </c>
      <c r="P21" s="154">
        <f t="shared" si="10"/>
        <v>112017.15019506183</v>
      </c>
      <c r="Q21" s="184">
        <f t="shared" si="9"/>
        <v>6.1349940823930962E-3</v>
      </c>
      <c r="S21" s="19"/>
      <c r="T21" s="19"/>
      <c r="U21" s="19"/>
      <c r="V21" s="19"/>
      <c r="W21" s="19"/>
      <c r="X21" s="19"/>
      <c r="Y21" s="19"/>
      <c r="Z21" s="19"/>
    </row>
    <row r="22" spans="1:26">
      <c r="A22" s="24" t="s">
        <v>18</v>
      </c>
      <c r="B22" s="23">
        <v>415292639</v>
      </c>
      <c r="C22" s="22">
        <v>103525907.23999999</v>
      </c>
      <c r="D22" s="166">
        <f t="shared" si="0"/>
        <v>0.24928423361724933</v>
      </c>
      <c r="E22" s="27">
        <f t="shared" si="1"/>
        <v>1.5858458191636993E-2</v>
      </c>
      <c r="F22" s="56">
        <v>90011508</v>
      </c>
      <c r="G22" s="153">
        <f t="shared" si="2"/>
        <v>0.15014079355275323</v>
      </c>
      <c r="H22" s="26">
        <f t="shared" si="3"/>
        <v>0.15014079355275323</v>
      </c>
      <c r="I22" s="20">
        <f t="shared" si="4"/>
        <v>1.4411708597551812E-2</v>
      </c>
      <c r="J22" s="25">
        <f t="shared" si="5"/>
        <v>4.300197214627495E-2</v>
      </c>
      <c r="L22" s="24" t="s">
        <v>18</v>
      </c>
      <c r="M22" s="23">
        <f t="shared" si="6"/>
        <v>144777.58814901547</v>
      </c>
      <c r="N22" s="22">
        <f t="shared" si="7"/>
        <v>78941.813383610017</v>
      </c>
      <c r="O22" s="21">
        <f t="shared" si="8"/>
        <v>157032.20925403666</v>
      </c>
      <c r="P22" s="154">
        <f t="shared" si="10"/>
        <v>380751.61078666215</v>
      </c>
      <c r="Q22" s="184">
        <f t="shared" si="9"/>
        <v>2.0853136104339032E-2</v>
      </c>
      <c r="S22" s="19"/>
      <c r="T22" s="19"/>
      <c r="U22" s="19"/>
      <c r="V22" s="19"/>
      <c r="W22" s="19"/>
      <c r="X22" s="19"/>
      <c r="Y22" s="19"/>
      <c r="Z22" s="19"/>
    </row>
    <row r="23" spans="1:26">
      <c r="A23" s="24" t="s">
        <v>19</v>
      </c>
      <c r="B23" s="23">
        <v>4596412</v>
      </c>
      <c r="C23" s="22">
        <v>3566422</v>
      </c>
      <c r="D23" s="166">
        <f t="shared" si="0"/>
        <v>0.77591434362280842</v>
      </c>
      <c r="E23" s="27">
        <f t="shared" si="1"/>
        <v>4.9360543184317651E-2</v>
      </c>
      <c r="F23" s="56">
        <v>877317</v>
      </c>
      <c r="G23" s="153">
        <f t="shared" si="2"/>
        <v>3.0651463496090923</v>
      </c>
      <c r="H23" s="26">
        <f t="shared" si="3"/>
        <v>3.0651463496090923</v>
      </c>
      <c r="I23" s="20">
        <f t="shared" si="4"/>
        <v>0.29421714747960892</v>
      </c>
      <c r="J23" s="25">
        <f t="shared" si="5"/>
        <v>1.4813990390861915E-3</v>
      </c>
      <c r="L23" s="24" t="s">
        <v>19</v>
      </c>
      <c r="M23" s="23">
        <f t="shared" si="6"/>
        <v>450630.21294967108</v>
      </c>
      <c r="N23" s="22">
        <f t="shared" si="7"/>
        <v>1611608.7133859252</v>
      </c>
      <c r="O23" s="21">
        <f t="shared" si="8"/>
        <v>5409.6905858924201</v>
      </c>
      <c r="P23" s="154">
        <f t="shared" si="10"/>
        <v>2067648.6169214887</v>
      </c>
      <c r="Q23" s="184">
        <f t="shared" si="9"/>
        <v>0.11324169564385873</v>
      </c>
      <c r="S23" s="19"/>
      <c r="T23" s="19"/>
      <c r="U23" s="19"/>
      <c r="V23" s="19"/>
      <c r="W23" s="19"/>
      <c r="X23" s="19"/>
      <c r="Y23" s="19"/>
      <c r="Z23" s="19"/>
    </row>
    <row r="24" spans="1:26">
      <c r="A24" s="24" t="s">
        <v>20</v>
      </c>
      <c r="B24" s="23">
        <v>459479979</v>
      </c>
      <c r="C24" s="22">
        <v>154603349.86000001</v>
      </c>
      <c r="D24" s="166">
        <f t="shared" si="0"/>
        <v>0.33647461679717716</v>
      </c>
      <c r="E24" s="27">
        <f t="shared" si="1"/>
        <v>2.1405158944861113E-2</v>
      </c>
      <c r="F24" s="56">
        <v>130662277.23999999</v>
      </c>
      <c r="G24" s="153">
        <f t="shared" si="2"/>
        <v>0.18322864965857844</v>
      </c>
      <c r="H24" s="26">
        <f t="shared" si="3"/>
        <v>0.18322864965857844</v>
      </c>
      <c r="I24" s="20">
        <f t="shared" si="4"/>
        <v>1.758774443052703E-2</v>
      </c>
      <c r="J24" s="25">
        <f t="shared" si="5"/>
        <v>6.4218214760370568E-2</v>
      </c>
      <c r="L24" s="24" t="s">
        <v>20</v>
      </c>
      <c r="M24" s="23">
        <f t="shared" si="6"/>
        <v>195415.42112950032</v>
      </c>
      <c r="N24" s="22">
        <f t="shared" si="7"/>
        <v>96338.919793947745</v>
      </c>
      <c r="O24" s="21">
        <f t="shared" si="8"/>
        <v>234508.50356045199</v>
      </c>
      <c r="P24" s="154">
        <f t="shared" si="10"/>
        <v>526262.84448390012</v>
      </c>
      <c r="Q24" s="184">
        <f t="shared" si="9"/>
        <v>2.8822545753662783E-2</v>
      </c>
      <c r="S24" s="19"/>
      <c r="T24" s="19"/>
      <c r="U24" s="19"/>
      <c r="V24" s="19"/>
      <c r="W24" s="19"/>
      <c r="X24" s="19"/>
      <c r="Y24" s="19"/>
      <c r="Z24" s="19"/>
    </row>
    <row r="25" spans="1:26">
      <c r="A25" s="24" t="s">
        <v>21</v>
      </c>
      <c r="B25" s="23">
        <v>12996129</v>
      </c>
      <c r="C25" s="22">
        <v>4608992</v>
      </c>
      <c r="D25" s="166">
        <f t="shared" si="0"/>
        <v>0.35464344806057252</v>
      </c>
      <c r="E25" s="27">
        <f t="shared" si="1"/>
        <v>2.2560986759563011E-2</v>
      </c>
      <c r="F25" s="56">
        <v>3648762.03</v>
      </c>
      <c r="G25" s="153">
        <f t="shared" si="2"/>
        <v>0.26316596207289522</v>
      </c>
      <c r="H25" s="26">
        <f t="shared" si="3"/>
        <v>0.26316596207289522</v>
      </c>
      <c r="I25" s="20">
        <f t="shared" si="4"/>
        <v>2.5260764036499857E-2</v>
      </c>
      <c r="J25" s="25">
        <f t="shared" si="5"/>
        <v>1.9144555299277384E-3</v>
      </c>
      <c r="L25" s="24" t="s">
        <v>21</v>
      </c>
      <c r="M25" s="23">
        <f t="shared" si="6"/>
        <v>205967.39038817227</v>
      </c>
      <c r="N25" s="22">
        <f t="shared" si="7"/>
        <v>138368.77889936877</v>
      </c>
      <c r="O25" s="21">
        <f t="shared" si="8"/>
        <v>6991.1021838844308</v>
      </c>
      <c r="P25" s="154">
        <f t="shared" si="10"/>
        <v>351327.27147142548</v>
      </c>
      <c r="Q25" s="184">
        <f t="shared" si="9"/>
        <v>1.9241613696717012E-2</v>
      </c>
      <c r="S25" s="19"/>
      <c r="T25" s="19"/>
      <c r="U25" s="19"/>
      <c r="V25" s="19"/>
      <c r="W25" s="19"/>
      <c r="X25" s="19"/>
      <c r="Y25" s="19"/>
      <c r="Z25" s="19"/>
    </row>
    <row r="26" spans="1:26">
      <c r="A26" s="24" t="s">
        <v>22</v>
      </c>
      <c r="B26" s="23">
        <v>844965</v>
      </c>
      <c r="C26" s="22">
        <v>246797</v>
      </c>
      <c r="D26" s="166">
        <f t="shared" si="0"/>
        <v>0.29207955359097715</v>
      </c>
      <c r="E26" s="27">
        <f t="shared" si="1"/>
        <v>1.858092395994192E-2</v>
      </c>
      <c r="F26" s="56">
        <v>218938</v>
      </c>
      <c r="G26" s="153">
        <f t="shared" si="2"/>
        <v>0.12724606966355778</v>
      </c>
      <c r="H26" s="26">
        <f t="shared" si="3"/>
        <v>0.12724606966355778</v>
      </c>
      <c r="I26" s="20">
        <f t="shared" si="4"/>
        <v>1.2214090739640589E-2</v>
      </c>
      <c r="J26" s="25">
        <f t="shared" si="5"/>
        <v>1.0251306173227813E-4</v>
      </c>
      <c r="L26" s="24" t="s">
        <v>22</v>
      </c>
      <c r="M26" s="23">
        <f t="shared" si="6"/>
        <v>169631.96068576694</v>
      </c>
      <c r="N26" s="22">
        <f t="shared" si="7"/>
        <v>66904.105456516118</v>
      </c>
      <c r="O26" s="21">
        <f t="shared" si="8"/>
        <v>374.35149500717853</v>
      </c>
      <c r="P26" s="154">
        <f t="shared" si="10"/>
        <v>236910.41763729023</v>
      </c>
      <c r="Q26" s="184">
        <f t="shared" si="9"/>
        <v>1.2975191814209591E-2</v>
      </c>
      <c r="S26" s="19"/>
      <c r="T26" s="19"/>
      <c r="U26" s="19"/>
      <c r="V26" s="19"/>
      <c r="W26" s="19"/>
      <c r="X26" s="19"/>
      <c r="Y26" s="19"/>
      <c r="Z26" s="19"/>
    </row>
    <row r="27" spans="1:26">
      <c r="A27" s="24" t="s">
        <v>23</v>
      </c>
      <c r="B27" s="23">
        <v>1658016</v>
      </c>
      <c r="C27" s="22">
        <v>165744</v>
      </c>
      <c r="D27" s="166">
        <f t="shared" si="0"/>
        <v>9.996525968386312E-2</v>
      </c>
      <c r="E27" s="27">
        <f t="shared" si="1"/>
        <v>6.3593869067015999E-3</v>
      </c>
      <c r="F27" s="56">
        <v>140414</v>
      </c>
      <c r="G27" s="153">
        <f t="shared" si="2"/>
        <v>0.18039511729599611</v>
      </c>
      <c r="H27" s="26">
        <f t="shared" si="3"/>
        <v>0.18039511729599611</v>
      </c>
      <c r="I27" s="20">
        <f t="shared" si="4"/>
        <v>1.7315759437341809E-2</v>
      </c>
      <c r="J27" s="25">
        <f t="shared" si="5"/>
        <v>6.8845751381721446E-5</v>
      </c>
      <c r="L27" s="24" t="s">
        <v>23</v>
      </c>
      <c r="M27" s="23">
        <f t="shared" si="6"/>
        <v>58057.13817401354</v>
      </c>
      <c r="N27" s="22">
        <f t="shared" si="7"/>
        <v>94849.090296644586</v>
      </c>
      <c r="O27" s="21">
        <f t="shared" si="8"/>
        <v>251.40708431816353</v>
      </c>
      <c r="P27" s="154">
        <f t="shared" si="10"/>
        <v>153157.6355549763</v>
      </c>
      <c r="Q27" s="184">
        <f t="shared" si="9"/>
        <v>8.3881904348296864E-3</v>
      </c>
      <c r="S27" s="19"/>
      <c r="T27" s="19"/>
      <c r="U27" s="19"/>
      <c r="V27" s="19"/>
      <c r="W27" s="19"/>
      <c r="X27" s="19"/>
      <c r="Y27" s="19"/>
      <c r="Z27" s="19"/>
    </row>
    <row r="28" spans="1:26">
      <c r="A28" s="24" t="s">
        <v>24</v>
      </c>
      <c r="B28" s="23">
        <v>69984471</v>
      </c>
      <c r="C28" s="22">
        <v>12472493</v>
      </c>
      <c r="D28" s="166">
        <f t="shared" si="0"/>
        <v>0.17821800782062067</v>
      </c>
      <c r="E28" s="27">
        <f t="shared" si="1"/>
        <v>1.1337511342011254E-2</v>
      </c>
      <c r="F28" s="56">
        <v>9156806</v>
      </c>
      <c r="G28" s="153">
        <f t="shared" si="2"/>
        <v>0.36210082423936907</v>
      </c>
      <c r="H28" s="26">
        <f t="shared" si="3"/>
        <v>0.36210082423936907</v>
      </c>
      <c r="I28" s="20">
        <f t="shared" si="4"/>
        <v>3.4757319702306971E-2</v>
      </c>
      <c r="J28" s="25">
        <f t="shared" si="5"/>
        <v>5.1807495425973847E-3</v>
      </c>
      <c r="L28" s="24" t="s">
        <v>24</v>
      </c>
      <c r="M28" s="23">
        <f t="shared" si="6"/>
        <v>103504.23274906407</v>
      </c>
      <c r="N28" s="22">
        <f t="shared" si="7"/>
        <v>190387.26928742454</v>
      </c>
      <c r="O28" s="21">
        <f t="shared" si="8"/>
        <v>18918.772922752582</v>
      </c>
      <c r="P28" s="154">
        <f t="shared" si="10"/>
        <v>312810.27495924121</v>
      </c>
      <c r="Q28" s="184">
        <f t="shared" si="9"/>
        <v>1.7132101490217197E-2</v>
      </c>
      <c r="S28" s="19"/>
      <c r="T28" s="19"/>
      <c r="U28" s="19"/>
      <c r="V28" s="19"/>
      <c r="W28" s="19"/>
      <c r="X28" s="19"/>
      <c r="Y28" s="19"/>
      <c r="Z28" s="19"/>
    </row>
    <row r="29" spans="1:26">
      <c r="A29" s="24" t="s">
        <v>25</v>
      </c>
      <c r="B29" s="23">
        <v>534177051</v>
      </c>
      <c r="C29" s="22">
        <v>210861820.25999999</v>
      </c>
      <c r="D29" s="166">
        <f t="shared" si="0"/>
        <v>0.39474144361922425</v>
      </c>
      <c r="E29" s="27">
        <f t="shared" si="1"/>
        <v>2.5111859620265756E-2</v>
      </c>
      <c r="F29" s="56">
        <v>215375991.11000001</v>
      </c>
      <c r="G29" s="153">
        <f t="shared" si="2"/>
        <v>-2.0959489619687854E-2</v>
      </c>
      <c r="H29" s="26">
        <f t="shared" si="3"/>
        <v>0</v>
      </c>
      <c r="I29" s="20">
        <f t="shared" si="4"/>
        <v>0</v>
      </c>
      <c r="J29" s="25">
        <f t="shared" si="5"/>
        <v>8.7586521705263487E-2</v>
      </c>
      <c r="L29" s="24" t="s">
        <v>25</v>
      </c>
      <c r="M29" s="23">
        <f t="shared" si="6"/>
        <v>229255.22934354303</v>
      </c>
      <c r="N29" s="22">
        <f t="shared" si="7"/>
        <v>0</v>
      </c>
      <c r="O29" s="21">
        <f t="shared" si="8"/>
        <v>319843.58664921357</v>
      </c>
      <c r="P29" s="154">
        <f t="shared" si="10"/>
        <v>549098.81599275663</v>
      </c>
      <c r="Q29" s="184">
        <f t="shared" si="9"/>
        <v>3.0073234151185579E-2</v>
      </c>
      <c r="S29" s="19"/>
      <c r="T29" s="19"/>
      <c r="U29" s="19"/>
      <c r="V29" s="19"/>
      <c r="W29" s="19"/>
      <c r="X29" s="19"/>
      <c r="Y29" s="19"/>
      <c r="Z29" s="19"/>
    </row>
    <row r="30" spans="1:26">
      <c r="A30" s="24" t="s">
        <v>26</v>
      </c>
      <c r="B30" s="23">
        <v>1059673</v>
      </c>
      <c r="C30" s="22">
        <v>297293.69</v>
      </c>
      <c r="D30" s="166">
        <f t="shared" si="0"/>
        <v>0.28055229301869539</v>
      </c>
      <c r="E30" s="27">
        <f t="shared" si="1"/>
        <v>1.7847606103465231E-2</v>
      </c>
      <c r="F30" s="56">
        <v>288216.5</v>
      </c>
      <c r="G30" s="153">
        <f t="shared" si="2"/>
        <v>3.1494345396603007E-2</v>
      </c>
      <c r="H30" s="26">
        <f t="shared" si="3"/>
        <v>3.1494345396603007E-2</v>
      </c>
      <c r="I30" s="20">
        <f t="shared" si="4"/>
        <v>3.0230779895739184E-3</v>
      </c>
      <c r="J30" s="25">
        <f t="shared" si="5"/>
        <v>1.2348807479664161E-4</v>
      </c>
      <c r="L30" s="24" t="s">
        <v>26</v>
      </c>
      <c r="M30" s="23">
        <f t="shared" si="6"/>
        <v>162937.23731957685</v>
      </c>
      <c r="N30" s="22">
        <f t="shared" si="7"/>
        <v>16559.261997400044</v>
      </c>
      <c r="O30" s="21">
        <f t="shared" si="8"/>
        <v>450.94688066589418</v>
      </c>
      <c r="P30" s="154">
        <f t="shared" si="10"/>
        <v>179947.4461976428</v>
      </c>
      <c r="Q30" s="184">
        <f t="shared" si="9"/>
        <v>9.8554240635641208E-3</v>
      </c>
      <c r="S30" s="19"/>
      <c r="T30" s="19"/>
      <c r="U30" s="19"/>
      <c r="V30" s="19"/>
      <c r="W30" s="19"/>
      <c r="X30" s="19"/>
      <c r="Y30" s="19"/>
      <c r="Z30" s="19"/>
    </row>
    <row r="31" spans="1:26">
      <c r="A31" s="24" t="s">
        <v>27</v>
      </c>
      <c r="B31" s="23">
        <v>2387896</v>
      </c>
      <c r="C31" s="22">
        <v>539788</v>
      </c>
      <c r="D31" s="166">
        <f t="shared" si="0"/>
        <v>0.22605172084546396</v>
      </c>
      <c r="E31" s="27">
        <f t="shared" si="1"/>
        <v>1.4380499368762857E-2</v>
      </c>
      <c r="F31" s="56">
        <v>518824</v>
      </c>
      <c r="G31" s="153">
        <f t="shared" si="2"/>
        <v>4.0406766070960387E-2</v>
      </c>
      <c r="H31" s="26">
        <f t="shared" si="3"/>
        <v>4.0406766070960387E-2</v>
      </c>
      <c r="I31" s="20">
        <f t="shared" si="4"/>
        <v>3.8785630753944162E-3</v>
      </c>
      <c r="J31" s="25">
        <f t="shared" si="5"/>
        <v>2.2421391089171645E-4</v>
      </c>
      <c r="L31" s="24" t="s">
        <v>27</v>
      </c>
      <c r="M31" s="23">
        <f t="shared" si="6"/>
        <v>131284.76865965832</v>
      </c>
      <c r="N31" s="22">
        <f t="shared" si="7"/>
        <v>21245.281253213721</v>
      </c>
      <c r="O31" s="21">
        <f t="shared" si="8"/>
        <v>818.77188453236818</v>
      </c>
      <c r="P31" s="154">
        <f t="shared" si="10"/>
        <v>153348.82179740441</v>
      </c>
      <c r="Q31" s="184">
        <f t="shared" si="9"/>
        <v>8.3986613891780977E-3</v>
      </c>
      <c r="S31" s="19"/>
      <c r="T31" s="19"/>
      <c r="U31" s="19"/>
      <c r="V31" s="19"/>
      <c r="W31" s="19"/>
      <c r="X31" s="19"/>
      <c r="Y31" s="19"/>
      <c r="Z31" s="19"/>
    </row>
    <row r="32" spans="1:26">
      <c r="A32" s="24" t="s">
        <v>28</v>
      </c>
      <c r="B32" s="23">
        <v>708159</v>
      </c>
      <c r="C32" s="22">
        <v>419888</v>
      </c>
      <c r="D32" s="166">
        <f t="shared" si="0"/>
        <v>0.5929289891112024</v>
      </c>
      <c r="E32" s="27">
        <f t="shared" si="1"/>
        <v>3.77197524608269E-2</v>
      </c>
      <c r="F32" s="56">
        <v>336929</v>
      </c>
      <c r="G32" s="153">
        <f t="shared" si="2"/>
        <v>0.2462210139228147</v>
      </c>
      <c r="H32" s="26">
        <f t="shared" si="3"/>
        <v>0.2462210139228147</v>
      </c>
      <c r="I32" s="20">
        <f t="shared" si="4"/>
        <v>2.3634253018667908E-2</v>
      </c>
      <c r="J32" s="25">
        <f t="shared" si="5"/>
        <v>1.7441056603055465E-4</v>
      </c>
      <c r="L32" s="24" t="s">
        <v>28</v>
      </c>
      <c r="M32" s="23">
        <f t="shared" si="6"/>
        <v>344357.23327355192</v>
      </c>
      <c r="N32" s="22">
        <f t="shared" si="7"/>
        <v>129459.37524560027</v>
      </c>
      <c r="O32" s="21">
        <f t="shared" si="8"/>
        <v>636.90280082648565</v>
      </c>
      <c r="P32" s="154">
        <f t="shared" si="10"/>
        <v>474453.51131997863</v>
      </c>
      <c r="Q32" s="184">
        <f t="shared" si="9"/>
        <v>2.5985034249219933E-2</v>
      </c>
      <c r="S32" s="19"/>
      <c r="T32" s="19"/>
      <c r="U32" s="19"/>
      <c r="V32" s="19"/>
      <c r="W32" s="19"/>
      <c r="X32" s="19"/>
      <c r="Y32" s="19"/>
      <c r="Z32" s="19"/>
    </row>
    <row r="33" spans="1:26">
      <c r="A33" s="24" t="s">
        <v>29</v>
      </c>
      <c r="B33" s="23">
        <v>2080067</v>
      </c>
      <c r="C33" s="22">
        <v>656691</v>
      </c>
      <c r="D33" s="166">
        <f t="shared" si="0"/>
        <v>0.31570665752593546</v>
      </c>
      <c r="E33" s="27">
        <f t="shared" si="1"/>
        <v>2.0083985082200041E-2</v>
      </c>
      <c r="F33" s="56">
        <v>629171</v>
      </c>
      <c r="G33" s="153">
        <f t="shared" si="2"/>
        <v>4.3740096094702308E-2</v>
      </c>
      <c r="H33" s="26">
        <f t="shared" si="3"/>
        <v>4.3740096094702308E-2</v>
      </c>
      <c r="I33" s="20">
        <f t="shared" si="4"/>
        <v>4.1985226268587564E-3</v>
      </c>
      <c r="J33" s="25">
        <f t="shared" si="5"/>
        <v>2.7277237981835863E-4</v>
      </c>
      <c r="L33" s="24" t="s">
        <v>29</v>
      </c>
      <c r="M33" s="23">
        <f t="shared" si="6"/>
        <v>183353.94812562034</v>
      </c>
      <c r="N33" s="22">
        <f t="shared" si="7"/>
        <v>22997.896984445772</v>
      </c>
      <c r="O33" s="21">
        <f t="shared" si="8"/>
        <v>996.09499956546904</v>
      </c>
      <c r="P33" s="154">
        <f t="shared" si="10"/>
        <v>207347.9401096316</v>
      </c>
      <c r="Q33" s="184">
        <f t="shared" si="9"/>
        <v>1.135610380512132E-2</v>
      </c>
      <c r="S33" s="19"/>
      <c r="T33" s="19"/>
      <c r="U33" s="19"/>
      <c r="V33" s="19"/>
      <c r="W33" s="19"/>
      <c r="X33" s="19"/>
      <c r="Y33" s="19"/>
      <c r="Z33" s="19"/>
    </row>
    <row r="34" spans="1:26">
      <c r="A34" s="24" t="s">
        <v>30</v>
      </c>
      <c r="B34" s="23">
        <v>619036</v>
      </c>
      <c r="C34" s="22">
        <v>129046</v>
      </c>
      <c r="D34" s="166">
        <f t="shared" si="0"/>
        <v>0.20846283576399435</v>
      </c>
      <c r="E34" s="27">
        <f t="shared" si="1"/>
        <v>1.3261565392656426E-2</v>
      </c>
      <c r="F34" s="56">
        <v>112915</v>
      </c>
      <c r="G34" s="153">
        <f t="shared" si="2"/>
        <v>0.14285967320550852</v>
      </c>
      <c r="H34" s="26">
        <f t="shared" si="3"/>
        <v>0.14285967320550852</v>
      </c>
      <c r="I34" s="20">
        <f t="shared" si="4"/>
        <v>1.3712808703491198E-2</v>
      </c>
      <c r="J34" s="25">
        <f t="shared" si="5"/>
        <v>5.3602355637643744E-5</v>
      </c>
      <c r="L34" s="24" t="s">
        <v>30</v>
      </c>
      <c r="M34" s="23">
        <f t="shared" si="6"/>
        <v>121069.61656851073</v>
      </c>
      <c r="N34" s="22">
        <f t="shared" si="7"/>
        <v>75113.50776409934</v>
      </c>
      <c r="O34" s="21">
        <f t="shared" si="8"/>
        <v>195.74209988247975</v>
      </c>
      <c r="P34" s="154">
        <f t="shared" si="10"/>
        <v>196378.86643249253</v>
      </c>
      <c r="Q34" s="184">
        <f t="shared" si="9"/>
        <v>1.07553457785031E-2</v>
      </c>
      <c r="S34" s="19"/>
      <c r="T34" s="19"/>
      <c r="U34" s="19"/>
      <c r="V34" s="19"/>
      <c r="W34" s="19"/>
      <c r="X34" s="19"/>
      <c r="Y34" s="19"/>
      <c r="Z34" s="19"/>
    </row>
    <row r="35" spans="1:26">
      <c r="A35" s="24" t="s">
        <v>31</v>
      </c>
      <c r="B35" s="23">
        <v>593222877</v>
      </c>
      <c r="C35" s="22">
        <v>116809127.09999999</v>
      </c>
      <c r="D35" s="166">
        <f t="shared" si="0"/>
        <v>0.19690597181740177</v>
      </c>
      <c r="E35" s="27">
        <f t="shared" si="1"/>
        <v>1.2526364288823786E-2</v>
      </c>
      <c r="F35" s="56">
        <v>99086847.890000001</v>
      </c>
      <c r="G35" s="153">
        <f t="shared" si="2"/>
        <v>0.1788560196169946</v>
      </c>
      <c r="H35" s="26">
        <f t="shared" si="3"/>
        <v>0.1788560196169946</v>
      </c>
      <c r="I35" s="20">
        <f t="shared" si="4"/>
        <v>1.7168024589749274E-2</v>
      </c>
      <c r="J35" s="25">
        <f t="shared" si="5"/>
        <v>4.8519476562907254E-2</v>
      </c>
      <c r="L35" s="24" t="s">
        <v>31</v>
      </c>
      <c r="M35" s="23">
        <f t="shared" si="6"/>
        <v>114357.70035754418</v>
      </c>
      <c r="N35" s="22">
        <f t="shared" si="7"/>
        <v>94039.855451937343</v>
      </c>
      <c r="O35" s="21">
        <f t="shared" si="8"/>
        <v>177180.72488874878</v>
      </c>
      <c r="P35" s="154">
        <f t="shared" si="10"/>
        <v>385578.28069823032</v>
      </c>
      <c r="Q35" s="184">
        <f t="shared" si="9"/>
        <v>2.1117484833918128E-2</v>
      </c>
      <c r="S35" s="19"/>
      <c r="T35" s="19"/>
      <c r="U35" s="19"/>
      <c r="V35" s="19"/>
      <c r="W35" s="19"/>
      <c r="X35" s="19"/>
      <c r="Y35" s="19"/>
      <c r="Z35" s="19"/>
    </row>
    <row r="36" spans="1:26">
      <c r="A36" s="24" t="s">
        <v>32</v>
      </c>
      <c r="B36" s="23">
        <v>3907034</v>
      </c>
      <c r="C36" s="22">
        <v>1176027</v>
      </c>
      <c r="D36" s="166">
        <f t="shared" si="0"/>
        <v>0.3010024995943214</v>
      </c>
      <c r="E36" s="27">
        <f t="shared" si="1"/>
        <v>1.914856582034748E-2</v>
      </c>
      <c r="F36" s="56">
        <v>1194083</v>
      </c>
      <c r="G36" s="153">
        <f t="shared" si="2"/>
        <v>-1.5121226916386843E-2</v>
      </c>
      <c r="H36" s="26">
        <f t="shared" si="3"/>
        <v>0</v>
      </c>
      <c r="I36" s="20">
        <f t="shared" si="4"/>
        <v>0</v>
      </c>
      <c r="J36" s="25">
        <f t="shared" si="5"/>
        <v>4.884910612763763E-4</v>
      </c>
      <c r="L36" s="24" t="s">
        <v>32</v>
      </c>
      <c r="M36" s="23">
        <f t="shared" si="6"/>
        <v>174814.16809135673</v>
      </c>
      <c r="N36" s="22">
        <f t="shared" si="7"/>
        <v>0</v>
      </c>
      <c r="O36" s="21">
        <f t="shared" si="8"/>
        <v>1783.8444779264216</v>
      </c>
      <c r="P36" s="154">
        <f t="shared" si="10"/>
        <v>176598.01256928314</v>
      </c>
      <c r="Q36" s="184">
        <f t="shared" si="9"/>
        <v>9.6719811224290145E-3</v>
      </c>
      <c r="S36" s="19"/>
      <c r="T36" s="19"/>
      <c r="U36" s="19"/>
      <c r="V36" s="19"/>
      <c r="W36" s="19"/>
      <c r="X36" s="19"/>
      <c r="Y36" s="19"/>
      <c r="Z36" s="19"/>
    </row>
    <row r="37" spans="1:26">
      <c r="A37" s="24" t="s">
        <v>33</v>
      </c>
      <c r="B37" s="23">
        <v>40511812</v>
      </c>
      <c r="C37" s="22">
        <v>12032960</v>
      </c>
      <c r="D37" s="166">
        <f t="shared" si="0"/>
        <v>0.2970234952709595</v>
      </c>
      <c r="E37" s="27">
        <f t="shared" si="1"/>
        <v>1.8895437602847523E-2</v>
      </c>
      <c r="F37" s="56">
        <v>10280239</v>
      </c>
      <c r="G37" s="153">
        <f t="shared" si="2"/>
        <v>0.17049418792695392</v>
      </c>
      <c r="H37" s="26">
        <f t="shared" si="3"/>
        <v>0.17049418792695392</v>
      </c>
      <c r="I37" s="20">
        <f t="shared" si="4"/>
        <v>1.6365389417741218E-2</v>
      </c>
      <c r="J37" s="25">
        <f t="shared" si="5"/>
        <v>4.998178953966351E-3</v>
      </c>
      <c r="L37" s="24" t="s">
        <v>33</v>
      </c>
      <c r="M37" s="23">
        <f t="shared" si="6"/>
        <v>172503.26923982592</v>
      </c>
      <c r="N37" s="22">
        <f t="shared" si="7"/>
        <v>89643.32775816026</v>
      </c>
      <c r="O37" s="21">
        <f t="shared" si="8"/>
        <v>18252.071805417323</v>
      </c>
      <c r="P37" s="154">
        <f t="shared" si="10"/>
        <v>280398.6688034035</v>
      </c>
      <c r="Q37" s="184">
        <f t="shared" si="9"/>
        <v>1.5356971417539398E-2</v>
      </c>
      <c r="S37" s="19"/>
      <c r="T37" s="19"/>
      <c r="U37" s="19"/>
      <c r="V37" s="19"/>
      <c r="W37" s="19"/>
      <c r="X37" s="19"/>
      <c r="Y37" s="19"/>
      <c r="Z37" s="19"/>
    </row>
    <row r="38" spans="1:26">
      <c r="A38" s="24" t="s">
        <v>34</v>
      </c>
      <c r="B38" s="23">
        <v>2187206</v>
      </c>
      <c r="C38" s="22">
        <v>947940</v>
      </c>
      <c r="D38" s="166">
        <f t="shared" si="0"/>
        <v>0.43340224926230086</v>
      </c>
      <c r="E38" s="27">
        <f t="shared" si="1"/>
        <v>2.7571304251196922E-2</v>
      </c>
      <c r="F38" s="56">
        <v>940947</v>
      </c>
      <c r="G38" s="153">
        <f t="shared" si="2"/>
        <v>7.4318744838977047E-3</v>
      </c>
      <c r="H38" s="26">
        <f t="shared" si="3"/>
        <v>7.4318744838977047E-3</v>
      </c>
      <c r="I38" s="20">
        <f t="shared" si="4"/>
        <v>7.1337047621159604E-4</v>
      </c>
      <c r="J38" s="25">
        <f t="shared" si="5"/>
        <v>3.9374964743694508E-4</v>
      </c>
      <c r="L38" s="24" t="s">
        <v>34</v>
      </c>
      <c r="M38" s="23">
        <f t="shared" si="6"/>
        <v>251708.38699288096</v>
      </c>
      <c r="N38" s="22">
        <f t="shared" si="7"/>
        <v>3907.5699196443152</v>
      </c>
      <c r="O38" s="21">
        <f t="shared" si="8"/>
        <v>1437.8730542798528</v>
      </c>
      <c r="P38" s="154">
        <f t="shared" si="10"/>
        <v>257053.82996680512</v>
      </c>
      <c r="Q38" s="184">
        <f t="shared" si="9"/>
        <v>1.4078413197949328E-2</v>
      </c>
      <c r="S38" s="19"/>
      <c r="T38" s="19"/>
      <c r="U38" s="19"/>
      <c r="V38" s="19"/>
      <c r="W38" s="19"/>
      <c r="X38" s="19"/>
      <c r="Y38" s="19"/>
      <c r="Z38" s="19"/>
    </row>
    <row r="39" spans="1:26">
      <c r="A39" s="24" t="s">
        <v>35</v>
      </c>
      <c r="B39" s="23">
        <v>769899</v>
      </c>
      <c r="C39" s="22">
        <v>296637</v>
      </c>
      <c r="D39" s="166">
        <f t="shared" si="0"/>
        <v>0.38529339562721865</v>
      </c>
      <c r="E39" s="27">
        <f t="shared" si="1"/>
        <v>2.4510812887788277E-2</v>
      </c>
      <c r="F39" s="56">
        <v>301669</v>
      </c>
      <c r="G39" s="153">
        <f t="shared" si="2"/>
        <v>-1.6680533962720734E-2</v>
      </c>
      <c r="H39" s="26">
        <f t="shared" si="3"/>
        <v>0</v>
      </c>
      <c r="I39" s="20">
        <f t="shared" si="4"/>
        <v>0</v>
      </c>
      <c r="J39" s="25">
        <f t="shared" si="5"/>
        <v>1.2321530283219726E-4</v>
      </c>
      <c r="L39" s="24" t="s">
        <v>35</v>
      </c>
      <c r="M39" s="23">
        <f t="shared" si="6"/>
        <v>223768.0568049904</v>
      </c>
      <c r="N39" s="22">
        <f t="shared" si="7"/>
        <v>0</v>
      </c>
      <c r="O39" s="21">
        <f t="shared" si="8"/>
        <v>449.95078718316842</v>
      </c>
      <c r="P39" s="154">
        <f t="shared" si="10"/>
        <v>224218.00759217356</v>
      </c>
      <c r="Q39" s="184">
        <f t="shared" si="9"/>
        <v>1.2280049504460577E-2</v>
      </c>
      <c r="S39" s="19"/>
      <c r="T39" s="19"/>
      <c r="U39" s="19"/>
      <c r="V39" s="19"/>
      <c r="W39" s="19"/>
      <c r="X39" s="19"/>
      <c r="Y39" s="19"/>
      <c r="Z39" s="19"/>
    </row>
    <row r="40" spans="1:26">
      <c r="A40" s="24" t="s">
        <v>36</v>
      </c>
      <c r="B40" s="23">
        <v>847487</v>
      </c>
      <c r="C40" s="22">
        <v>101056</v>
      </c>
      <c r="D40" s="166">
        <f t="shared" si="0"/>
        <v>0.11924194707411441</v>
      </c>
      <c r="E40" s="27">
        <f t="shared" si="1"/>
        <v>7.5856920629311158E-3</v>
      </c>
      <c r="F40" s="56">
        <v>64774</v>
      </c>
      <c r="G40" s="153">
        <f t="shared" si="2"/>
        <v>0.56013215178929809</v>
      </c>
      <c r="H40" s="26">
        <f t="shared" si="3"/>
        <v>0.56013215178929809</v>
      </c>
      <c r="I40" s="20">
        <f t="shared" si="4"/>
        <v>5.3765942997168838E-2</v>
      </c>
      <c r="J40" s="25">
        <f t="shared" si="5"/>
        <v>4.1976036849787876E-5</v>
      </c>
      <c r="L40" s="24" t="s">
        <v>36</v>
      </c>
      <c r="M40" s="23">
        <f t="shared" si="6"/>
        <v>69252.520518763675</v>
      </c>
      <c r="N40" s="22">
        <f t="shared" si="7"/>
        <v>294509.21864998923</v>
      </c>
      <c r="O40" s="21">
        <f t="shared" si="8"/>
        <v>153.28575582136506</v>
      </c>
      <c r="P40" s="154">
        <f t="shared" si="10"/>
        <v>363915.0249245743</v>
      </c>
      <c r="Q40" s="184">
        <f t="shared" si="9"/>
        <v>1.993102413798617E-2</v>
      </c>
      <c r="S40" s="19"/>
      <c r="T40" s="19"/>
      <c r="U40" s="19"/>
      <c r="V40" s="19"/>
      <c r="W40" s="19"/>
      <c r="X40" s="19"/>
      <c r="Y40" s="19"/>
      <c r="Z40" s="19"/>
    </row>
    <row r="41" spans="1:26">
      <c r="A41" s="24" t="s">
        <v>37</v>
      </c>
      <c r="B41" s="23">
        <v>4772320</v>
      </c>
      <c r="C41" s="22">
        <v>933845.6</v>
      </c>
      <c r="D41" s="166">
        <f t="shared" si="0"/>
        <v>0.19567958561035304</v>
      </c>
      <c r="E41" s="27">
        <f t="shared" si="1"/>
        <v>1.2448346541335014E-2</v>
      </c>
      <c r="F41" s="56">
        <v>1105076</v>
      </c>
      <c r="G41" s="153">
        <f t="shared" si="2"/>
        <v>-0.15494898088457265</v>
      </c>
      <c r="H41" s="26">
        <f t="shared" si="3"/>
        <v>0</v>
      </c>
      <c r="I41" s="20">
        <f t="shared" si="4"/>
        <v>0</v>
      </c>
      <c r="J41" s="25">
        <f t="shared" si="5"/>
        <v>3.8789519986554254E-4</v>
      </c>
      <c r="L41" s="24" t="s">
        <v>37</v>
      </c>
      <c r="M41" s="23">
        <f t="shared" si="6"/>
        <v>113645.44818411411</v>
      </c>
      <c r="N41" s="22">
        <f t="shared" si="7"/>
        <v>0</v>
      </c>
      <c r="O41" s="21">
        <f t="shared" si="8"/>
        <v>1416.4941083800679</v>
      </c>
      <c r="P41" s="154">
        <f t="shared" si="10"/>
        <v>115061.94229249418</v>
      </c>
      <c r="Q41" s="184">
        <f t="shared" si="9"/>
        <v>6.3017523106406147E-3</v>
      </c>
      <c r="S41" s="19"/>
      <c r="T41" s="19"/>
      <c r="U41" s="19"/>
      <c r="V41" s="19"/>
      <c r="W41" s="19"/>
      <c r="X41" s="19"/>
      <c r="Y41" s="19"/>
      <c r="Z41" s="19"/>
    </row>
    <row r="42" spans="1:26">
      <c r="A42" s="24" t="s">
        <v>38</v>
      </c>
      <c r="B42" s="23">
        <v>62554222</v>
      </c>
      <c r="C42" s="22">
        <v>20840679</v>
      </c>
      <c r="D42" s="166">
        <f t="shared" si="0"/>
        <v>0.33316182878911033</v>
      </c>
      <c r="E42" s="27">
        <f t="shared" si="1"/>
        <v>2.1194412724126001E-2</v>
      </c>
      <c r="F42" s="56">
        <v>16891683.199999999</v>
      </c>
      <c r="G42" s="153">
        <f t="shared" si="2"/>
        <v>0.23378343965153214</v>
      </c>
      <c r="H42" s="26">
        <f t="shared" si="3"/>
        <v>0.23378343965153214</v>
      </c>
      <c r="I42" s="20">
        <f t="shared" si="4"/>
        <v>2.2440395627770664E-2</v>
      </c>
      <c r="J42" s="25">
        <f t="shared" si="5"/>
        <v>8.6566765919747508E-3</v>
      </c>
      <c r="L42" s="24" t="s">
        <v>38</v>
      </c>
      <c r="M42" s="23">
        <f t="shared" si="6"/>
        <v>193491.44282209841</v>
      </c>
      <c r="N42" s="22">
        <f t="shared" si="7"/>
        <v>122919.88225482027</v>
      </c>
      <c r="O42" s="21">
        <f t="shared" si="8"/>
        <v>31611.969921087821</v>
      </c>
      <c r="P42" s="154">
        <f t="shared" si="10"/>
        <v>348023.29499800655</v>
      </c>
      <c r="Q42" s="184">
        <f t="shared" si="9"/>
        <v>1.9060660368789152E-2</v>
      </c>
      <c r="S42" s="19"/>
      <c r="T42" s="19"/>
      <c r="U42" s="19"/>
      <c r="V42" s="19"/>
      <c r="W42" s="19"/>
      <c r="X42" s="19"/>
      <c r="Y42" s="19"/>
      <c r="Z42" s="19"/>
    </row>
    <row r="43" spans="1:26">
      <c r="A43" s="24" t="s">
        <v>39</v>
      </c>
      <c r="B43" s="23"/>
      <c r="C43" s="22" t="s">
        <v>154</v>
      </c>
      <c r="D43" s="166">
        <f t="shared" si="0"/>
        <v>0</v>
      </c>
      <c r="E43" s="27">
        <f t="shared" si="1"/>
        <v>0</v>
      </c>
      <c r="F43" s="56"/>
      <c r="G43" s="153">
        <f t="shared" si="2"/>
        <v>0</v>
      </c>
      <c r="H43" s="26">
        <f t="shared" si="3"/>
        <v>0</v>
      </c>
      <c r="I43" s="20">
        <f t="shared" si="4"/>
        <v>0</v>
      </c>
      <c r="J43" s="25">
        <f t="shared" si="5"/>
        <v>0</v>
      </c>
      <c r="L43" s="24" t="s">
        <v>39</v>
      </c>
      <c r="M43" s="23">
        <f t="shared" si="6"/>
        <v>0</v>
      </c>
      <c r="N43" s="22">
        <f t="shared" si="7"/>
        <v>0</v>
      </c>
      <c r="O43" s="21">
        <f t="shared" si="8"/>
        <v>0</v>
      </c>
      <c r="P43" s="154">
        <f t="shared" si="10"/>
        <v>0</v>
      </c>
      <c r="Q43" s="184">
        <f t="shared" si="9"/>
        <v>0</v>
      </c>
      <c r="S43" s="19"/>
      <c r="T43" s="19"/>
      <c r="U43" s="19"/>
      <c r="V43" s="19"/>
      <c r="W43" s="19"/>
      <c r="X43" s="19"/>
      <c r="Y43" s="19"/>
      <c r="Z43" s="19"/>
    </row>
    <row r="44" spans="1:26">
      <c r="A44" s="24" t="s">
        <v>40</v>
      </c>
      <c r="B44" s="23">
        <v>1399134</v>
      </c>
      <c r="C44" s="22">
        <v>378540</v>
      </c>
      <c r="D44" s="166">
        <f t="shared" si="0"/>
        <v>0.27055307068515239</v>
      </c>
      <c r="E44" s="27">
        <f t="shared" si="1"/>
        <v>1.7211495880911622E-2</v>
      </c>
      <c r="F44" s="56">
        <v>451420</v>
      </c>
      <c r="G44" s="153">
        <f t="shared" si="2"/>
        <v>-0.1614461034070267</v>
      </c>
      <c r="H44" s="26">
        <f t="shared" si="3"/>
        <v>0</v>
      </c>
      <c r="I44" s="20">
        <f t="shared" si="4"/>
        <v>0</v>
      </c>
      <c r="J44" s="25">
        <f t="shared" si="5"/>
        <v>1.5723568109878388E-4</v>
      </c>
      <c r="L44" s="24" t="s">
        <v>40</v>
      </c>
      <c r="M44" s="23">
        <f t="shared" si="6"/>
        <v>157129.95752570563</v>
      </c>
      <c r="N44" s="22">
        <f t="shared" si="7"/>
        <v>0</v>
      </c>
      <c r="O44" s="21">
        <f t="shared" si="8"/>
        <v>574.18451164324267</v>
      </c>
      <c r="P44" s="154">
        <f t="shared" si="10"/>
        <v>157704.14203734888</v>
      </c>
      <c r="Q44" s="184">
        <f t="shared" si="9"/>
        <v>8.637195076675569E-3</v>
      </c>
      <c r="S44" s="19"/>
      <c r="T44" s="19"/>
      <c r="U44" s="19"/>
      <c r="V44" s="19"/>
      <c r="W44" s="19"/>
      <c r="X44" s="19"/>
      <c r="Y44" s="19"/>
      <c r="Z44" s="19"/>
    </row>
    <row r="45" spans="1:26">
      <c r="A45" s="24" t="s">
        <v>41</v>
      </c>
      <c r="B45" s="23">
        <v>110604359</v>
      </c>
      <c r="C45" s="22">
        <v>21534368.5</v>
      </c>
      <c r="D45" s="166">
        <f t="shared" si="0"/>
        <v>0.19469728584566906</v>
      </c>
      <c r="E45" s="27">
        <f t="shared" si="1"/>
        <v>1.2385856589508321E-2</v>
      </c>
      <c r="F45" s="56">
        <v>17252658</v>
      </c>
      <c r="G45" s="153">
        <f t="shared" si="2"/>
        <v>0.2481768606321415</v>
      </c>
      <c r="H45" s="26">
        <f t="shared" si="3"/>
        <v>0.2481768606321415</v>
      </c>
      <c r="I45" s="20">
        <f t="shared" si="4"/>
        <v>2.3821990755823232E-2</v>
      </c>
      <c r="J45" s="25">
        <f t="shared" si="5"/>
        <v>8.9448171874298536E-3</v>
      </c>
      <c r="L45" s="24" t="s">
        <v>41</v>
      </c>
      <c r="M45" s="23">
        <f t="shared" si="6"/>
        <v>113074.95486126462</v>
      </c>
      <c r="N45" s="22">
        <f t="shared" si="7"/>
        <v>130487.73057982443</v>
      </c>
      <c r="O45" s="21">
        <f t="shared" si="8"/>
        <v>32664.185715428033</v>
      </c>
      <c r="P45" s="154">
        <f t="shared" si="10"/>
        <v>276226.87115651707</v>
      </c>
      <c r="Q45" s="184">
        <f t="shared" si="9"/>
        <v>1.5128488958987099E-2</v>
      </c>
      <c r="S45" s="19"/>
      <c r="T45" s="19"/>
      <c r="U45" s="19"/>
      <c r="V45" s="19"/>
      <c r="W45" s="19"/>
      <c r="X45" s="19"/>
      <c r="Y45" s="19"/>
      <c r="Z45" s="19"/>
    </row>
    <row r="46" spans="1:26">
      <c r="A46" s="24" t="s">
        <v>42</v>
      </c>
      <c r="B46" s="23">
        <v>8051951</v>
      </c>
      <c r="C46" s="22">
        <v>1244367</v>
      </c>
      <c r="D46" s="166">
        <f t="shared" si="0"/>
        <v>0.15454229664338495</v>
      </c>
      <c r="E46" s="27">
        <f t="shared" si="1"/>
        <v>9.8313580229130778E-3</v>
      </c>
      <c r="F46" s="56">
        <v>1075933</v>
      </c>
      <c r="G46" s="153">
        <f t="shared" si="2"/>
        <v>0.15654692253142155</v>
      </c>
      <c r="H46" s="26">
        <f t="shared" si="3"/>
        <v>0.15654692253142155</v>
      </c>
      <c r="I46" s="20">
        <f t="shared" si="4"/>
        <v>1.5026619854474546E-2</v>
      </c>
      <c r="J46" s="25">
        <f t="shared" si="5"/>
        <v>5.1687772172518201E-4</v>
      </c>
      <c r="L46" s="24" t="s">
        <v>42</v>
      </c>
      <c r="M46" s="23">
        <f t="shared" si="6"/>
        <v>89754.015528283955</v>
      </c>
      <c r="N46" s="22">
        <f t="shared" si="7"/>
        <v>82310.061455162169</v>
      </c>
      <c r="O46" s="21">
        <f t="shared" si="8"/>
        <v>1887.505305119583</v>
      </c>
      <c r="P46" s="154">
        <f t="shared" si="10"/>
        <v>173951.58228856573</v>
      </c>
      <c r="Q46" s="184">
        <f t="shared" si="9"/>
        <v>9.5270405121439406E-3</v>
      </c>
      <c r="S46" s="19"/>
      <c r="T46" s="19"/>
      <c r="U46" s="19"/>
      <c r="V46" s="19"/>
      <c r="W46" s="19"/>
      <c r="X46" s="19"/>
      <c r="Y46" s="19"/>
      <c r="Z46" s="19"/>
    </row>
    <row r="47" spans="1:26">
      <c r="A47" s="24" t="s">
        <v>43</v>
      </c>
      <c r="B47" s="23">
        <v>1112166</v>
      </c>
      <c r="C47" s="22">
        <v>290271</v>
      </c>
      <c r="D47" s="166">
        <f t="shared" si="0"/>
        <v>0.26099611029288794</v>
      </c>
      <c r="E47" s="27">
        <f t="shared" si="1"/>
        <v>1.6603520580505904E-2</v>
      </c>
      <c r="F47" s="56">
        <v>222448</v>
      </c>
      <c r="G47" s="153">
        <f t="shared" si="2"/>
        <v>0.30489372797238001</v>
      </c>
      <c r="H47" s="26">
        <f t="shared" si="3"/>
        <v>0.30489372797238001</v>
      </c>
      <c r="I47" s="20">
        <f t="shared" si="4"/>
        <v>2.9266127191576952E-2</v>
      </c>
      <c r="J47" s="25">
        <f t="shared" si="5"/>
        <v>1.2057103182814259E-4</v>
      </c>
      <c r="L47" s="24" t="s">
        <v>43</v>
      </c>
      <c r="M47" s="23">
        <f t="shared" si="6"/>
        <v>151579.53159001592</v>
      </c>
      <c r="N47" s="22">
        <f t="shared" si="7"/>
        <v>160308.62236632567</v>
      </c>
      <c r="O47" s="21">
        <f t="shared" si="8"/>
        <v>440.29458545780022</v>
      </c>
      <c r="P47" s="154">
        <f t="shared" si="10"/>
        <v>312328.44854179939</v>
      </c>
      <c r="Q47" s="184">
        <f t="shared" si="9"/>
        <v>1.7105712654091668E-2</v>
      </c>
      <c r="S47" s="19"/>
      <c r="T47" s="19"/>
      <c r="U47" s="19"/>
      <c r="V47" s="19"/>
      <c r="W47" s="19"/>
      <c r="X47" s="19"/>
      <c r="Y47" s="19"/>
      <c r="Z47" s="19"/>
    </row>
    <row r="48" spans="1:26">
      <c r="A48" s="24" t="s">
        <v>44</v>
      </c>
      <c r="B48" s="23">
        <v>18582885</v>
      </c>
      <c r="C48" s="22">
        <v>7908079.6500000004</v>
      </c>
      <c r="D48" s="166">
        <f t="shared" si="0"/>
        <v>0.42555715380039216</v>
      </c>
      <c r="E48" s="27">
        <f t="shared" si="1"/>
        <v>2.7072230897913371E-2</v>
      </c>
      <c r="F48" s="56">
        <v>7881801</v>
      </c>
      <c r="G48" s="153">
        <f t="shared" si="2"/>
        <v>3.3340920431765841E-3</v>
      </c>
      <c r="H48" s="26">
        <f t="shared" si="3"/>
        <v>3.3340920431765841E-3</v>
      </c>
      <c r="I48" s="20">
        <f t="shared" si="4"/>
        <v>3.2003269615592055E-4</v>
      </c>
      <c r="J48" s="25">
        <f t="shared" si="5"/>
        <v>3.2848108256754438E-3</v>
      </c>
      <c r="L48" s="24" t="s">
        <v>44</v>
      </c>
      <c r="M48" s="23">
        <f t="shared" si="6"/>
        <v>247152.16623518223</v>
      </c>
      <c r="N48" s="22">
        <f t="shared" si="7"/>
        <v>1753.0163898044648</v>
      </c>
      <c r="O48" s="21">
        <f t="shared" si="8"/>
        <v>11995.289406327247</v>
      </c>
      <c r="P48" s="154">
        <f t="shared" si="10"/>
        <v>260900.47203131393</v>
      </c>
      <c r="Q48" s="184">
        <f t="shared" si="9"/>
        <v>1.4289087422938549E-2</v>
      </c>
      <c r="S48" s="19"/>
      <c r="T48" s="19"/>
      <c r="U48" s="19"/>
      <c r="V48" s="19"/>
      <c r="W48" s="19"/>
      <c r="X48" s="19"/>
      <c r="Y48" s="19"/>
      <c r="Z48" s="19"/>
    </row>
    <row r="49" spans="1:26">
      <c r="A49" s="24" t="s">
        <v>45</v>
      </c>
      <c r="B49" s="23">
        <v>126915948</v>
      </c>
      <c r="C49" s="22">
        <v>23883804.280000001</v>
      </c>
      <c r="D49" s="166">
        <f t="shared" si="0"/>
        <v>0.18818599755485418</v>
      </c>
      <c r="E49" s="27">
        <f t="shared" si="1"/>
        <v>1.1971634672481163E-2</v>
      </c>
      <c r="F49" s="56">
        <v>19038713.890000001</v>
      </c>
      <c r="G49" s="153">
        <f t="shared" si="2"/>
        <v>0.25448622307123703</v>
      </c>
      <c r="H49" s="26">
        <f t="shared" si="3"/>
        <v>0.25448622307123703</v>
      </c>
      <c r="I49" s="20">
        <f t="shared" si="4"/>
        <v>2.442761358994416E-2</v>
      </c>
      <c r="J49" s="25">
        <f t="shared" si="5"/>
        <v>9.9207117694189509E-3</v>
      </c>
      <c r="L49" s="24" t="s">
        <v>45</v>
      </c>
      <c r="M49" s="23">
        <f t="shared" si="6"/>
        <v>109293.37348803385</v>
      </c>
      <c r="N49" s="22">
        <f t="shared" si="7"/>
        <v>133805.1002330069</v>
      </c>
      <c r="O49" s="21">
        <f t="shared" si="8"/>
        <v>36227.903251161275</v>
      </c>
      <c r="P49" s="154">
        <f t="shared" si="10"/>
        <v>279326.37697220204</v>
      </c>
      <c r="Q49" s="184">
        <f t="shared" si="9"/>
        <v>1.529824376710762E-2</v>
      </c>
      <c r="S49" s="19"/>
      <c r="T49" s="19"/>
      <c r="U49" s="19"/>
      <c r="V49" s="19"/>
      <c r="W49" s="19"/>
      <c r="X49" s="19"/>
      <c r="Y49" s="19"/>
      <c r="Z49" s="19"/>
    </row>
    <row r="50" spans="1:26">
      <c r="A50" s="24" t="s">
        <v>46</v>
      </c>
      <c r="B50" s="23">
        <v>649205075</v>
      </c>
      <c r="C50" s="22">
        <v>330884619.5</v>
      </c>
      <c r="D50" s="166">
        <f t="shared" si="0"/>
        <v>0.50967657561826674</v>
      </c>
      <c r="E50" s="27">
        <f t="shared" si="1"/>
        <v>3.2423569466928807E-2</v>
      </c>
      <c r="F50" s="56">
        <v>306694612.58999997</v>
      </c>
      <c r="G50" s="153">
        <f t="shared" si="2"/>
        <v>7.8873269751034369E-2</v>
      </c>
      <c r="H50" s="26">
        <f t="shared" si="3"/>
        <v>7.8873269751034369E-2</v>
      </c>
      <c r="I50" s="20">
        <f t="shared" si="4"/>
        <v>7.5708843205801813E-3</v>
      </c>
      <c r="J50" s="25">
        <f t="shared" si="5"/>
        <v>0.13744087418025688</v>
      </c>
      <c r="L50" s="24" t="s">
        <v>46</v>
      </c>
      <c r="M50" s="23">
        <f t="shared" si="6"/>
        <v>296006.46732981369</v>
      </c>
      <c r="N50" s="22">
        <f t="shared" si="7"/>
        <v>41470.401176836662</v>
      </c>
      <c r="O50" s="21">
        <f t="shared" si="8"/>
        <v>501898.93712122273</v>
      </c>
      <c r="P50" s="154">
        <f t="shared" si="10"/>
        <v>839375.80562787305</v>
      </c>
      <c r="Q50" s="184">
        <f t="shared" si="9"/>
        <v>4.597122486568983E-2</v>
      </c>
      <c r="S50" s="19"/>
      <c r="T50" s="19"/>
      <c r="U50" s="19"/>
      <c r="V50" s="19"/>
      <c r="W50" s="19"/>
      <c r="X50" s="19"/>
      <c r="Y50" s="19"/>
      <c r="Z50" s="19"/>
    </row>
    <row r="51" spans="1:26">
      <c r="A51" s="24" t="s">
        <v>47</v>
      </c>
      <c r="B51" s="23">
        <v>1187612062</v>
      </c>
      <c r="C51" s="22">
        <v>722790593.90999997</v>
      </c>
      <c r="D51" s="166">
        <f t="shared" si="0"/>
        <v>0.60860833014173277</v>
      </c>
      <c r="E51" s="27">
        <f t="shared" si="1"/>
        <v>3.8717208940914051E-2</v>
      </c>
      <c r="F51" s="56">
        <v>671271036.40999997</v>
      </c>
      <c r="G51" s="153">
        <f t="shared" si="2"/>
        <v>7.6749263271554069E-2</v>
      </c>
      <c r="H51" s="26">
        <f t="shared" si="3"/>
        <v>7.6749263271554069E-2</v>
      </c>
      <c r="I51" s="20">
        <f t="shared" si="4"/>
        <v>7.3670052700087136E-3</v>
      </c>
      <c r="J51" s="25">
        <f t="shared" si="5"/>
        <v>0.30022843378568542</v>
      </c>
      <c r="L51" s="24" t="s">
        <v>47</v>
      </c>
      <c r="M51" s="23">
        <f t="shared" si="6"/>
        <v>353463.37346231117</v>
      </c>
      <c r="N51" s="22">
        <f t="shared" si="7"/>
        <v>40353.629917266895</v>
      </c>
      <c r="O51" s="21">
        <f t="shared" si="8"/>
        <v>1096357.4897885104</v>
      </c>
      <c r="P51" s="154">
        <f t="shared" si="10"/>
        <v>1490174.4931680884</v>
      </c>
      <c r="Q51" s="184">
        <f t="shared" si="9"/>
        <v>8.1614392808596725E-2</v>
      </c>
      <c r="S51" s="19"/>
      <c r="T51" s="19"/>
      <c r="U51" s="19"/>
      <c r="V51" s="19"/>
      <c r="W51" s="19"/>
      <c r="X51" s="19"/>
      <c r="Y51" s="19"/>
      <c r="Z51" s="19"/>
    </row>
    <row r="52" spans="1:26">
      <c r="A52" s="24" t="s">
        <v>48</v>
      </c>
      <c r="B52" s="23">
        <v>308328957</v>
      </c>
      <c r="C52" s="22">
        <v>126817695.59999999</v>
      </c>
      <c r="D52" s="166">
        <f t="shared" si="0"/>
        <v>0.41130647226235062</v>
      </c>
      <c r="E52" s="27">
        <f t="shared" si="1"/>
        <v>2.61656599764633E-2</v>
      </c>
      <c r="F52" s="56">
        <v>112141719.38</v>
      </c>
      <c r="G52" s="153">
        <f t="shared" si="2"/>
        <v>0.13086990551901057</v>
      </c>
      <c r="H52" s="26">
        <f t="shared" si="3"/>
        <v>0.13086990551901057</v>
      </c>
      <c r="I52" s="20">
        <f t="shared" si="4"/>
        <v>1.2561935353474973E-2</v>
      </c>
      <c r="J52" s="25">
        <f t="shared" si="5"/>
        <v>5.2676775883775152E-2</v>
      </c>
      <c r="L52" s="24" t="s">
        <v>48</v>
      </c>
      <c r="M52" s="23">
        <f t="shared" si="6"/>
        <v>238875.75311181898</v>
      </c>
      <c r="N52" s="22">
        <f t="shared" si="7"/>
        <v>68809.464866605253</v>
      </c>
      <c r="O52" s="21">
        <f t="shared" si="8"/>
        <v>192362.11923655996</v>
      </c>
      <c r="P52" s="154">
        <f t="shared" si="10"/>
        <v>500047.33721498417</v>
      </c>
      <c r="Q52" s="184">
        <f t="shared" si="9"/>
        <v>2.7386765771029171E-2</v>
      </c>
      <c r="S52" s="19"/>
      <c r="T52" s="19"/>
      <c r="U52" s="19"/>
      <c r="V52" s="19"/>
      <c r="W52" s="19"/>
      <c r="X52" s="19"/>
      <c r="Y52" s="19"/>
      <c r="Z52" s="19"/>
    </row>
    <row r="53" spans="1:26">
      <c r="A53" s="24" t="s">
        <v>49</v>
      </c>
      <c r="B53" s="23">
        <v>208470911</v>
      </c>
      <c r="C53" s="22">
        <v>94615002.860000014</v>
      </c>
      <c r="D53" s="166">
        <f t="shared" si="0"/>
        <v>0.45385230201253363</v>
      </c>
      <c r="E53" s="27">
        <f t="shared" si="1"/>
        <v>2.8872254182327649E-2</v>
      </c>
      <c r="F53" s="56">
        <v>85362095.170000002</v>
      </c>
      <c r="G53" s="153">
        <f t="shared" si="2"/>
        <v>0.10839597682756841</v>
      </c>
      <c r="H53" s="26">
        <f t="shared" si="3"/>
        <v>0.10839597682756841</v>
      </c>
      <c r="I53" s="20">
        <f t="shared" si="4"/>
        <v>1.0404708768486778E-2</v>
      </c>
      <c r="J53" s="25">
        <f t="shared" si="5"/>
        <v>3.9300613982288492E-2</v>
      </c>
      <c r="L53" s="24" t="s">
        <v>49</v>
      </c>
      <c r="M53" s="23">
        <f t="shared" si="6"/>
        <v>263585.22842700355</v>
      </c>
      <c r="N53" s="22">
        <f t="shared" si="7"/>
        <v>56993.004844146206</v>
      </c>
      <c r="O53" s="21">
        <f t="shared" si="8"/>
        <v>143515.79545435915</v>
      </c>
      <c r="P53" s="154">
        <f t="shared" si="10"/>
        <v>464094.02872550889</v>
      </c>
      <c r="Q53" s="184">
        <f t="shared" si="9"/>
        <v>2.5417662518167558E-2</v>
      </c>
      <c r="S53" s="19"/>
      <c r="T53" s="19"/>
      <c r="U53" s="19"/>
      <c r="V53" s="19"/>
      <c r="W53" s="19"/>
      <c r="X53" s="19"/>
      <c r="Y53" s="19"/>
      <c r="Z53" s="19"/>
    </row>
    <row r="54" spans="1:26">
      <c r="A54" s="24" t="s">
        <v>50</v>
      </c>
      <c r="B54" s="23">
        <v>4538835</v>
      </c>
      <c r="C54" s="22">
        <v>1178778</v>
      </c>
      <c r="D54" s="166">
        <f t="shared" si="0"/>
        <v>0.25970937476246658</v>
      </c>
      <c r="E54" s="27">
        <f t="shared" si="1"/>
        <v>1.6521663652304772E-2</v>
      </c>
      <c r="F54" s="56">
        <v>1456869</v>
      </c>
      <c r="G54" s="153">
        <f t="shared" si="2"/>
        <v>-0.19088263941370154</v>
      </c>
      <c r="H54" s="26">
        <f t="shared" si="3"/>
        <v>0</v>
      </c>
      <c r="I54" s="20">
        <f t="shared" si="4"/>
        <v>0</v>
      </c>
      <c r="J54" s="25">
        <f t="shared" si="5"/>
        <v>4.8963375520225669E-4</v>
      </c>
      <c r="L54" s="24" t="s">
        <v>50</v>
      </c>
      <c r="M54" s="23">
        <f t="shared" si="6"/>
        <v>150832.23015030238</v>
      </c>
      <c r="N54" s="22">
        <f t="shared" si="7"/>
        <v>0</v>
      </c>
      <c r="O54" s="21">
        <f t="shared" si="8"/>
        <v>1788.0173040254617</v>
      </c>
      <c r="P54" s="154">
        <f t="shared" si="10"/>
        <v>152620.24745432785</v>
      </c>
      <c r="Q54" s="184">
        <f t="shared" si="9"/>
        <v>8.3587585771928378E-3</v>
      </c>
      <c r="S54" s="19"/>
      <c r="T54" s="19"/>
      <c r="U54" s="19"/>
      <c r="V54" s="19"/>
      <c r="W54" s="19"/>
      <c r="X54" s="19"/>
      <c r="Y54" s="19"/>
      <c r="Z54" s="19"/>
    </row>
    <row r="55" spans="1:26">
      <c r="A55" s="24" t="s">
        <v>51</v>
      </c>
      <c r="B55" s="23">
        <v>3120510</v>
      </c>
      <c r="C55" s="22">
        <v>668727</v>
      </c>
      <c r="D55" s="166">
        <f t="shared" si="0"/>
        <v>0.2143005470259669</v>
      </c>
      <c r="E55" s="27">
        <f t="shared" si="1"/>
        <v>1.3632937053990542E-2</v>
      </c>
      <c r="F55" s="56">
        <v>668168</v>
      </c>
      <c r="G55" s="153">
        <f t="shared" si="2"/>
        <v>8.3661594090100877E-4</v>
      </c>
      <c r="H55" s="26">
        <f t="shared" si="3"/>
        <v>8.3661594090100877E-4</v>
      </c>
      <c r="I55" s="20">
        <f t="shared" si="4"/>
        <v>8.0305058092660319E-5</v>
      </c>
      <c r="J55" s="25">
        <f t="shared" si="5"/>
        <v>2.7777182150934233E-4</v>
      </c>
      <c r="L55" s="24" t="s">
        <v>51</v>
      </c>
      <c r="M55" s="23">
        <f t="shared" si="6"/>
        <v>124460.00249286245</v>
      </c>
      <c r="N55" s="22">
        <f t="shared" si="7"/>
        <v>439.88031445401703</v>
      </c>
      <c r="O55" s="21">
        <f t="shared" si="8"/>
        <v>1014.3516825636676</v>
      </c>
      <c r="P55" s="154">
        <f t="shared" si="10"/>
        <v>125914.23448988012</v>
      </c>
      <c r="Q55" s="184">
        <f t="shared" si="9"/>
        <v>6.8961144087249368E-3</v>
      </c>
      <c r="S55" s="19"/>
      <c r="T55" s="19"/>
      <c r="U55" s="19"/>
      <c r="V55" s="19"/>
      <c r="W55" s="19"/>
      <c r="X55" s="19"/>
      <c r="Y55" s="19"/>
      <c r="Z55" s="19"/>
    </row>
    <row r="56" spans="1:26" ht="13.5" thickBot="1">
      <c r="A56" s="167" t="s">
        <v>52</v>
      </c>
      <c r="B56" s="168">
        <f>SUM(B5:B55)</f>
        <v>5851281697</v>
      </c>
      <c r="C56" s="169">
        <f>SUM(C5:C55)</f>
        <v>2407468822.3100004</v>
      </c>
      <c r="D56" s="170">
        <f>SUM(D5:D55)</f>
        <v>15.719323442723464</v>
      </c>
      <c r="E56" s="171">
        <f>SUM(E5:E55)</f>
        <v>1.0000000000000004</v>
      </c>
      <c r="F56" s="172">
        <f>SUM(F5:F55)</f>
        <v>2184244772.5599999</v>
      </c>
      <c r="G56" s="173"/>
      <c r="H56" s="174">
        <f>SUM(H5:H55)</f>
        <v>10.417973173441654</v>
      </c>
      <c r="I56" s="175">
        <f>SUM(I5:I55)</f>
        <v>1</v>
      </c>
      <c r="J56" s="176">
        <f>SUM(J5:J55)</f>
        <v>0.99999999999999989</v>
      </c>
      <c r="L56" s="167" t="s">
        <v>52</v>
      </c>
      <c r="M56" s="177">
        <f>SUM(M5:M55)</f>
        <v>9129360.900000006</v>
      </c>
      <c r="N56" s="172">
        <f>SUM(N5:N55)</f>
        <v>5477616.540000001</v>
      </c>
      <c r="O56" s="178">
        <f>SUM(O5:O55)</f>
        <v>3651744.3600000003</v>
      </c>
      <c r="P56" s="179">
        <f>SUM(P5:P55)</f>
        <v>18258721.800000001</v>
      </c>
      <c r="Q56" s="185">
        <f>SUM(Q5:Q55)</f>
        <v>1.0000000000000002</v>
      </c>
      <c r="S56" s="19"/>
      <c r="T56" s="19"/>
      <c r="U56" s="19"/>
      <c r="V56" s="19"/>
      <c r="W56" s="19"/>
      <c r="X56" s="19"/>
      <c r="Y56" s="19"/>
      <c r="Z56" s="19"/>
    </row>
    <row r="57" spans="1:26" ht="13.5" thickTop="1"/>
    <row r="59" spans="1:26">
      <c r="L59" s="433" t="s">
        <v>128</v>
      </c>
      <c r="M59" s="433"/>
      <c r="N59" s="433"/>
      <c r="O59" s="433"/>
      <c r="P59" s="433"/>
      <c r="Q59" s="433"/>
    </row>
    <row r="60" spans="1:26">
      <c r="L60" s="433"/>
      <c r="M60" s="433"/>
      <c r="N60" s="433"/>
      <c r="O60" s="433"/>
      <c r="P60" s="433"/>
      <c r="Q60" s="433"/>
    </row>
    <row r="61" spans="1:26">
      <c r="L61" s="433"/>
      <c r="M61" s="433"/>
      <c r="N61" s="433"/>
      <c r="O61" s="433"/>
      <c r="P61" s="433"/>
      <c r="Q61" s="433"/>
    </row>
    <row r="62" spans="1:26">
      <c r="L62" s="433"/>
      <c r="M62" s="433"/>
      <c r="N62" s="433"/>
      <c r="O62" s="433"/>
      <c r="P62" s="433"/>
      <c r="Q62" s="433"/>
    </row>
    <row r="63" spans="1:26">
      <c r="L63" s="433"/>
      <c r="M63" s="433"/>
      <c r="N63" s="433"/>
      <c r="O63" s="433"/>
      <c r="P63" s="433"/>
      <c r="Q63" s="433"/>
    </row>
    <row r="64" spans="1:26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</row>
    <row r="65" spans="1:22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</row>
    <row r="66" spans="1:22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</row>
    <row r="67" spans="1:22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</row>
    <row r="68" spans="1:22">
      <c r="A68" s="76"/>
      <c r="B68" s="434"/>
      <c r="C68" s="434"/>
      <c r="D68" s="434"/>
      <c r="E68" s="434"/>
      <c r="F68" s="434"/>
      <c r="G68" s="434"/>
      <c r="H68" s="434"/>
      <c r="I68" s="434"/>
      <c r="J68" s="77"/>
      <c r="K68" s="75"/>
      <c r="L68" s="435"/>
      <c r="M68" s="435"/>
      <c r="N68" s="435"/>
      <c r="O68" s="435"/>
      <c r="P68" s="435"/>
      <c r="Q68" s="435"/>
      <c r="R68" s="75"/>
      <c r="S68" s="75"/>
      <c r="T68" s="75"/>
      <c r="U68" s="75"/>
      <c r="V68" s="75"/>
    </row>
    <row r="69" spans="1:22">
      <c r="A69" s="163"/>
      <c r="B69" s="77"/>
      <c r="C69" s="77"/>
      <c r="D69" s="77"/>
      <c r="E69" s="77"/>
      <c r="F69" s="77"/>
      <c r="G69" s="77"/>
      <c r="H69" s="77"/>
      <c r="I69" s="77"/>
      <c r="J69" s="77"/>
      <c r="K69" s="75"/>
      <c r="L69" s="163"/>
      <c r="M69" s="77"/>
      <c r="N69" s="77"/>
      <c r="O69" s="77"/>
      <c r="P69" s="77"/>
      <c r="Q69" s="77"/>
      <c r="R69" s="75"/>
      <c r="S69" s="75"/>
      <c r="T69" s="75"/>
      <c r="U69" s="75"/>
      <c r="V69" s="75"/>
    </row>
    <row r="70" spans="1:22">
      <c r="A70" s="76" t="s">
        <v>345</v>
      </c>
      <c r="B70" s="78"/>
      <c r="C70" s="78"/>
      <c r="D70" s="78"/>
      <c r="E70" s="78"/>
      <c r="F70" s="78"/>
      <c r="G70" s="78"/>
      <c r="H70" s="78"/>
      <c r="I70" s="78"/>
      <c r="J70" s="78"/>
      <c r="K70" s="75"/>
      <c r="L70" s="75"/>
      <c r="M70" s="79"/>
      <c r="N70" s="79"/>
      <c r="O70" s="79"/>
      <c r="P70" s="79"/>
      <c r="Q70" s="75"/>
      <c r="R70" s="75"/>
      <c r="S70" s="75"/>
      <c r="T70" s="75"/>
      <c r="U70" s="75"/>
      <c r="V70" s="75"/>
    </row>
    <row r="71" spans="1:22" ht="26.25" thickBot="1">
      <c r="A71" s="38"/>
      <c r="B71" s="431" t="s">
        <v>149</v>
      </c>
      <c r="C71" s="431"/>
      <c r="D71" s="431"/>
      <c r="E71" s="431"/>
      <c r="F71" s="431" t="s">
        <v>148</v>
      </c>
      <c r="G71" s="431"/>
      <c r="H71" s="431"/>
      <c r="I71" s="431"/>
      <c r="J71" s="49" t="s">
        <v>147</v>
      </c>
      <c r="L71" s="432" t="s">
        <v>346</v>
      </c>
      <c r="M71" s="432"/>
      <c r="N71" s="432"/>
      <c r="O71" s="432"/>
      <c r="P71" s="432"/>
      <c r="Q71" s="432"/>
      <c r="S71" s="75"/>
      <c r="T71" s="75"/>
      <c r="U71" s="75"/>
      <c r="V71" s="75"/>
    </row>
    <row r="72" spans="1:22" ht="52.5" thickTop="1" thickBot="1">
      <c r="A72" s="47" t="s">
        <v>0</v>
      </c>
      <c r="B72" s="46" t="s">
        <v>331</v>
      </c>
      <c r="C72" s="45" t="s">
        <v>330</v>
      </c>
      <c r="D72" s="45" t="s">
        <v>146</v>
      </c>
      <c r="E72" s="44" t="s">
        <v>145</v>
      </c>
      <c r="F72" s="45" t="s">
        <v>223</v>
      </c>
      <c r="G72" s="45" t="s">
        <v>144</v>
      </c>
      <c r="H72" s="45" t="s">
        <v>143</v>
      </c>
      <c r="I72" s="42" t="s">
        <v>222</v>
      </c>
      <c r="J72" s="43" t="s">
        <v>142</v>
      </c>
      <c r="L72" s="47" t="s">
        <v>0</v>
      </c>
      <c r="M72" s="46" t="s">
        <v>141</v>
      </c>
      <c r="N72" s="45" t="s">
        <v>140</v>
      </c>
      <c r="O72" s="44" t="s">
        <v>139</v>
      </c>
      <c r="P72" s="43" t="s">
        <v>138</v>
      </c>
      <c r="Q72" s="42" t="s">
        <v>78</v>
      </c>
      <c r="S72" s="75"/>
      <c r="T72" s="75"/>
      <c r="U72" s="75"/>
      <c r="V72" s="75"/>
    </row>
    <row r="73" spans="1:22" ht="23.25" thickTop="1">
      <c r="A73" s="38"/>
      <c r="B73" s="41" t="s">
        <v>137</v>
      </c>
      <c r="C73" s="41" t="s">
        <v>136</v>
      </c>
      <c r="D73" s="41" t="s">
        <v>135</v>
      </c>
      <c r="E73" s="41" t="s">
        <v>134</v>
      </c>
      <c r="F73" s="41" t="s">
        <v>133</v>
      </c>
      <c r="G73" s="41" t="s">
        <v>132</v>
      </c>
      <c r="H73" s="41"/>
      <c r="I73" s="41" t="s">
        <v>131</v>
      </c>
      <c r="J73" s="41" t="s">
        <v>130</v>
      </c>
      <c r="M73" s="40">
        <f>M74*P73</f>
        <v>-3380022</v>
      </c>
      <c r="N73" s="40">
        <f>P73*N74</f>
        <v>-2028013.2</v>
      </c>
      <c r="O73" s="40">
        <f>P73*O74</f>
        <v>-1352008.8</v>
      </c>
      <c r="P73" s="40">
        <v>-6760044</v>
      </c>
      <c r="S73" s="75"/>
      <c r="T73" s="75"/>
      <c r="U73" s="75"/>
      <c r="V73" s="75"/>
    </row>
    <row r="74" spans="1:22" ht="13.5" thickBot="1">
      <c r="F74" s="39"/>
      <c r="G74" s="38"/>
      <c r="H74" s="38"/>
      <c r="I74" s="38"/>
      <c r="M74" s="164">
        <v>0.5</v>
      </c>
      <c r="N74" s="164">
        <v>0.3</v>
      </c>
      <c r="O74" s="164">
        <v>0.2</v>
      </c>
      <c r="P74" s="37" t="s">
        <v>129</v>
      </c>
      <c r="Q74" s="37"/>
      <c r="S74" s="75"/>
      <c r="T74" s="75"/>
      <c r="U74" s="75"/>
      <c r="V74" s="75"/>
    </row>
    <row r="75" spans="1:22" ht="13.5" thickTop="1">
      <c r="A75" s="33" t="s">
        <v>1</v>
      </c>
      <c r="B75" s="32">
        <v>685947</v>
      </c>
      <c r="C75" s="31">
        <v>200922.61</v>
      </c>
      <c r="D75" s="165">
        <f t="shared" ref="D75:D125" si="11">IFERROR(C75/B75,0)</f>
        <v>0.29291273232480058</v>
      </c>
      <c r="E75" s="36">
        <f>IFERROR(D75/$D$126,0)</f>
        <v>1.9405813645909795E-2</v>
      </c>
      <c r="F75" s="151">
        <v>145672.85</v>
      </c>
      <c r="G75" s="393">
        <f t="shared" ref="G75:G125" si="12">IFERROR((C75/F75)-1,0)</f>
        <v>0.37927287068249149</v>
      </c>
      <c r="H75" s="389">
        <f t="shared" ref="H75:H125" si="13">IF(G75&lt;0,0,G75)</f>
        <v>0.37927287068249149</v>
      </c>
      <c r="I75" s="390">
        <f>IFERROR(H75/$H$126,0)</f>
        <v>3.7057701352851399E-2</v>
      </c>
      <c r="J75" s="386">
        <f>IFERROR(C75/$C$126,0)</f>
        <v>8.7744211780839887E-5</v>
      </c>
      <c r="L75" s="33" t="s">
        <v>1</v>
      </c>
      <c r="M75" s="32">
        <f>IFERROR($M$73*E75,0)</f>
        <v>-65592.077051075321</v>
      </c>
      <c r="N75" s="31">
        <f>IFERROR($N$73*I75,0)</f>
        <v>-75153.507505240501</v>
      </c>
      <c r="O75" s="30">
        <f>IFERROR($O$73*J75,0)</f>
        <v>-118.63094647675921</v>
      </c>
      <c r="P75" s="29">
        <f>IFERROR(SUM(M75:O75),2)</f>
        <v>-140864.21550279259</v>
      </c>
      <c r="Q75" s="183">
        <f>IFERROR(P75/$P$126,0)</f>
        <v>2.083776607116649E-2</v>
      </c>
      <c r="S75" s="75"/>
      <c r="T75" s="75"/>
      <c r="U75" s="75"/>
      <c r="V75" s="75"/>
    </row>
    <row r="76" spans="1:22">
      <c r="A76" s="24" t="s">
        <v>2</v>
      </c>
      <c r="B76" s="23">
        <v>2702829</v>
      </c>
      <c r="C76" s="22">
        <v>996274</v>
      </c>
      <c r="D76" s="166">
        <f t="shared" si="11"/>
        <v>0.3686041551278309</v>
      </c>
      <c r="E76" s="27">
        <f t="shared" ref="E76:E125" si="14">IFERROR(D76/$D$126,0)</f>
        <v>2.4420459591312445E-2</v>
      </c>
      <c r="F76" s="56">
        <v>768052</v>
      </c>
      <c r="G76" s="394">
        <f t="shared" si="12"/>
        <v>0.29714394337883365</v>
      </c>
      <c r="H76" s="391">
        <f t="shared" si="13"/>
        <v>0.29714394337883365</v>
      </c>
      <c r="I76" s="392">
        <f t="shared" ref="I76:I125" si="15">IFERROR(H76/$H$126,0)</f>
        <v>2.9033111418506025E-2</v>
      </c>
      <c r="J76" s="387">
        <f t="shared" ref="J76:J125" si="16">IFERROR(C76/$C$126,0)</f>
        <v>4.3507934148249658E-4</v>
      </c>
      <c r="L76" s="24" t="s">
        <v>2</v>
      </c>
      <c r="M76" s="23">
        <f t="shared" ref="M76:M125" si="17">IFERROR($M$73*E76,0)</f>
        <v>-82541.690668747076</v>
      </c>
      <c r="N76" s="22">
        <f t="shared" ref="N76:N125" si="18">IFERROR($N$73*I76,0)</f>
        <v>-58879.53319380094</v>
      </c>
      <c r="O76" s="21">
        <f t="shared" ref="O76:O125" si="19">IFERROR($O$73*J76,0)</f>
        <v>-588.23109838254038</v>
      </c>
      <c r="P76" s="154">
        <f t="shared" ref="P76:P125" si="20">IFERROR(SUM(M76:O76),2)</f>
        <v>-142009.45496093054</v>
      </c>
      <c r="Q76" s="184">
        <f t="shared" ref="Q76:Q125" si="21">IFERROR(P76/$P$126,0)</f>
        <v>2.100717908950453E-2</v>
      </c>
      <c r="S76" s="75"/>
      <c r="T76" s="75"/>
      <c r="U76" s="75"/>
      <c r="V76" s="75"/>
    </row>
    <row r="77" spans="1:22">
      <c r="A77" s="24" t="s">
        <v>3</v>
      </c>
      <c r="B77" s="23">
        <v>1181103</v>
      </c>
      <c r="C77" s="22">
        <v>288767</v>
      </c>
      <c r="D77" s="166">
        <f t="shared" si="11"/>
        <v>0.24448926130913223</v>
      </c>
      <c r="E77" s="27">
        <f t="shared" si="14"/>
        <v>1.619770163534626E-2</v>
      </c>
      <c r="F77" s="56">
        <v>272877</v>
      </c>
      <c r="G77" s="394">
        <f t="shared" si="12"/>
        <v>5.8231364314324852E-2</v>
      </c>
      <c r="H77" s="391">
        <f t="shared" si="13"/>
        <v>5.8231364314324852E-2</v>
      </c>
      <c r="I77" s="392">
        <f t="shared" si="15"/>
        <v>5.6896252670174318E-3</v>
      </c>
      <c r="J77" s="387">
        <f t="shared" si="16"/>
        <v>1.2610642875541877E-4</v>
      </c>
      <c r="L77" s="24" t="s">
        <v>3</v>
      </c>
      <c r="M77" s="23">
        <f t="shared" si="17"/>
        <v>-54748.587876906335</v>
      </c>
      <c r="N77" s="22">
        <f t="shared" si="18"/>
        <v>-11538.635144564876</v>
      </c>
      <c r="O77" s="21">
        <f t="shared" si="19"/>
        <v>-170.49700141389923</v>
      </c>
      <c r="P77" s="154">
        <f t="shared" si="20"/>
        <v>-66457.7200228851</v>
      </c>
      <c r="Q77" s="184">
        <f t="shared" si="21"/>
        <v>9.8309596835294433E-3</v>
      </c>
      <c r="S77" s="75"/>
      <c r="T77" s="75"/>
      <c r="U77" s="75"/>
      <c r="V77" s="75"/>
    </row>
    <row r="78" spans="1:22">
      <c r="A78" s="24" t="s">
        <v>4</v>
      </c>
      <c r="B78" s="23">
        <v>56374737</v>
      </c>
      <c r="C78" s="22">
        <v>25832482</v>
      </c>
      <c r="D78" s="166">
        <f t="shared" si="11"/>
        <v>0.45822798250925767</v>
      </c>
      <c r="E78" s="27">
        <f t="shared" si="14"/>
        <v>3.0358143756125711E-2</v>
      </c>
      <c r="F78" s="56">
        <v>23142962</v>
      </c>
      <c r="G78" s="394">
        <f t="shared" si="12"/>
        <v>0.11621330061381085</v>
      </c>
      <c r="H78" s="391">
        <f t="shared" si="13"/>
        <v>0.11621330061381085</v>
      </c>
      <c r="I78" s="392">
        <f t="shared" si="15"/>
        <v>1.1354879613788711E-2</v>
      </c>
      <c r="J78" s="387">
        <f t="shared" si="16"/>
        <v>1.1281213057269833E-2</v>
      </c>
      <c r="L78" s="24" t="s">
        <v>4</v>
      </c>
      <c r="M78" s="23">
        <f t="shared" si="17"/>
        <v>-102611.19377486754</v>
      </c>
      <c r="N78" s="22">
        <f t="shared" si="18"/>
        <v>-23027.845741174406</v>
      </c>
      <c r="O78" s="21">
        <f t="shared" si="19"/>
        <v>-15252.299328103718</v>
      </c>
      <c r="P78" s="154">
        <f t="shared" si="20"/>
        <v>-140891.33884414565</v>
      </c>
      <c r="Q78" s="184">
        <f t="shared" si="21"/>
        <v>2.0841778373653436E-2</v>
      </c>
      <c r="S78" s="75"/>
      <c r="T78" s="75"/>
      <c r="U78" s="75"/>
      <c r="V78" s="75"/>
    </row>
    <row r="79" spans="1:22">
      <c r="A79" s="24" t="s">
        <v>5</v>
      </c>
      <c r="B79" s="23">
        <v>10911069</v>
      </c>
      <c r="C79" s="22">
        <v>1947895</v>
      </c>
      <c r="D79" s="166">
        <f t="shared" si="11"/>
        <v>0.17852467068075548</v>
      </c>
      <c r="E79" s="27">
        <f t="shared" si="14"/>
        <v>1.1827469782319288E-2</v>
      </c>
      <c r="F79" s="56">
        <v>2531264</v>
      </c>
      <c r="G79" s="394">
        <f t="shared" si="12"/>
        <v>-0.23046549075876721</v>
      </c>
      <c r="H79" s="391">
        <f t="shared" si="13"/>
        <v>0</v>
      </c>
      <c r="I79" s="392">
        <f t="shared" si="15"/>
        <v>0</v>
      </c>
      <c r="J79" s="387">
        <f t="shared" si="16"/>
        <v>8.5065842717670808E-4</v>
      </c>
      <c r="L79" s="24" t="s">
        <v>5</v>
      </c>
      <c r="M79" s="23">
        <f t="shared" si="17"/>
        <v>-39977.108068574402</v>
      </c>
      <c r="N79" s="22">
        <f t="shared" si="18"/>
        <v>0</v>
      </c>
      <c r="O79" s="21">
        <f t="shared" si="19"/>
        <v>-1150.0976793370685</v>
      </c>
      <c r="P79" s="154">
        <f t="shared" si="20"/>
        <v>-41127.205747911474</v>
      </c>
      <c r="Q79" s="184">
        <f t="shared" si="21"/>
        <v>6.0838665765949864E-3</v>
      </c>
      <c r="S79" s="75"/>
      <c r="T79" s="75"/>
      <c r="U79" s="75"/>
      <c r="V79" s="75"/>
    </row>
    <row r="80" spans="1:22">
      <c r="A80" s="24" t="s">
        <v>6</v>
      </c>
      <c r="B80" s="23">
        <v>696327770</v>
      </c>
      <c r="C80" s="22">
        <v>336540527.27999997</v>
      </c>
      <c r="D80" s="166">
        <f t="shared" si="11"/>
        <v>0.48330763439177499</v>
      </c>
      <c r="E80" s="27">
        <f t="shared" si="14"/>
        <v>3.2019700243867417E-2</v>
      </c>
      <c r="F80" s="56">
        <v>299493654.98000002</v>
      </c>
      <c r="G80" s="394">
        <f t="shared" si="12"/>
        <v>0.12369835448592026</v>
      </c>
      <c r="H80" s="391">
        <f t="shared" si="13"/>
        <v>0.12369835448592026</v>
      </c>
      <c r="I80" s="392">
        <f t="shared" si="15"/>
        <v>1.2086223488987319E-2</v>
      </c>
      <c r="J80" s="387">
        <f t="shared" si="16"/>
        <v>0.1469694391213206</v>
      </c>
      <c r="L80" s="24" t="s">
        <v>6</v>
      </c>
      <c r="M80" s="23">
        <f t="shared" si="17"/>
        <v>-108227.29125767724</v>
      </c>
      <c r="N80" s="22">
        <f t="shared" si="18"/>
        <v>-24511.020773816337</v>
      </c>
      <c r="O80" s="21">
        <f t="shared" si="19"/>
        <v>-198703.97502308973</v>
      </c>
      <c r="P80" s="154">
        <f t="shared" si="20"/>
        <v>-331442.28705458331</v>
      </c>
      <c r="Q80" s="184">
        <f t="shared" si="21"/>
        <v>4.9029604992894035E-2</v>
      </c>
      <c r="S80" s="75"/>
      <c r="T80" s="75"/>
      <c r="U80" s="75"/>
      <c r="V80" s="75"/>
    </row>
    <row r="81" spans="1:22">
      <c r="A81" s="24" t="s">
        <v>7</v>
      </c>
      <c r="B81" s="383" t="s">
        <v>154</v>
      </c>
      <c r="C81" s="384" t="s">
        <v>154</v>
      </c>
      <c r="D81" s="166">
        <f t="shared" si="11"/>
        <v>0</v>
      </c>
      <c r="E81" s="27">
        <f t="shared" si="14"/>
        <v>0</v>
      </c>
      <c r="F81" s="385" t="s">
        <v>154</v>
      </c>
      <c r="G81" s="394">
        <f t="shared" si="12"/>
        <v>0</v>
      </c>
      <c r="H81" s="391">
        <f t="shared" si="13"/>
        <v>0</v>
      </c>
      <c r="I81" s="392">
        <f t="shared" si="15"/>
        <v>0</v>
      </c>
      <c r="J81" s="387">
        <f t="shared" si="16"/>
        <v>0</v>
      </c>
      <c r="L81" s="24" t="s">
        <v>7</v>
      </c>
      <c r="M81" s="23">
        <f t="shared" si="17"/>
        <v>0</v>
      </c>
      <c r="N81" s="22">
        <f t="shared" si="18"/>
        <v>0</v>
      </c>
      <c r="O81" s="21">
        <f t="shared" si="19"/>
        <v>0</v>
      </c>
      <c r="P81" s="154">
        <f t="shared" si="20"/>
        <v>0</v>
      </c>
      <c r="Q81" s="184">
        <f t="shared" si="21"/>
        <v>0</v>
      </c>
      <c r="S81" s="75"/>
      <c r="T81" s="75"/>
      <c r="U81" s="75"/>
      <c r="V81" s="75"/>
    </row>
    <row r="82" spans="1:22">
      <c r="A82" s="24" t="s">
        <v>8</v>
      </c>
      <c r="B82" s="23">
        <v>2325037</v>
      </c>
      <c r="C82" s="22">
        <v>960189</v>
      </c>
      <c r="D82" s="166">
        <f t="shared" si="11"/>
        <v>0.41297794400691257</v>
      </c>
      <c r="E82" s="27">
        <f t="shared" si="14"/>
        <v>2.7360275388720493E-2</v>
      </c>
      <c r="F82" s="56">
        <v>799410</v>
      </c>
      <c r="G82" s="394">
        <f t="shared" si="12"/>
        <v>0.20112207753218003</v>
      </c>
      <c r="H82" s="391">
        <f t="shared" si="13"/>
        <v>0.20112207753218003</v>
      </c>
      <c r="I82" s="392">
        <f t="shared" si="15"/>
        <v>1.9651080951930085E-2</v>
      </c>
      <c r="J82" s="387">
        <f t="shared" si="16"/>
        <v>4.1932078707136478E-4</v>
      </c>
      <c r="L82" s="24" t="s">
        <v>8</v>
      </c>
      <c r="M82" s="23">
        <f t="shared" si="17"/>
        <v>-92478.332739933816</v>
      </c>
      <c r="N82" s="22">
        <f t="shared" si="18"/>
        <v>-39852.651564782776</v>
      </c>
      <c r="O82" s="21">
        <f t="shared" si="19"/>
        <v>-566.92539414341138</v>
      </c>
      <c r="P82" s="154">
        <f t="shared" si="20"/>
        <v>-132897.90969885999</v>
      </c>
      <c r="Q82" s="184">
        <f t="shared" si="21"/>
        <v>1.9659326137353546E-2</v>
      </c>
      <c r="S82" s="75"/>
      <c r="T82" s="75"/>
      <c r="U82" s="75"/>
      <c r="V82" s="75"/>
    </row>
    <row r="83" spans="1:22">
      <c r="A83" s="24" t="s">
        <v>9</v>
      </c>
      <c r="B83" s="23">
        <v>116630005</v>
      </c>
      <c r="C83" s="22">
        <v>36285132.439999998</v>
      </c>
      <c r="D83" s="166">
        <f t="shared" si="11"/>
        <v>0.31111318601075255</v>
      </c>
      <c r="E83" s="27">
        <f t="shared" si="14"/>
        <v>2.0611615147597167E-2</v>
      </c>
      <c r="F83" s="56">
        <v>27527682</v>
      </c>
      <c r="G83" s="394">
        <f t="shared" si="12"/>
        <v>0.31813250530865611</v>
      </c>
      <c r="H83" s="391">
        <f t="shared" si="13"/>
        <v>0.31813250530865611</v>
      </c>
      <c r="I83" s="392">
        <f t="shared" si="15"/>
        <v>3.10838456522032E-2</v>
      </c>
      <c r="J83" s="387">
        <f t="shared" si="16"/>
        <v>1.5845953550529646E-2</v>
      </c>
      <c r="L83" s="24" t="s">
        <v>9</v>
      </c>
      <c r="M83" s="23">
        <f t="shared" si="17"/>
        <v>-69667.712654411676</v>
      </c>
      <c r="N83" s="22">
        <f t="shared" si="18"/>
        <v>-63038.449289430697</v>
      </c>
      <c r="O83" s="21">
        <f t="shared" si="19"/>
        <v>-21423.868644707327</v>
      </c>
      <c r="P83" s="154">
        <f t="shared" si="20"/>
        <v>-154130.03058854968</v>
      </c>
      <c r="Q83" s="184">
        <f t="shared" si="21"/>
        <v>2.2800151979565472E-2</v>
      </c>
      <c r="S83" s="75"/>
      <c r="T83" s="75"/>
      <c r="U83" s="75"/>
      <c r="V83" s="75"/>
    </row>
    <row r="84" spans="1:22">
      <c r="A84" s="24" t="s">
        <v>10</v>
      </c>
      <c r="B84" s="23">
        <v>36098646</v>
      </c>
      <c r="C84" s="22">
        <v>5537234.6299999999</v>
      </c>
      <c r="D84" s="166">
        <f t="shared" si="11"/>
        <v>0.15339175408407285</v>
      </c>
      <c r="E84" s="27">
        <f t="shared" si="14"/>
        <v>1.0162384444504078E-2</v>
      </c>
      <c r="F84" s="56">
        <v>4946842.92</v>
      </c>
      <c r="G84" s="394">
        <f t="shared" si="12"/>
        <v>0.1193471714278731</v>
      </c>
      <c r="H84" s="391">
        <f t="shared" si="13"/>
        <v>0.1193471714278731</v>
      </c>
      <c r="I84" s="392">
        <f t="shared" si="15"/>
        <v>1.166108144809591E-2</v>
      </c>
      <c r="J84" s="387">
        <f t="shared" si="16"/>
        <v>2.4181464099780536E-3</v>
      </c>
      <c r="L84" s="24" t="s">
        <v>10</v>
      </c>
      <c r="M84" s="23">
        <f t="shared" si="17"/>
        <v>-34349.082994881559</v>
      </c>
      <c r="N84" s="22">
        <f t="shared" si="18"/>
        <v>-23648.82710301362</v>
      </c>
      <c r="O84" s="21">
        <f t="shared" si="19"/>
        <v>-3269.3552259787366</v>
      </c>
      <c r="P84" s="154">
        <f t="shared" si="20"/>
        <v>-61267.265323873915</v>
      </c>
      <c r="Q84" s="184">
        <f t="shared" si="21"/>
        <v>9.0631459386764229E-3</v>
      </c>
      <c r="S84" s="75"/>
      <c r="T84" s="75"/>
      <c r="U84" s="75"/>
      <c r="V84" s="75"/>
    </row>
    <row r="85" spans="1:22">
      <c r="A85" s="24" t="s">
        <v>11</v>
      </c>
      <c r="B85" s="23">
        <v>3294944</v>
      </c>
      <c r="C85" s="22">
        <v>1064298</v>
      </c>
      <c r="D85" s="166">
        <f t="shared" si="11"/>
        <v>0.32300943506171881</v>
      </c>
      <c r="E85" s="27">
        <f t="shared" si="14"/>
        <v>2.1399755664180769E-2</v>
      </c>
      <c r="F85" s="56">
        <v>1221813</v>
      </c>
      <c r="G85" s="394">
        <f t="shared" si="12"/>
        <v>-0.12891907354071364</v>
      </c>
      <c r="H85" s="391">
        <f t="shared" si="13"/>
        <v>0</v>
      </c>
      <c r="I85" s="392">
        <f t="shared" si="15"/>
        <v>0</v>
      </c>
      <c r="J85" s="387">
        <f t="shared" si="16"/>
        <v>4.6478586511455497E-4</v>
      </c>
      <c r="L85" s="24" t="s">
        <v>11</v>
      </c>
      <c r="M85" s="23">
        <f t="shared" si="17"/>
        <v>-72331.644939555612</v>
      </c>
      <c r="N85" s="22">
        <f t="shared" si="18"/>
        <v>0</v>
      </c>
      <c r="O85" s="21">
        <f t="shared" si="19"/>
        <v>-628.3945797504914</v>
      </c>
      <c r="P85" s="154">
        <f t="shared" si="20"/>
        <v>-72960.039519306098</v>
      </c>
      <c r="Q85" s="184">
        <f t="shared" si="21"/>
        <v>1.0792835005113296E-2</v>
      </c>
      <c r="S85" s="75"/>
      <c r="T85" s="75"/>
      <c r="U85" s="75"/>
      <c r="V85" s="75"/>
    </row>
    <row r="86" spans="1:22">
      <c r="A86" s="24" t="s">
        <v>12</v>
      </c>
      <c r="B86" s="23">
        <v>5282316</v>
      </c>
      <c r="C86" s="22">
        <v>1864847</v>
      </c>
      <c r="D86" s="166">
        <f t="shared" si="11"/>
        <v>0.35303586532876868</v>
      </c>
      <c r="E86" s="27">
        <f t="shared" si="14"/>
        <v>2.3389042048523233E-2</v>
      </c>
      <c r="F86" s="56">
        <v>1408205</v>
      </c>
      <c r="G86" s="394">
        <f t="shared" si="12"/>
        <v>0.32427238931831659</v>
      </c>
      <c r="H86" s="391">
        <f t="shared" si="13"/>
        <v>0.32427238931831659</v>
      </c>
      <c r="I86" s="392">
        <f t="shared" si="15"/>
        <v>3.1683756707169275E-2</v>
      </c>
      <c r="J86" s="387">
        <f t="shared" si="16"/>
        <v>8.1439082493933322E-4</v>
      </c>
      <c r="L86" s="24" t="s">
        <v>12</v>
      </c>
      <c r="M86" s="23">
        <f t="shared" si="17"/>
        <v>-79055.4766829336</v>
      </c>
      <c r="N86" s="22">
        <f t="shared" si="18"/>
        <v>-64255.076827727826</v>
      </c>
      <c r="O86" s="21">
        <f t="shared" si="19"/>
        <v>-1101.0635619572381</v>
      </c>
      <c r="P86" s="154">
        <f t="shared" si="20"/>
        <v>-144411.61707261865</v>
      </c>
      <c r="Q86" s="184">
        <f t="shared" si="21"/>
        <v>2.1362526201400268E-2</v>
      </c>
      <c r="S86" s="75"/>
      <c r="T86" s="75"/>
      <c r="U86" s="75"/>
      <c r="V86" s="75"/>
    </row>
    <row r="87" spans="1:22">
      <c r="A87" s="24" t="s">
        <v>13</v>
      </c>
      <c r="B87" s="23">
        <v>53700075</v>
      </c>
      <c r="C87" s="22">
        <v>14209085</v>
      </c>
      <c r="D87" s="166">
        <f t="shared" si="11"/>
        <v>0.26460084087405839</v>
      </c>
      <c r="E87" s="27">
        <f t="shared" si="14"/>
        <v>1.7530117478332132E-2</v>
      </c>
      <c r="F87" s="56">
        <v>12990205</v>
      </c>
      <c r="G87" s="394">
        <f t="shared" si="12"/>
        <v>9.3830697821935871E-2</v>
      </c>
      <c r="H87" s="391">
        <f t="shared" si="13"/>
        <v>9.3830697821935871E-2</v>
      </c>
      <c r="I87" s="392">
        <f t="shared" si="15"/>
        <v>9.167937509893349E-3</v>
      </c>
      <c r="J87" s="387">
        <f t="shared" si="16"/>
        <v>6.2051999197698824E-3</v>
      </c>
      <c r="L87" s="24" t="s">
        <v>13</v>
      </c>
      <c r="M87" s="23">
        <f t="shared" si="17"/>
        <v>-59252.182739347132</v>
      </c>
      <c r="N87" s="22">
        <f t="shared" si="18"/>
        <v>-18592.69828683884</v>
      </c>
      <c r="O87" s="21">
        <f t="shared" si="19"/>
        <v>-8389.4848972881755</v>
      </c>
      <c r="P87" s="154">
        <f t="shared" si="20"/>
        <v>-86234.36592347415</v>
      </c>
      <c r="Q87" s="184">
        <f t="shared" si="21"/>
        <v>1.275647997608805E-2</v>
      </c>
      <c r="S87" s="75"/>
      <c r="T87" s="75"/>
      <c r="U87" s="75"/>
      <c r="V87" s="75"/>
    </row>
    <row r="88" spans="1:22">
      <c r="A88" s="24" t="s">
        <v>14</v>
      </c>
      <c r="B88" s="23">
        <v>7034210</v>
      </c>
      <c r="C88" s="22">
        <v>838434</v>
      </c>
      <c r="D88" s="166">
        <f t="shared" si="11"/>
        <v>0.11919376873877806</v>
      </c>
      <c r="E88" s="27">
        <f t="shared" si="14"/>
        <v>7.8967276210224063E-3</v>
      </c>
      <c r="F88" s="56">
        <v>691812</v>
      </c>
      <c r="G88" s="394">
        <f t="shared" si="12"/>
        <v>0.21193908171584197</v>
      </c>
      <c r="H88" s="391">
        <f t="shared" si="13"/>
        <v>0.21193908171584197</v>
      </c>
      <c r="I88" s="392">
        <f t="shared" si="15"/>
        <v>2.0707980460321931E-2</v>
      </c>
      <c r="J88" s="387">
        <f t="shared" si="16"/>
        <v>3.6614958595379939E-4</v>
      </c>
      <c r="L88" s="24" t="s">
        <v>14</v>
      </c>
      <c r="M88" s="23">
        <f t="shared" si="17"/>
        <v>-26691.113087063397</v>
      </c>
      <c r="N88" s="22">
        <f t="shared" si="18"/>
        <v>-41996.057718874952</v>
      </c>
      <c r="O88" s="21">
        <f t="shared" si="19"/>
        <v>-495.03746232589316</v>
      </c>
      <c r="P88" s="154">
        <f t="shared" si="20"/>
        <v>-69182.20826826425</v>
      </c>
      <c r="Q88" s="184">
        <f t="shared" si="21"/>
        <v>1.0233987865798546E-2</v>
      </c>
      <c r="S88" s="75"/>
      <c r="T88" s="75"/>
      <c r="U88" s="75"/>
      <c r="V88" s="75"/>
    </row>
    <row r="89" spans="1:22">
      <c r="A89" s="24" t="s">
        <v>15</v>
      </c>
      <c r="B89" s="23">
        <v>1629962</v>
      </c>
      <c r="C89" s="22">
        <v>363195</v>
      </c>
      <c r="D89" s="166">
        <f t="shared" si="11"/>
        <v>0.22282421307981412</v>
      </c>
      <c r="E89" s="27">
        <f t="shared" si="14"/>
        <v>1.4762366662943635E-2</v>
      </c>
      <c r="F89" s="56">
        <v>329170</v>
      </c>
      <c r="G89" s="394">
        <f t="shared" si="12"/>
        <v>0.10336604186286724</v>
      </c>
      <c r="H89" s="391">
        <f t="shared" si="13"/>
        <v>0.10336604186286724</v>
      </c>
      <c r="I89" s="392">
        <f t="shared" si="15"/>
        <v>1.0099609556801602E-2</v>
      </c>
      <c r="J89" s="387">
        <f t="shared" si="16"/>
        <v>1.5860962087712349E-4</v>
      </c>
      <c r="L89" s="24" t="s">
        <v>15</v>
      </c>
      <c r="M89" s="23">
        <f t="shared" si="17"/>
        <v>-49897.12409281607</v>
      </c>
      <c r="N89" s="22">
        <f t="shared" si="18"/>
        <v>-20482.1414960398</v>
      </c>
      <c r="O89" s="21">
        <f t="shared" si="19"/>
        <v>-214.44160319053469</v>
      </c>
      <c r="P89" s="154">
        <f t="shared" si="20"/>
        <v>-70593.707192046393</v>
      </c>
      <c r="Q89" s="184">
        <f t="shared" si="21"/>
        <v>1.0442788122687723E-2</v>
      </c>
      <c r="S89" s="75"/>
      <c r="T89" s="75"/>
      <c r="U89" s="75"/>
      <c r="V89" s="75"/>
    </row>
    <row r="90" spans="1:22">
      <c r="A90" s="24" t="s">
        <v>16</v>
      </c>
      <c r="B90" s="23">
        <v>2243867</v>
      </c>
      <c r="C90" s="22">
        <v>1038863</v>
      </c>
      <c r="D90" s="166">
        <f t="shared" si="11"/>
        <v>0.46297886639448771</v>
      </c>
      <c r="E90" s="27">
        <f t="shared" si="14"/>
        <v>3.0672895411331669E-2</v>
      </c>
      <c r="F90" s="56">
        <v>632096</v>
      </c>
      <c r="G90" s="394">
        <f t="shared" si="12"/>
        <v>0.64352092087277879</v>
      </c>
      <c r="H90" s="391">
        <f t="shared" si="13"/>
        <v>0.64352092087277879</v>
      </c>
      <c r="I90" s="392">
        <f t="shared" si="15"/>
        <v>6.2876646191705132E-2</v>
      </c>
      <c r="J90" s="387">
        <f t="shared" si="16"/>
        <v>4.5367823503426853E-4</v>
      </c>
      <c r="L90" s="24" t="s">
        <v>16</v>
      </c>
      <c r="M90" s="23">
        <f t="shared" si="17"/>
        <v>-103675.06129400009</v>
      </c>
      <c r="N90" s="22">
        <f t="shared" si="18"/>
        <v>-127514.66844850774</v>
      </c>
      <c r="O90" s="21">
        <f t="shared" si="19"/>
        <v>-613.37696613479932</v>
      </c>
      <c r="P90" s="154">
        <f t="shared" si="20"/>
        <v>-231803.10670864262</v>
      </c>
      <c r="Q90" s="184">
        <f t="shared" si="21"/>
        <v>3.4290177210184229E-2</v>
      </c>
      <c r="S90" s="75"/>
      <c r="T90" s="75"/>
      <c r="U90" s="75"/>
      <c r="V90" s="75"/>
    </row>
    <row r="91" spans="1:22">
      <c r="A91" s="24" t="s">
        <v>17</v>
      </c>
      <c r="B91" s="23">
        <v>10409374</v>
      </c>
      <c r="C91" s="22">
        <v>1281029</v>
      </c>
      <c r="D91" s="166">
        <f t="shared" si="11"/>
        <v>0.12306494127312555</v>
      </c>
      <c r="E91" s="27">
        <f t="shared" si="14"/>
        <v>8.153197362697583E-3</v>
      </c>
      <c r="F91" s="56">
        <v>1193413</v>
      </c>
      <c r="G91" s="394">
        <f t="shared" si="12"/>
        <v>7.3416327792641844E-2</v>
      </c>
      <c r="H91" s="391">
        <f t="shared" si="13"/>
        <v>7.3416327792641844E-2</v>
      </c>
      <c r="I91" s="392">
        <f t="shared" si="15"/>
        <v>7.173305975898157E-3</v>
      </c>
      <c r="J91" s="387">
        <f t="shared" si="16"/>
        <v>5.5943370372004201E-4</v>
      </c>
      <c r="L91" s="24" t="s">
        <v>17</v>
      </c>
      <c r="M91" s="23">
        <f t="shared" si="17"/>
        <v>-27557.986456259809</v>
      </c>
      <c r="N91" s="22">
        <f t="shared" si="18"/>
        <v>-14547.559206760345</v>
      </c>
      <c r="O91" s="21">
        <f t="shared" si="19"/>
        <v>-756.35929044608952</v>
      </c>
      <c r="P91" s="154">
        <f t="shared" si="20"/>
        <v>-42861.904953466241</v>
      </c>
      <c r="Q91" s="184">
        <f t="shared" si="21"/>
        <v>6.3404772148622475E-3</v>
      </c>
      <c r="S91" s="75"/>
      <c r="T91" s="75"/>
      <c r="U91" s="75"/>
      <c r="V91" s="75"/>
    </row>
    <row r="92" spans="1:22">
      <c r="A92" s="24" t="s">
        <v>18</v>
      </c>
      <c r="B92" s="23">
        <v>415292639</v>
      </c>
      <c r="C92" s="22">
        <v>103525907.23999999</v>
      </c>
      <c r="D92" s="166">
        <f t="shared" si="11"/>
        <v>0.24928423361724933</v>
      </c>
      <c r="E92" s="27">
        <f t="shared" si="14"/>
        <v>1.6515374200516415E-2</v>
      </c>
      <c r="F92" s="56">
        <v>90011508</v>
      </c>
      <c r="G92" s="394">
        <f t="shared" si="12"/>
        <v>0.15014079355275323</v>
      </c>
      <c r="H92" s="391">
        <f t="shared" si="13"/>
        <v>0.15014079355275323</v>
      </c>
      <c r="I92" s="392">
        <f t="shared" si="15"/>
        <v>1.4669840946825444E-2</v>
      </c>
      <c r="J92" s="387">
        <f t="shared" si="16"/>
        <v>4.5210437639000137E-2</v>
      </c>
      <c r="L92" s="24" t="s">
        <v>18</v>
      </c>
      <c r="M92" s="23">
        <f t="shared" si="17"/>
        <v>-55822.328135977892</v>
      </c>
      <c r="N92" s="22">
        <f t="shared" si="18"/>
        <v>-29750.6310820625</v>
      </c>
      <c r="O92" s="21">
        <f t="shared" si="19"/>
        <v>-61124.909539779408</v>
      </c>
      <c r="P92" s="154">
        <f t="shared" si="20"/>
        <v>-146697.86875781982</v>
      </c>
      <c r="Q92" s="184">
        <f t="shared" si="21"/>
        <v>2.1700726912105874E-2</v>
      </c>
      <c r="S92" s="75"/>
      <c r="T92" s="75"/>
      <c r="U92" s="75"/>
      <c r="V92" s="75"/>
    </row>
    <row r="93" spans="1:22">
      <c r="A93" s="24" t="s">
        <v>19</v>
      </c>
      <c r="B93" s="23">
        <v>4596412</v>
      </c>
      <c r="C93" s="22">
        <v>3566422</v>
      </c>
      <c r="D93" s="166">
        <f t="shared" si="11"/>
        <v>0.77591434362280842</v>
      </c>
      <c r="E93" s="27">
        <f t="shared" si="14"/>
        <v>5.1405239499238239E-2</v>
      </c>
      <c r="F93" s="56">
        <v>877317</v>
      </c>
      <c r="G93" s="394">
        <f t="shared" si="12"/>
        <v>3.0651463496090923</v>
      </c>
      <c r="H93" s="391">
        <f t="shared" si="13"/>
        <v>3.0651463496090923</v>
      </c>
      <c r="I93" s="392">
        <f t="shared" si="15"/>
        <v>0.29948695729857788</v>
      </c>
      <c r="J93" s="387">
        <f t="shared" si="16"/>
        <v>1.5574797045879831E-3</v>
      </c>
      <c r="L93" s="24" t="s">
        <v>19</v>
      </c>
      <c r="M93" s="23">
        <f t="shared" si="17"/>
        <v>-173750.84042269422</v>
      </c>
      <c r="N93" s="22">
        <f t="shared" si="18"/>
        <v>-607363.50262935227</v>
      </c>
      <c r="O93" s="21">
        <f t="shared" si="19"/>
        <v>-2105.7262664243535</v>
      </c>
      <c r="P93" s="154">
        <f t="shared" si="20"/>
        <v>-783220.06931847089</v>
      </c>
      <c r="Q93" s="184">
        <f t="shared" si="21"/>
        <v>0.11586020288011011</v>
      </c>
      <c r="S93" s="75"/>
      <c r="T93" s="75"/>
      <c r="U93" s="75"/>
      <c r="V93" s="75"/>
    </row>
    <row r="94" spans="1:22">
      <c r="A94" s="24" t="s">
        <v>20</v>
      </c>
      <c r="B94" s="23">
        <v>459479979</v>
      </c>
      <c r="C94" s="22">
        <v>154603349.86000001</v>
      </c>
      <c r="D94" s="166">
        <f t="shared" si="11"/>
        <v>0.33647461679717716</v>
      </c>
      <c r="E94" s="27">
        <f t="shared" si="14"/>
        <v>2.2291839819733501E-2</v>
      </c>
      <c r="F94" s="56">
        <v>130662277.23999999</v>
      </c>
      <c r="G94" s="394">
        <f t="shared" si="12"/>
        <v>0.18322864965857844</v>
      </c>
      <c r="H94" s="391">
        <f t="shared" si="13"/>
        <v>0.18322864965857844</v>
      </c>
      <c r="I94" s="392">
        <f t="shared" si="15"/>
        <v>1.7902763691258362E-2</v>
      </c>
      <c r="J94" s="387">
        <f t="shared" si="16"/>
        <v>6.7516289342165747E-2</v>
      </c>
      <c r="L94" s="24" t="s">
        <v>20</v>
      </c>
      <c r="M94" s="23">
        <f t="shared" si="17"/>
        <v>-75346.909011175259</v>
      </c>
      <c r="N94" s="22">
        <f t="shared" si="18"/>
        <v>-36307.041082352684</v>
      </c>
      <c r="O94" s="21">
        <f t="shared" si="19"/>
        <v>-91282.617333954302</v>
      </c>
      <c r="P94" s="154">
        <f t="shared" si="20"/>
        <v>-202936.56742748222</v>
      </c>
      <c r="Q94" s="184">
        <f t="shared" si="21"/>
        <v>3.0020006885677408E-2</v>
      </c>
      <c r="S94" s="75"/>
      <c r="T94" s="75"/>
      <c r="U94" s="75"/>
      <c r="V94" s="75"/>
    </row>
    <row r="95" spans="1:22">
      <c r="A95" s="24" t="s">
        <v>21</v>
      </c>
      <c r="B95" s="23">
        <v>12996129</v>
      </c>
      <c r="C95" s="22">
        <v>4608992</v>
      </c>
      <c r="D95" s="166">
        <f t="shared" si="11"/>
        <v>0.35464344806057252</v>
      </c>
      <c r="E95" s="27">
        <f t="shared" si="14"/>
        <v>2.349554629866684E-2</v>
      </c>
      <c r="F95" s="56">
        <v>3648762.03</v>
      </c>
      <c r="G95" s="394">
        <f t="shared" si="12"/>
        <v>0.26316596207289522</v>
      </c>
      <c r="H95" s="391">
        <f t="shared" si="13"/>
        <v>0.26316596207289522</v>
      </c>
      <c r="I95" s="392">
        <f t="shared" si="15"/>
        <v>2.5713217007016918E-2</v>
      </c>
      <c r="J95" s="387">
        <f t="shared" si="16"/>
        <v>2.0127768106545938E-3</v>
      </c>
      <c r="L95" s="24" t="s">
        <v>21</v>
      </c>
      <c r="M95" s="23">
        <f t="shared" si="17"/>
        <v>-79415.463391512487</v>
      </c>
      <c r="N95" s="22">
        <f t="shared" si="18"/>
        <v>-52146.743504694801</v>
      </c>
      <c r="O95" s="21">
        <f t="shared" si="19"/>
        <v>-2721.2919604409444</v>
      </c>
      <c r="P95" s="154">
        <f t="shared" si="20"/>
        <v>-134283.49885664825</v>
      </c>
      <c r="Q95" s="184">
        <f t="shared" si="21"/>
        <v>1.9864293613569419E-2</v>
      </c>
      <c r="S95" s="75"/>
      <c r="T95" s="75"/>
      <c r="U95" s="75"/>
      <c r="V95" s="75"/>
    </row>
    <row r="96" spans="1:22">
      <c r="A96" s="24" t="s">
        <v>22</v>
      </c>
      <c r="B96" s="23">
        <v>844965</v>
      </c>
      <c r="C96" s="22">
        <v>246797</v>
      </c>
      <c r="D96" s="166">
        <f t="shared" si="11"/>
        <v>0.29207955359097715</v>
      </c>
      <c r="E96" s="27">
        <f t="shared" si="14"/>
        <v>1.9350614573087024E-2</v>
      </c>
      <c r="F96" s="56">
        <v>218938</v>
      </c>
      <c r="G96" s="394">
        <f t="shared" si="12"/>
        <v>0.12724606966355778</v>
      </c>
      <c r="H96" s="391">
        <f t="shared" si="13"/>
        <v>0.12724606966355778</v>
      </c>
      <c r="I96" s="392">
        <f t="shared" si="15"/>
        <v>1.2432860909431583E-2</v>
      </c>
      <c r="J96" s="387">
        <f t="shared" si="16"/>
        <v>1.0777785653329878E-4</v>
      </c>
      <c r="L96" s="24" t="s">
        <v>22</v>
      </c>
      <c r="M96" s="23">
        <f t="shared" si="17"/>
        <v>-65405.502970554749</v>
      </c>
      <c r="N96" s="22">
        <f t="shared" si="18"/>
        <v>-25214.006038091255</v>
      </c>
      <c r="O96" s="21">
        <f t="shared" si="19"/>
        <v>-145.71661047815743</v>
      </c>
      <c r="P96" s="154">
        <f t="shared" si="20"/>
        <v>-90765.225619124176</v>
      </c>
      <c r="Q96" s="184">
        <f t="shared" si="21"/>
        <v>1.342672113067965E-2</v>
      </c>
      <c r="S96" s="75"/>
      <c r="T96" s="75"/>
      <c r="U96" s="75"/>
      <c r="V96" s="75"/>
    </row>
    <row r="97" spans="1:22">
      <c r="A97" s="24" t="s">
        <v>23</v>
      </c>
      <c r="B97" s="23">
        <v>1658016</v>
      </c>
      <c r="C97" s="22">
        <v>165744</v>
      </c>
      <c r="D97" s="166">
        <f t="shared" si="11"/>
        <v>9.996525968386312E-2</v>
      </c>
      <c r="E97" s="27">
        <f t="shared" si="14"/>
        <v>6.622816239817573E-3</v>
      </c>
      <c r="F97" s="56">
        <v>140414</v>
      </c>
      <c r="G97" s="394">
        <f t="shared" si="12"/>
        <v>0.18039511729599611</v>
      </c>
      <c r="H97" s="391">
        <f t="shared" si="13"/>
        <v>0.18039511729599611</v>
      </c>
      <c r="I97" s="392">
        <f t="shared" si="15"/>
        <v>1.7625907094905285E-2</v>
      </c>
      <c r="J97" s="387">
        <f t="shared" si="16"/>
        <v>7.2381483783251304E-5</v>
      </c>
      <c r="L97" s="24" t="s">
        <v>23</v>
      </c>
      <c r="M97" s="23">
        <f t="shared" si="17"/>
        <v>-22385.264592540672</v>
      </c>
      <c r="N97" s="22">
        <f t="shared" si="18"/>
        <v>-35745.572250441568</v>
      </c>
      <c r="O97" s="21">
        <f t="shared" si="19"/>
        <v>-97.860403032013053</v>
      </c>
      <c r="P97" s="154">
        <f t="shared" si="20"/>
        <v>-58228.697246014257</v>
      </c>
      <c r="Q97" s="184">
        <f t="shared" si="21"/>
        <v>8.6136565451370231E-3</v>
      </c>
      <c r="S97" s="75"/>
      <c r="T97" s="75"/>
      <c r="U97" s="75"/>
      <c r="V97" s="75"/>
    </row>
    <row r="98" spans="1:22">
      <c r="A98" s="24" t="s">
        <v>24</v>
      </c>
      <c r="B98" s="23">
        <v>69984471</v>
      </c>
      <c r="C98" s="22">
        <v>12472493</v>
      </c>
      <c r="D98" s="166">
        <f t="shared" si="11"/>
        <v>0.17821800782062067</v>
      </c>
      <c r="E98" s="27">
        <f t="shared" si="14"/>
        <v>1.1807153006504643E-2</v>
      </c>
      <c r="F98" s="56">
        <v>9156806</v>
      </c>
      <c r="G98" s="394">
        <f t="shared" si="12"/>
        <v>0.36210082423936907</v>
      </c>
      <c r="H98" s="391">
        <f t="shared" si="13"/>
        <v>0.36210082423936907</v>
      </c>
      <c r="I98" s="392">
        <f t="shared" si="15"/>
        <v>3.537986827303892E-2</v>
      </c>
      <c r="J98" s="387">
        <f t="shared" si="16"/>
        <v>5.4468188882627151E-3</v>
      </c>
      <c r="L98" s="24" t="s">
        <v>24</v>
      </c>
      <c r="M98" s="23">
        <f t="shared" si="17"/>
        <v>-39908.436919351836</v>
      </c>
      <c r="N98" s="22">
        <f t="shared" si="18"/>
        <v>-71750.839871984135</v>
      </c>
      <c r="O98" s="21">
        <f t="shared" si="19"/>
        <v>-7364.1470689374082</v>
      </c>
      <c r="P98" s="154">
        <f t="shared" si="20"/>
        <v>-119023.42386027338</v>
      </c>
      <c r="Q98" s="184">
        <f t="shared" si="21"/>
        <v>1.7606900762816544E-2</v>
      </c>
      <c r="S98" s="75"/>
      <c r="T98" s="75"/>
      <c r="U98" s="75"/>
      <c r="V98" s="75"/>
    </row>
    <row r="99" spans="1:22">
      <c r="A99" s="24" t="s">
        <v>25</v>
      </c>
      <c r="B99" s="23">
        <v>534177051</v>
      </c>
      <c r="C99" s="22">
        <v>210861820.25999999</v>
      </c>
      <c r="D99" s="166">
        <f t="shared" si="11"/>
        <v>0.39474144361922425</v>
      </c>
      <c r="E99" s="27">
        <f t="shared" si="14"/>
        <v>2.6152085750570448E-2</v>
      </c>
      <c r="F99" s="56">
        <v>215375991.11000001</v>
      </c>
      <c r="G99" s="394">
        <f t="shared" si="12"/>
        <v>-2.0959489619687854E-2</v>
      </c>
      <c r="H99" s="391">
        <f t="shared" si="13"/>
        <v>0</v>
      </c>
      <c r="I99" s="392">
        <f t="shared" si="15"/>
        <v>0</v>
      </c>
      <c r="J99" s="387">
        <f t="shared" si="16"/>
        <v>9.2084729605029683E-2</v>
      </c>
      <c r="L99" s="24" t="s">
        <v>25</v>
      </c>
      <c r="M99" s="23">
        <f t="shared" si="17"/>
        <v>-88394.625182814634</v>
      </c>
      <c r="N99" s="22">
        <f t="shared" si="18"/>
        <v>0</v>
      </c>
      <c r="O99" s="21">
        <f t="shared" si="19"/>
        <v>-124499.36477162066</v>
      </c>
      <c r="P99" s="154">
        <f t="shared" si="20"/>
        <v>-212893.9899544353</v>
      </c>
      <c r="Q99" s="184">
        <f t="shared" si="21"/>
        <v>3.1492988796291164E-2</v>
      </c>
      <c r="S99" s="75"/>
      <c r="T99" s="75"/>
      <c r="U99" s="75"/>
      <c r="V99" s="75"/>
    </row>
    <row r="100" spans="1:22">
      <c r="A100" s="24" t="s">
        <v>26</v>
      </c>
      <c r="B100" s="23">
        <v>1059673</v>
      </c>
      <c r="C100" s="22">
        <v>297293.69</v>
      </c>
      <c r="D100" s="166">
        <f t="shared" si="11"/>
        <v>0.28055229301869539</v>
      </c>
      <c r="E100" s="27">
        <f t="shared" si="14"/>
        <v>1.8586919977983202E-2</v>
      </c>
      <c r="F100" s="56">
        <v>288216.5</v>
      </c>
      <c r="G100" s="394">
        <f t="shared" si="12"/>
        <v>3.1494345396603007E-2</v>
      </c>
      <c r="H100" s="391">
        <f t="shared" si="13"/>
        <v>3.1494345396603007E-2</v>
      </c>
      <c r="I100" s="392">
        <f t="shared" si="15"/>
        <v>3.0772252281337296E-3</v>
      </c>
      <c r="J100" s="387">
        <f t="shared" si="16"/>
        <v>1.2983008978664651E-4</v>
      </c>
      <c r="L100" s="24" t="s">
        <v>26</v>
      </c>
      <c r="M100" s="23">
        <f t="shared" si="17"/>
        <v>-62824.198437822735</v>
      </c>
      <c r="N100" s="22">
        <f t="shared" si="18"/>
        <v>-6240.6533820282148</v>
      </c>
      <c r="O100" s="21">
        <f t="shared" si="19"/>
        <v>-175.53142389633621</v>
      </c>
      <c r="P100" s="154">
        <f t="shared" si="20"/>
        <v>-69240.383243747288</v>
      </c>
      <c r="Q100" s="184">
        <f t="shared" si="21"/>
        <v>1.024259357538905E-2</v>
      </c>
      <c r="S100" s="75"/>
      <c r="T100" s="75"/>
      <c r="U100" s="75"/>
      <c r="V100" s="75"/>
    </row>
    <row r="101" spans="1:22">
      <c r="A101" s="24" t="s">
        <v>27</v>
      </c>
      <c r="B101" s="23">
        <v>2387896</v>
      </c>
      <c r="C101" s="22">
        <v>539788</v>
      </c>
      <c r="D101" s="166">
        <f t="shared" si="11"/>
        <v>0.22605172084546396</v>
      </c>
      <c r="E101" s="27">
        <f t="shared" si="14"/>
        <v>1.4976192855283668E-2</v>
      </c>
      <c r="F101" s="56">
        <v>518824</v>
      </c>
      <c r="G101" s="394">
        <f t="shared" si="12"/>
        <v>4.0406766070960387E-2</v>
      </c>
      <c r="H101" s="391">
        <f t="shared" si="13"/>
        <v>4.0406766070960387E-2</v>
      </c>
      <c r="I101" s="392">
        <f t="shared" si="15"/>
        <v>3.9480331588117009E-3</v>
      </c>
      <c r="J101" s="387">
        <f t="shared" si="16"/>
        <v>2.357289335866979E-4</v>
      </c>
      <c r="L101" s="24" t="s">
        <v>27</v>
      </c>
      <c r="M101" s="23">
        <f t="shared" si="17"/>
        <v>-50619.861327101615</v>
      </c>
      <c r="N101" s="22">
        <f t="shared" si="18"/>
        <v>-8006.6633601078256</v>
      </c>
      <c r="O101" s="21">
        <f t="shared" si="19"/>
        <v>-318.70759262383115</v>
      </c>
      <c r="P101" s="154">
        <f t="shared" si="20"/>
        <v>-58945.232279833275</v>
      </c>
      <c r="Q101" s="184">
        <f t="shared" si="21"/>
        <v>8.7196521620026852E-3</v>
      </c>
      <c r="S101" s="75"/>
      <c r="T101" s="75"/>
      <c r="U101" s="75"/>
      <c r="V101" s="75"/>
    </row>
    <row r="102" spans="1:22">
      <c r="A102" s="24" t="s">
        <v>28</v>
      </c>
      <c r="B102" s="23">
        <v>708159</v>
      </c>
      <c r="C102" s="22">
        <v>419888</v>
      </c>
      <c r="D102" s="166">
        <f t="shared" si="11"/>
        <v>0.5929289891112024</v>
      </c>
      <c r="E102" s="27">
        <f t="shared" si="14"/>
        <v>3.928224415724877E-2</v>
      </c>
      <c r="F102" s="56">
        <v>336929</v>
      </c>
      <c r="G102" s="394">
        <f t="shared" si="12"/>
        <v>0.2462210139228147</v>
      </c>
      <c r="H102" s="391">
        <f t="shared" si="13"/>
        <v>0.2462210139228147</v>
      </c>
      <c r="I102" s="392">
        <f t="shared" si="15"/>
        <v>2.4057573072202194E-2</v>
      </c>
      <c r="J102" s="387">
        <f t="shared" si="16"/>
        <v>1.8336782304506844E-4</v>
      </c>
      <c r="L102" s="24" t="s">
        <v>28</v>
      </c>
      <c r="M102" s="23">
        <f t="shared" si="17"/>
        <v>-132774.8494608723</v>
      </c>
      <c r="N102" s="22">
        <f t="shared" si="18"/>
        <v>-48789.075750390599</v>
      </c>
      <c r="O102" s="21">
        <f t="shared" si="19"/>
        <v>-247.91491039377533</v>
      </c>
      <c r="P102" s="154">
        <f t="shared" si="20"/>
        <v>-181811.84012165666</v>
      </c>
      <c r="Q102" s="184">
        <f t="shared" si="21"/>
        <v>2.6895067564894057E-2</v>
      </c>
      <c r="S102" s="75"/>
      <c r="T102" s="75"/>
      <c r="U102" s="75"/>
      <c r="V102" s="75"/>
    </row>
    <row r="103" spans="1:22">
      <c r="A103" s="24" t="s">
        <v>29</v>
      </c>
      <c r="B103" s="23">
        <v>2080067</v>
      </c>
      <c r="C103" s="22">
        <v>656691</v>
      </c>
      <c r="D103" s="166">
        <f t="shared" si="11"/>
        <v>0.31570665752593546</v>
      </c>
      <c r="E103" s="27">
        <f t="shared" si="14"/>
        <v>2.0915938047813706E-2</v>
      </c>
      <c r="F103" s="56">
        <v>629171</v>
      </c>
      <c r="G103" s="394">
        <f t="shared" si="12"/>
        <v>4.3740096094702308E-2</v>
      </c>
      <c r="H103" s="391">
        <f t="shared" si="13"/>
        <v>4.3740096094702308E-2</v>
      </c>
      <c r="I103" s="392">
        <f t="shared" si="15"/>
        <v>4.2737235998602267E-3</v>
      </c>
      <c r="J103" s="387">
        <f t="shared" si="16"/>
        <v>2.8678123471804156E-4</v>
      </c>
      <c r="L103" s="24" t="s">
        <v>29</v>
      </c>
      <c r="M103" s="23">
        <f t="shared" si="17"/>
        <v>-70696.330752247377</v>
      </c>
      <c r="N103" s="22">
        <f t="shared" si="18"/>
        <v>-8667.1678736680569</v>
      </c>
      <c r="O103" s="21">
        <f t="shared" si="19"/>
        <v>-387.7307530136577</v>
      </c>
      <c r="P103" s="154">
        <f t="shared" si="20"/>
        <v>-79751.2293789291</v>
      </c>
      <c r="Q103" s="184">
        <f t="shared" si="21"/>
        <v>1.1797442350808532E-2</v>
      </c>
      <c r="S103" s="75"/>
      <c r="T103" s="75"/>
      <c r="U103" s="75"/>
      <c r="V103" s="75"/>
    </row>
    <row r="104" spans="1:22">
      <c r="A104" s="24" t="s">
        <v>30</v>
      </c>
      <c r="B104" s="23">
        <v>619036</v>
      </c>
      <c r="C104" s="22">
        <v>129046</v>
      </c>
      <c r="D104" s="166">
        <f t="shared" si="11"/>
        <v>0.20846283576399435</v>
      </c>
      <c r="E104" s="27">
        <f t="shared" si="14"/>
        <v>1.3810908494234326E-2</v>
      </c>
      <c r="F104" s="56">
        <v>112915</v>
      </c>
      <c r="G104" s="394">
        <f t="shared" si="12"/>
        <v>0.14285967320550852</v>
      </c>
      <c r="H104" s="391">
        <f t="shared" si="13"/>
        <v>0.14285967320550852</v>
      </c>
      <c r="I104" s="392">
        <f t="shared" si="15"/>
        <v>1.3958422851308022E-2</v>
      </c>
      <c r="J104" s="387">
        <f t="shared" si="16"/>
        <v>5.6355228281527225E-5</v>
      </c>
      <c r="L104" s="24" t="s">
        <v>30</v>
      </c>
      <c r="M104" s="23">
        <f t="shared" si="17"/>
        <v>-46681.174550498894</v>
      </c>
      <c r="N104" s="22">
        <f t="shared" si="18"/>
        <v>-28307.865793634304</v>
      </c>
      <c r="O104" s="21">
        <f t="shared" si="19"/>
        <v>-76.192764562633684</v>
      </c>
      <c r="P104" s="154">
        <f t="shared" si="20"/>
        <v>-75065.233108695829</v>
      </c>
      <c r="Q104" s="184">
        <f t="shared" si="21"/>
        <v>1.1104252148165876E-2</v>
      </c>
      <c r="S104" s="75"/>
      <c r="T104" s="75"/>
      <c r="U104" s="75"/>
      <c r="V104" s="75"/>
    </row>
    <row r="105" spans="1:22">
      <c r="A105" s="24" t="s">
        <v>31</v>
      </c>
      <c r="B105" s="383" t="s">
        <v>154</v>
      </c>
      <c r="C105" s="384" t="s">
        <v>154</v>
      </c>
      <c r="D105" s="166">
        <f t="shared" si="11"/>
        <v>0</v>
      </c>
      <c r="E105" s="27">
        <f t="shared" si="14"/>
        <v>0</v>
      </c>
      <c r="F105" s="385" t="s">
        <v>154</v>
      </c>
      <c r="G105" s="394">
        <f t="shared" si="12"/>
        <v>0</v>
      </c>
      <c r="H105" s="391">
        <f t="shared" si="13"/>
        <v>0</v>
      </c>
      <c r="I105" s="392">
        <f t="shared" si="15"/>
        <v>0</v>
      </c>
      <c r="J105" s="387">
        <f t="shared" si="16"/>
        <v>0</v>
      </c>
      <c r="L105" s="24" t="s">
        <v>31</v>
      </c>
      <c r="M105" s="23">
        <f t="shared" si="17"/>
        <v>0</v>
      </c>
      <c r="N105" s="22">
        <f t="shared" si="18"/>
        <v>0</v>
      </c>
      <c r="O105" s="21">
        <f t="shared" si="19"/>
        <v>0</v>
      </c>
      <c r="P105" s="154">
        <f t="shared" si="20"/>
        <v>0</v>
      </c>
      <c r="Q105" s="184">
        <f t="shared" si="21"/>
        <v>0</v>
      </c>
      <c r="S105" s="75"/>
      <c r="T105" s="75"/>
      <c r="U105" s="75"/>
      <c r="V105" s="75"/>
    </row>
    <row r="106" spans="1:22">
      <c r="A106" s="24" t="s">
        <v>32</v>
      </c>
      <c r="B106" s="23">
        <v>3907034</v>
      </c>
      <c r="C106" s="22">
        <v>1176027</v>
      </c>
      <c r="D106" s="166">
        <f t="shared" si="11"/>
        <v>0.3010024995943214</v>
      </c>
      <c r="E106" s="27">
        <f t="shared" si="14"/>
        <v>1.9941770259420954E-2</v>
      </c>
      <c r="F106" s="56">
        <v>1194083</v>
      </c>
      <c r="G106" s="394">
        <f t="shared" si="12"/>
        <v>-1.5121226916386843E-2</v>
      </c>
      <c r="H106" s="391">
        <f t="shared" si="13"/>
        <v>0</v>
      </c>
      <c r="I106" s="392">
        <f t="shared" si="15"/>
        <v>0</v>
      </c>
      <c r="J106" s="387">
        <f t="shared" si="16"/>
        <v>5.1357864676347665E-4</v>
      </c>
      <c r="L106" s="24" t="s">
        <v>32</v>
      </c>
      <c r="M106" s="23">
        <f t="shared" si="17"/>
        <v>-67403.622195788528</v>
      </c>
      <c r="N106" s="22">
        <f t="shared" si="18"/>
        <v>0</v>
      </c>
      <c r="O106" s="21">
        <f t="shared" si="19"/>
        <v>-694.36284991631192</v>
      </c>
      <c r="P106" s="154">
        <f t="shared" si="20"/>
        <v>-68097.985045704845</v>
      </c>
      <c r="Q106" s="184">
        <f t="shared" si="21"/>
        <v>1.0073600859063173E-2</v>
      </c>
      <c r="S106" s="75"/>
      <c r="T106" s="75"/>
      <c r="U106" s="75"/>
      <c r="V106" s="75"/>
    </row>
    <row r="107" spans="1:22">
      <c r="A107" s="24" t="s">
        <v>33</v>
      </c>
      <c r="B107" s="23">
        <v>40511812</v>
      </c>
      <c r="C107" s="22">
        <v>12032960</v>
      </c>
      <c r="D107" s="166">
        <f t="shared" si="11"/>
        <v>0.2970234952709595</v>
      </c>
      <c r="E107" s="27">
        <f t="shared" si="14"/>
        <v>1.9678156534668943E-2</v>
      </c>
      <c r="F107" s="56">
        <v>10280239</v>
      </c>
      <c r="G107" s="394">
        <f t="shared" si="12"/>
        <v>0.17049418792695392</v>
      </c>
      <c r="H107" s="391">
        <f t="shared" si="13"/>
        <v>0.17049418792695392</v>
      </c>
      <c r="I107" s="392">
        <f t="shared" si="15"/>
        <v>1.665851471850514E-2</v>
      </c>
      <c r="J107" s="387">
        <f t="shared" si="16"/>
        <v>5.2548719658299043E-3</v>
      </c>
      <c r="L107" s="24" t="s">
        <v>33</v>
      </c>
      <c r="M107" s="23">
        <f t="shared" si="17"/>
        <v>-66512.602006624787</v>
      </c>
      <c r="N107" s="22">
        <f t="shared" si="18"/>
        <v>-33783.687741522706</v>
      </c>
      <c r="O107" s="21">
        <f t="shared" si="19"/>
        <v>-7104.6331406753297</v>
      </c>
      <c r="P107" s="154">
        <f t="shared" si="20"/>
        <v>-107400.92288882282</v>
      </c>
      <c r="Q107" s="184">
        <f t="shared" si="21"/>
        <v>1.5887607076051996E-2</v>
      </c>
      <c r="S107" s="75"/>
      <c r="T107" s="75"/>
      <c r="U107" s="75"/>
      <c r="V107" s="75"/>
    </row>
    <row r="108" spans="1:22">
      <c r="A108" s="24" t="s">
        <v>34</v>
      </c>
      <c r="B108" s="23">
        <v>2187206</v>
      </c>
      <c r="C108" s="22">
        <v>947940</v>
      </c>
      <c r="D108" s="166">
        <f t="shared" si="11"/>
        <v>0.43340224926230086</v>
      </c>
      <c r="E108" s="27">
        <f t="shared" si="14"/>
        <v>2.8713409677173826E-2</v>
      </c>
      <c r="F108" s="56">
        <v>940947</v>
      </c>
      <c r="G108" s="394">
        <f t="shared" si="12"/>
        <v>7.4318744838977047E-3</v>
      </c>
      <c r="H108" s="391">
        <f t="shared" si="13"/>
        <v>7.4318744838977047E-3</v>
      </c>
      <c r="I108" s="392">
        <f t="shared" si="15"/>
        <v>7.2614786451919962E-4</v>
      </c>
      <c r="J108" s="387">
        <f t="shared" si="16"/>
        <v>4.1397156903112778E-4</v>
      </c>
      <c r="L108" s="24" t="s">
        <v>34</v>
      </c>
      <c r="M108" s="23">
        <f t="shared" si="17"/>
        <v>-97051.956403860429</v>
      </c>
      <c r="N108" s="22">
        <f t="shared" si="18"/>
        <v>-1472.6374543967484</v>
      </c>
      <c r="O108" s="21">
        <f t="shared" si="19"/>
        <v>-559.69320427989226</v>
      </c>
      <c r="P108" s="154">
        <f t="shared" si="20"/>
        <v>-99084.287062537071</v>
      </c>
      <c r="Q108" s="184">
        <f t="shared" si="21"/>
        <v>1.46573435117489E-2</v>
      </c>
      <c r="S108" s="75"/>
      <c r="T108" s="75"/>
      <c r="U108" s="75"/>
      <c r="V108" s="75"/>
    </row>
    <row r="109" spans="1:22">
      <c r="A109" s="24" t="s">
        <v>35</v>
      </c>
      <c r="B109" s="23">
        <v>769899</v>
      </c>
      <c r="C109" s="22">
        <v>296637</v>
      </c>
      <c r="D109" s="166">
        <f t="shared" si="11"/>
        <v>0.38529339562721865</v>
      </c>
      <c r="E109" s="27">
        <f t="shared" si="14"/>
        <v>2.5526141438777388E-2</v>
      </c>
      <c r="F109" s="56">
        <v>301669</v>
      </c>
      <c r="G109" s="394">
        <f t="shared" si="12"/>
        <v>-1.6680533962720734E-2</v>
      </c>
      <c r="H109" s="391">
        <f t="shared" si="13"/>
        <v>0</v>
      </c>
      <c r="I109" s="392">
        <f t="shared" si="15"/>
        <v>0</v>
      </c>
      <c r="J109" s="387">
        <f t="shared" si="16"/>
        <v>1.2954330898863497E-4</v>
      </c>
      <c r="L109" s="24" t="s">
        <v>35</v>
      </c>
      <c r="M109" s="23">
        <f t="shared" si="17"/>
        <v>-86278.919638179228</v>
      </c>
      <c r="N109" s="22">
        <f t="shared" si="18"/>
        <v>0</v>
      </c>
      <c r="O109" s="21">
        <f t="shared" si="19"/>
        <v>-175.14369373375359</v>
      </c>
      <c r="P109" s="154">
        <f t="shared" si="20"/>
        <v>-86454.063331912985</v>
      </c>
      <c r="Q109" s="184">
        <f t="shared" si="21"/>
        <v>1.2788979381186423E-2</v>
      </c>
      <c r="S109" s="75"/>
      <c r="T109" s="75"/>
      <c r="U109" s="75"/>
      <c r="V109" s="75"/>
    </row>
    <row r="110" spans="1:22">
      <c r="A110" s="24" t="s">
        <v>36</v>
      </c>
      <c r="B110" s="23">
        <v>847487</v>
      </c>
      <c r="C110" s="22">
        <v>101056</v>
      </c>
      <c r="D110" s="166">
        <f t="shared" si="11"/>
        <v>0.11924194707411441</v>
      </c>
      <c r="E110" s="27">
        <f t="shared" si="14"/>
        <v>7.8999194925053803E-3</v>
      </c>
      <c r="F110" s="56">
        <v>64774</v>
      </c>
      <c r="G110" s="394">
        <f t="shared" si="12"/>
        <v>0.56013215178929809</v>
      </c>
      <c r="H110" s="391">
        <f t="shared" si="13"/>
        <v>0.56013215178929809</v>
      </c>
      <c r="I110" s="392">
        <f t="shared" si="15"/>
        <v>5.4728960607664308E-2</v>
      </c>
      <c r="J110" s="387">
        <f t="shared" si="16"/>
        <v>4.4131813068347839E-5</v>
      </c>
      <c r="L110" s="24" t="s">
        <v>36</v>
      </c>
      <c r="M110" s="23">
        <f t="shared" si="17"/>
        <v>-26701.90168289702</v>
      </c>
      <c r="N110" s="22">
        <f t="shared" si="18"/>
        <v>-110991.05453462324</v>
      </c>
      <c r="O110" s="21">
        <f t="shared" si="19"/>
        <v>-59.666599628361283</v>
      </c>
      <c r="P110" s="154">
        <f t="shared" si="20"/>
        <v>-137752.62281714863</v>
      </c>
      <c r="Q110" s="184">
        <f t="shared" si="21"/>
        <v>2.0377474291165657E-2</v>
      </c>
      <c r="S110" s="75"/>
      <c r="T110" s="75"/>
      <c r="U110" s="75"/>
      <c r="V110" s="75"/>
    </row>
    <row r="111" spans="1:22">
      <c r="A111" s="24" t="s">
        <v>37</v>
      </c>
      <c r="B111" s="23">
        <v>4772320</v>
      </c>
      <c r="C111" s="22">
        <v>933845.6</v>
      </c>
      <c r="D111" s="166">
        <f t="shared" si="11"/>
        <v>0.19567958561035304</v>
      </c>
      <c r="E111" s="27">
        <f t="shared" si="14"/>
        <v>1.2964003109474419E-2</v>
      </c>
      <c r="F111" s="56">
        <v>1105076</v>
      </c>
      <c r="G111" s="394">
        <f t="shared" si="12"/>
        <v>-0.15494898088457265</v>
      </c>
      <c r="H111" s="391">
        <f t="shared" si="13"/>
        <v>0</v>
      </c>
      <c r="I111" s="392">
        <f t="shared" si="15"/>
        <v>0</v>
      </c>
      <c r="J111" s="387">
        <f t="shared" si="16"/>
        <v>4.0781645279745017E-4</v>
      </c>
      <c r="L111" s="24" t="s">
        <v>37</v>
      </c>
      <c r="M111" s="23">
        <f t="shared" si="17"/>
        <v>-43818.615718091947</v>
      </c>
      <c r="N111" s="22">
        <f t="shared" si="18"/>
        <v>0</v>
      </c>
      <c r="O111" s="21">
        <f t="shared" si="19"/>
        <v>-551.37143296693728</v>
      </c>
      <c r="P111" s="154">
        <f t="shared" si="20"/>
        <v>-44369.987151058886</v>
      </c>
      <c r="Q111" s="184">
        <f t="shared" si="21"/>
        <v>6.5635648452967007E-3</v>
      </c>
      <c r="S111" s="75"/>
      <c r="T111" s="75"/>
      <c r="U111" s="75"/>
      <c r="V111" s="75"/>
    </row>
    <row r="112" spans="1:22">
      <c r="A112" s="24" t="s">
        <v>38</v>
      </c>
      <c r="B112" s="23">
        <v>62554222</v>
      </c>
      <c r="C112" s="22">
        <v>20840679</v>
      </c>
      <c r="D112" s="166">
        <f t="shared" si="11"/>
        <v>0.33316182878911033</v>
      </c>
      <c r="E112" s="27">
        <f t="shared" si="14"/>
        <v>2.2072363710850449E-2</v>
      </c>
      <c r="F112" s="56">
        <v>16891683.199999999</v>
      </c>
      <c r="G112" s="394">
        <f t="shared" si="12"/>
        <v>0.23378343965153214</v>
      </c>
      <c r="H112" s="391">
        <f t="shared" si="13"/>
        <v>0.23378343965153214</v>
      </c>
      <c r="I112" s="392">
        <f t="shared" si="15"/>
        <v>2.2842332150620575E-2</v>
      </c>
      <c r="J112" s="387">
        <f t="shared" si="16"/>
        <v>9.1012601908391621E-3</v>
      </c>
      <c r="L112" s="24" t="s">
        <v>38</v>
      </c>
      <c r="M112" s="23">
        <f t="shared" si="17"/>
        <v>-74605.074934676159</v>
      </c>
      <c r="N112" s="22">
        <f t="shared" si="18"/>
        <v>-46324.551120242912</v>
      </c>
      <c r="O112" s="21">
        <f t="shared" si="19"/>
        <v>-12304.983869104228</v>
      </c>
      <c r="P112" s="154">
        <f t="shared" si="20"/>
        <v>-133234.6099240233</v>
      </c>
      <c r="Q112" s="184">
        <f t="shared" si="21"/>
        <v>1.9709133538779233E-2</v>
      </c>
      <c r="S112" s="75"/>
      <c r="T112" s="75"/>
      <c r="U112" s="75"/>
      <c r="V112" s="75"/>
    </row>
    <row r="113" spans="1:22">
      <c r="A113" s="24" t="s">
        <v>39</v>
      </c>
      <c r="B113" s="23"/>
      <c r="C113" s="22" t="s">
        <v>154</v>
      </c>
      <c r="D113" s="166">
        <f t="shared" si="11"/>
        <v>0</v>
      </c>
      <c r="E113" s="27">
        <f t="shared" si="14"/>
        <v>0</v>
      </c>
      <c r="F113" s="56"/>
      <c r="G113" s="394">
        <f t="shared" si="12"/>
        <v>0</v>
      </c>
      <c r="H113" s="391">
        <f t="shared" si="13"/>
        <v>0</v>
      </c>
      <c r="I113" s="392">
        <f t="shared" si="15"/>
        <v>0</v>
      </c>
      <c r="J113" s="387">
        <f t="shared" si="16"/>
        <v>0</v>
      </c>
      <c r="L113" s="24" t="s">
        <v>39</v>
      </c>
      <c r="M113" s="23">
        <f t="shared" si="17"/>
        <v>0</v>
      </c>
      <c r="N113" s="22">
        <f t="shared" si="18"/>
        <v>0</v>
      </c>
      <c r="O113" s="21">
        <f t="shared" si="19"/>
        <v>0</v>
      </c>
      <c r="P113" s="154">
        <f t="shared" si="20"/>
        <v>0</v>
      </c>
      <c r="Q113" s="184">
        <f t="shared" si="21"/>
        <v>0</v>
      </c>
      <c r="S113" s="75"/>
      <c r="T113" s="75"/>
      <c r="U113" s="75"/>
      <c r="V113" s="75"/>
    </row>
    <row r="114" spans="1:22">
      <c r="A114" s="24" t="s">
        <v>40</v>
      </c>
      <c r="B114" s="23">
        <v>1399134</v>
      </c>
      <c r="C114" s="22">
        <v>378540</v>
      </c>
      <c r="D114" s="166">
        <f t="shared" si="11"/>
        <v>0.27055307068515239</v>
      </c>
      <c r="E114" s="27">
        <f t="shared" si="14"/>
        <v>1.7924459716632778E-2</v>
      </c>
      <c r="F114" s="56">
        <v>451420</v>
      </c>
      <c r="G114" s="394">
        <f t="shared" si="12"/>
        <v>-0.1614461034070267</v>
      </c>
      <c r="H114" s="391">
        <f t="shared" si="13"/>
        <v>0</v>
      </c>
      <c r="I114" s="392">
        <f t="shared" si="15"/>
        <v>0</v>
      </c>
      <c r="J114" s="387">
        <f t="shared" si="16"/>
        <v>1.6531088227213022E-4</v>
      </c>
      <c r="L114" s="24" t="s">
        <v>40</v>
      </c>
      <c r="M114" s="23">
        <f t="shared" si="17"/>
        <v>-60585.068180332557</v>
      </c>
      <c r="N114" s="22">
        <f t="shared" si="18"/>
        <v>0</v>
      </c>
      <c r="O114" s="21">
        <f t="shared" si="19"/>
        <v>-223.50176756768406</v>
      </c>
      <c r="P114" s="154">
        <f t="shared" si="20"/>
        <v>-60808.569947900243</v>
      </c>
      <c r="Q114" s="184">
        <f t="shared" si="21"/>
        <v>8.9952920347708167E-3</v>
      </c>
      <c r="S114" s="75"/>
      <c r="T114" s="75"/>
      <c r="U114" s="75"/>
      <c r="V114" s="75"/>
    </row>
    <row r="115" spans="1:22">
      <c r="A115" s="24" t="s">
        <v>41</v>
      </c>
      <c r="B115" s="23">
        <v>110604359</v>
      </c>
      <c r="C115" s="22">
        <v>21534368.5</v>
      </c>
      <c r="D115" s="166">
        <f t="shared" si="11"/>
        <v>0.19469728584566906</v>
      </c>
      <c r="E115" s="27">
        <f t="shared" si="14"/>
        <v>1.2898924592652758E-2</v>
      </c>
      <c r="F115" s="56">
        <v>17252658</v>
      </c>
      <c r="G115" s="394">
        <f t="shared" si="12"/>
        <v>0.2481768606321415</v>
      </c>
      <c r="H115" s="391">
        <f t="shared" si="13"/>
        <v>0.2481768606321415</v>
      </c>
      <c r="I115" s="392">
        <f t="shared" si="15"/>
        <v>2.4248673435156617E-2</v>
      </c>
      <c r="J115" s="387">
        <f t="shared" si="16"/>
        <v>9.4041989113651647E-3</v>
      </c>
      <c r="L115" s="24" t="s">
        <v>41</v>
      </c>
      <c r="M115" s="23">
        <f t="shared" si="17"/>
        <v>-43598.64889950736</v>
      </c>
      <c r="N115" s="22">
        <f t="shared" si="18"/>
        <v>-49176.62980898696</v>
      </c>
      <c r="O115" s="21">
        <f t="shared" si="19"/>
        <v>-12714.559685116123</v>
      </c>
      <c r="P115" s="154">
        <f t="shared" si="20"/>
        <v>-105489.83839361045</v>
      </c>
      <c r="Q115" s="184">
        <f t="shared" si="21"/>
        <v>1.56049041091464E-2</v>
      </c>
      <c r="S115" s="75"/>
      <c r="T115" s="75"/>
      <c r="U115" s="75"/>
      <c r="V115" s="75"/>
    </row>
    <row r="116" spans="1:22">
      <c r="A116" s="24" t="s">
        <v>42</v>
      </c>
      <c r="B116" s="23">
        <v>8051951</v>
      </c>
      <c r="C116" s="22">
        <v>1244367</v>
      </c>
      <c r="D116" s="166">
        <f t="shared" si="11"/>
        <v>0.15454229664338495</v>
      </c>
      <c r="E116" s="27">
        <f t="shared" si="14"/>
        <v>1.0238609244704776E-2</v>
      </c>
      <c r="F116" s="56">
        <v>1075933</v>
      </c>
      <c r="G116" s="394">
        <f t="shared" si="12"/>
        <v>0.15654692253142155</v>
      </c>
      <c r="H116" s="391">
        <f t="shared" si="13"/>
        <v>0.15654692253142155</v>
      </c>
      <c r="I116" s="392">
        <f t="shared" si="15"/>
        <v>1.5295766060035227E-2</v>
      </c>
      <c r="J116" s="387">
        <f t="shared" si="16"/>
        <v>5.4342316965267571E-4</v>
      </c>
      <c r="L116" s="24" t="s">
        <v>42</v>
      </c>
      <c r="M116" s="23">
        <f t="shared" si="17"/>
        <v>-34606.724496505529</v>
      </c>
      <c r="N116" s="22">
        <f t="shared" si="18"/>
        <v>-31020.015473863434</v>
      </c>
      <c r="O116" s="21">
        <f t="shared" si="19"/>
        <v>-734.71290749431057</v>
      </c>
      <c r="P116" s="154">
        <f t="shared" si="20"/>
        <v>-66361.452877863267</v>
      </c>
      <c r="Q116" s="184">
        <f t="shared" si="21"/>
        <v>9.8167190742934913E-3</v>
      </c>
      <c r="S116" s="75"/>
      <c r="T116" s="75"/>
      <c r="U116" s="75"/>
      <c r="V116" s="75"/>
    </row>
    <row r="117" spans="1:22">
      <c r="A117" s="24" t="s">
        <v>43</v>
      </c>
      <c r="B117" s="23">
        <v>1112166</v>
      </c>
      <c r="C117" s="22">
        <v>290271</v>
      </c>
      <c r="D117" s="166">
        <f t="shared" si="11"/>
        <v>0.26099611029288794</v>
      </c>
      <c r="E117" s="27">
        <f t="shared" si="14"/>
        <v>1.7291299829994684E-2</v>
      </c>
      <c r="F117" s="56">
        <v>222448</v>
      </c>
      <c r="G117" s="394">
        <f t="shared" si="12"/>
        <v>0.30489372797238001</v>
      </c>
      <c r="H117" s="391">
        <f t="shared" si="13"/>
        <v>0.30489372797238001</v>
      </c>
      <c r="I117" s="392">
        <f t="shared" si="15"/>
        <v>2.9790321399013674E-2</v>
      </c>
      <c r="J117" s="387">
        <f t="shared" si="16"/>
        <v>1.2676323534636632E-4</v>
      </c>
      <c r="L117" s="24" t="s">
        <v>43</v>
      </c>
      <c r="M117" s="23">
        <f t="shared" si="17"/>
        <v>-58444.973833978293</v>
      </c>
      <c r="N117" s="22">
        <f t="shared" si="18"/>
        <v>-60415.1650294422</v>
      </c>
      <c r="O117" s="21">
        <f t="shared" si="19"/>
        <v>-171.38500970475832</v>
      </c>
      <c r="P117" s="154">
        <f t="shared" si="20"/>
        <v>-119031.52387312525</v>
      </c>
      <c r="Q117" s="184">
        <f t="shared" si="21"/>
        <v>1.7608098981770719E-2</v>
      </c>
      <c r="S117" s="75"/>
      <c r="T117" s="75"/>
      <c r="U117" s="75"/>
      <c r="V117" s="75"/>
    </row>
    <row r="118" spans="1:22">
      <c r="A118" s="24" t="s">
        <v>44</v>
      </c>
      <c r="B118" s="23">
        <v>18582885</v>
      </c>
      <c r="C118" s="22">
        <v>7908079.6500000004</v>
      </c>
      <c r="D118" s="166">
        <f t="shared" si="11"/>
        <v>0.42555715380039216</v>
      </c>
      <c r="E118" s="27">
        <f t="shared" si="14"/>
        <v>2.8193662859205673E-2</v>
      </c>
      <c r="F118" s="56">
        <v>7881801</v>
      </c>
      <c r="G118" s="394">
        <f t="shared" si="12"/>
        <v>3.3340920431765841E-3</v>
      </c>
      <c r="H118" s="391">
        <f t="shared" si="13"/>
        <v>3.3340920431765841E-3</v>
      </c>
      <c r="I118" s="392">
        <f t="shared" si="15"/>
        <v>3.2576489585617926E-4</v>
      </c>
      <c r="J118" s="387">
        <f t="shared" si="16"/>
        <v>3.4535098642673925E-3</v>
      </c>
      <c r="L118" s="24" t="s">
        <v>44</v>
      </c>
      <c r="M118" s="23">
        <f t="shared" si="17"/>
        <v>-95295.200724698079</v>
      </c>
      <c r="N118" s="22">
        <f t="shared" si="18"/>
        <v>-660.65550889295685</v>
      </c>
      <c r="O118" s="21">
        <f t="shared" si="19"/>
        <v>-4669.1757273763205</v>
      </c>
      <c r="P118" s="154">
        <f t="shared" si="20"/>
        <v>-100625.03196096736</v>
      </c>
      <c r="Q118" s="184">
        <f t="shared" si="21"/>
        <v>1.4885262871213173E-2</v>
      </c>
      <c r="S118" s="75"/>
      <c r="T118" s="75"/>
      <c r="U118" s="75"/>
      <c r="V118" s="75"/>
    </row>
    <row r="119" spans="1:22">
      <c r="A119" s="24" t="s">
        <v>45</v>
      </c>
      <c r="B119" s="23">
        <v>126915948</v>
      </c>
      <c r="C119" s="22">
        <v>23883804.280000001</v>
      </c>
      <c r="D119" s="166">
        <f t="shared" si="11"/>
        <v>0.18818599755485418</v>
      </c>
      <c r="E119" s="27">
        <f t="shared" si="14"/>
        <v>1.2467544071350476E-2</v>
      </c>
      <c r="F119" s="56">
        <v>19038713.890000001</v>
      </c>
      <c r="G119" s="394">
        <f t="shared" si="12"/>
        <v>0.25448622307123703</v>
      </c>
      <c r="H119" s="391">
        <f t="shared" si="13"/>
        <v>0.25448622307123703</v>
      </c>
      <c r="I119" s="392">
        <f t="shared" si="15"/>
        <v>2.4865143757893293E-2</v>
      </c>
      <c r="J119" s="387">
        <f t="shared" si="16"/>
        <v>1.0430212811173666E-2</v>
      </c>
      <c r="L119" s="24" t="s">
        <v>45</v>
      </c>
      <c r="M119" s="23">
        <f t="shared" si="17"/>
        <v>-42140.573247134183</v>
      </c>
      <c r="N119" s="22">
        <f t="shared" si="18"/>
        <v>-50426.839760905197</v>
      </c>
      <c r="O119" s="21">
        <f t="shared" si="19"/>
        <v>-14101.739506579535</v>
      </c>
      <c r="P119" s="154">
        <f t="shared" si="20"/>
        <v>-106669.15251461891</v>
      </c>
      <c r="Q119" s="184">
        <f t="shared" si="21"/>
        <v>1.577935772527796E-2</v>
      </c>
      <c r="S119" s="75"/>
      <c r="T119" s="75"/>
      <c r="U119" s="75"/>
      <c r="V119" s="75"/>
    </row>
    <row r="120" spans="1:22">
      <c r="A120" s="24" t="s">
        <v>46</v>
      </c>
      <c r="B120" s="23">
        <v>649205075</v>
      </c>
      <c r="C120" s="22">
        <v>330884619.5</v>
      </c>
      <c r="D120" s="166">
        <f t="shared" si="11"/>
        <v>0.50967657561826674</v>
      </c>
      <c r="E120" s="27">
        <f t="shared" si="14"/>
        <v>3.3766673669774448E-2</v>
      </c>
      <c r="F120" s="56">
        <v>306694612.58999997</v>
      </c>
      <c r="G120" s="394">
        <f t="shared" si="12"/>
        <v>7.8873269751034369E-2</v>
      </c>
      <c r="H120" s="391">
        <f t="shared" si="13"/>
        <v>7.8873269751034369E-2</v>
      </c>
      <c r="I120" s="392">
        <f t="shared" si="15"/>
        <v>7.7064886552447231E-3</v>
      </c>
      <c r="J120" s="387">
        <f t="shared" si="16"/>
        <v>0.14449946737418265</v>
      </c>
      <c r="L120" s="24" t="s">
        <v>46</v>
      </c>
      <c r="M120" s="23">
        <f t="shared" si="17"/>
        <v>-114132.09987065836</v>
      </c>
      <c r="N120" s="22">
        <f t="shared" si="18"/>
        <v>-15628.860718486547</v>
      </c>
      <c r="O120" s="21">
        <f t="shared" si="19"/>
        <v>-195364.55148520783</v>
      </c>
      <c r="P120" s="154">
        <f t="shared" si="20"/>
        <v>-325125.51207435271</v>
      </c>
      <c r="Q120" s="184">
        <f t="shared" si="21"/>
        <v>4.8095176906297173E-2</v>
      </c>
      <c r="S120" s="75"/>
      <c r="T120" s="75"/>
      <c r="U120" s="75"/>
      <c r="V120" s="75"/>
    </row>
    <row r="121" spans="1:22">
      <c r="A121" s="24" t="s">
        <v>47</v>
      </c>
      <c r="B121" s="23">
        <v>1187612062</v>
      </c>
      <c r="C121" s="22">
        <v>722790593.90999997</v>
      </c>
      <c r="D121" s="166">
        <f t="shared" si="11"/>
        <v>0.60860833014173277</v>
      </c>
      <c r="E121" s="27">
        <f t="shared" si="14"/>
        <v>4.0321018974970743E-2</v>
      </c>
      <c r="F121" s="56">
        <v>671271036.40999997</v>
      </c>
      <c r="G121" s="394">
        <f t="shared" si="12"/>
        <v>7.6749263271554069E-2</v>
      </c>
      <c r="H121" s="391">
        <f t="shared" si="13"/>
        <v>7.6749263271554069E-2</v>
      </c>
      <c r="I121" s="392">
        <f t="shared" si="15"/>
        <v>7.4989578670645284E-3</v>
      </c>
      <c r="J121" s="387">
        <f t="shared" si="16"/>
        <v>0.31564735768283159</v>
      </c>
      <c r="L121" s="24" t="s">
        <v>47</v>
      </c>
      <c r="M121" s="23">
        <f t="shared" si="17"/>
        <v>-136285.93119781857</v>
      </c>
      <c r="N121" s="22">
        <f t="shared" si="18"/>
        <v>-15207.985540650709</v>
      </c>
      <c r="O121" s="21">
        <f t="shared" si="19"/>
        <v>-426758.00528393593</v>
      </c>
      <c r="P121" s="154">
        <f t="shared" si="20"/>
        <v>-578251.9220224052</v>
      </c>
      <c r="Q121" s="184">
        <f t="shared" si="21"/>
        <v>8.5539668384171055E-2</v>
      </c>
      <c r="S121" s="75"/>
      <c r="T121" s="75"/>
      <c r="U121" s="75"/>
      <c r="V121" s="75"/>
    </row>
    <row r="122" spans="1:22">
      <c r="A122" s="24" t="s">
        <v>48</v>
      </c>
      <c r="B122" s="23">
        <v>308328957</v>
      </c>
      <c r="C122" s="22">
        <v>126817695.59999999</v>
      </c>
      <c r="D122" s="166">
        <f t="shared" si="11"/>
        <v>0.41130647226235062</v>
      </c>
      <c r="E122" s="27">
        <f t="shared" si="14"/>
        <v>2.724953841620335E-2</v>
      </c>
      <c r="F122" s="56">
        <v>112141719.38</v>
      </c>
      <c r="G122" s="394">
        <f t="shared" si="12"/>
        <v>0.13086990551901057</v>
      </c>
      <c r="H122" s="391">
        <f t="shared" si="13"/>
        <v>0.13086990551901057</v>
      </c>
      <c r="I122" s="392">
        <f t="shared" si="15"/>
        <v>1.2786935870399582E-2</v>
      </c>
      <c r="J122" s="387">
        <f t="shared" si="16"/>
        <v>5.5382113243922552E-2</v>
      </c>
      <c r="L122" s="24" t="s">
        <v>48</v>
      </c>
      <c r="M122" s="23">
        <f t="shared" si="17"/>
        <v>-92104.039336612477</v>
      </c>
      <c r="N122" s="22">
        <f t="shared" si="18"/>
        <v>-25932.074732723839</v>
      </c>
      <c r="O122" s="21">
        <f t="shared" si="19"/>
        <v>-74877.104468379839</v>
      </c>
      <c r="P122" s="154">
        <f t="shared" si="20"/>
        <v>-192913.21853771614</v>
      </c>
      <c r="Q122" s="184">
        <f t="shared" si="21"/>
        <v>2.8537272618006062E-2</v>
      </c>
      <c r="S122" s="75"/>
      <c r="T122" s="75"/>
      <c r="U122" s="75"/>
      <c r="V122" s="75"/>
    </row>
    <row r="123" spans="1:22">
      <c r="A123" s="24" t="s">
        <v>49</v>
      </c>
      <c r="B123" s="23">
        <v>208470911</v>
      </c>
      <c r="C123" s="22">
        <v>94615002.860000014</v>
      </c>
      <c r="D123" s="166">
        <f t="shared" si="11"/>
        <v>0.45385230201253363</v>
      </c>
      <c r="E123" s="27">
        <f t="shared" si="14"/>
        <v>3.0068249767498032E-2</v>
      </c>
      <c r="F123" s="56">
        <v>85362095.170000002</v>
      </c>
      <c r="G123" s="394">
        <f t="shared" si="12"/>
        <v>0.10839597682756841</v>
      </c>
      <c r="H123" s="391">
        <f t="shared" si="13"/>
        <v>0.10839597682756841</v>
      </c>
      <c r="I123" s="392">
        <f t="shared" si="15"/>
        <v>1.0591070565891821E-2</v>
      </c>
      <c r="J123" s="387">
        <f t="shared" si="16"/>
        <v>4.1318987686814405E-2</v>
      </c>
      <c r="L123" s="24" t="s">
        <v>49</v>
      </c>
      <c r="M123" s="23">
        <f t="shared" si="17"/>
        <v>-101631.34571563824</v>
      </c>
      <c r="N123" s="22">
        <f t="shared" si="18"/>
        <v>-21478.830909760083</v>
      </c>
      <c r="O123" s="21">
        <f t="shared" si="19"/>
        <v>-55863.63495966472</v>
      </c>
      <c r="P123" s="154">
        <f t="shared" si="20"/>
        <v>-178973.81158506306</v>
      </c>
      <c r="Q123" s="184">
        <f t="shared" si="21"/>
        <v>2.6475243590879449E-2</v>
      </c>
      <c r="S123" s="75"/>
      <c r="T123" s="75"/>
      <c r="U123" s="75"/>
      <c r="V123" s="75"/>
    </row>
    <row r="124" spans="1:22">
      <c r="A124" s="24" t="s">
        <v>50</v>
      </c>
      <c r="B124" s="23">
        <v>4538835</v>
      </c>
      <c r="C124" s="22">
        <v>1178778</v>
      </c>
      <c r="D124" s="166">
        <f t="shared" si="11"/>
        <v>0.25970937476246658</v>
      </c>
      <c r="E124" s="27">
        <f t="shared" si="14"/>
        <v>1.720605208498632E-2</v>
      </c>
      <c r="F124" s="56">
        <v>1456869</v>
      </c>
      <c r="G124" s="394">
        <f t="shared" si="12"/>
        <v>-0.19088263941370154</v>
      </c>
      <c r="H124" s="391">
        <f t="shared" si="13"/>
        <v>0</v>
      </c>
      <c r="I124" s="392">
        <f t="shared" si="15"/>
        <v>0</v>
      </c>
      <c r="J124" s="387">
        <f t="shared" si="16"/>
        <v>5.1478002637231758E-4</v>
      </c>
      <c r="L124" s="24" t="s">
        <v>50</v>
      </c>
      <c r="M124" s="23">
        <f t="shared" si="17"/>
        <v>-58156.834580399627</v>
      </c>
      <c r="N124" s="22">
        <f t="shared" si="18"/>
        <v>0</v>
      </c>
      <c r="O124" s="21">
        <f t="shared" si="19"/>
        <v>-695.9871257196055</v>
      </c>
      <c r="P124" s="154">
        <f t="shared" si="20"/>
        <v>-58852.821706119234</v>
      </c>
      <c r="Q124" s="184">
        <f t="shared" si="21"/>
        <v>8.7059820477676242E-3</v>
      </c>
      <c r="S124" s="75"/>
      <c r="T124" s="75"/>
      <c r="U124" s="75"/>
      <c r="V124" s="75"/>
    </row>
    <row r="125" spans="1:22">
      <c r="A125" s="24" t="s">
        <v>51</v>
      </c>
      <c r="B125" s="23">
        <v>3120510</v>
      </c>
      <c r="C125" s="22">
        <v>668727</v>
      </c>
      <c r="D125" s="166">
        <f t="shared" si="11"/>
        <v>0.2143005470259669</v>
      </c>
      <c r="E125" s="27">
        <f t="shared" si="14"/>
        <v>1.4197663743722251E-2</v>
      </c>
      <c r="F125" s="56">
        <v>668168</v>
      </c>
      <c r="G125" s="394">
        <f t="shared" si="12"/>
        <v>8.3661594090100877E-4</v>
      </c>
      <c r="H125" s="391">
        <f t="shared" si="13"/>
        <v>8.3661594090100877E-4</v>
      </c>
      <c r="I125" s="392">
        <f t="shared" si="15"/>
        <v>8.1743425595284905E-5</v>
      </c>
      <c r="J125" s="387">
        <f t="shared" si="16"/>
        <v>2.9203743427166169E-4</v>
      </c>
      <c r="L125" s="24" t="s">
        <v>51</v>
      </c>
      <c r="M125" s="23">
        <f t="shared" si="17"/>
        <v>-47988.41580238357</v>
      </c>
      <c r="N125" s="22">
        <f t="shared" si="18"/>
        <v>-165.77674612045564</v>
      </c>
      <c r="O125" s="21">
        <f t="shared" si="19"/>
        <v>-394.8371810647082</v>
      </c>
      <c r="P125" s="154">
        <f t="shared" si="20"/>
        <v>-48549.029729568734</v>
      </c>
      <c r="Q125" s="184">
        <f t="shared" si="21"/>
        <v>7.1817623863940439E-3</v>
      </c>
      <c r="S125" s="75"/>
      <c r="T125" s="75"/>
      <c r="U125" s="75"/>
      <c r="V125" s="75"/>
    </row>
    <row r="126" spans="1:22" ht="13.5" thickBot="1">
      <c r="A126" s="167" t="s">
        <v>52</v>
      </c>
      <c r="B126" s="168">
        <f>SUM(B75:B125)</f>
        <v>5256209157</v>
      </c>
      <c r="C126" s="169">
        <f>SUM(C75:C125)</f>
        <v>2289867398.9099998</v>
      </c>
      <c r="D126" s="170">
        <f>SUM(D75:D125)</f>
        <v>15.09407117214786</v>
      </c>
      <c r="E126" s="171">
        <f>SUM(E75:E125)</f>
        <v>0.99999999999999978</v>
      </c>
      <c r="F126" s="172">
        <f>SUM(F75:F125)</f>
        <v>2084369146.27</v>
      </c>
      <c r="G126" s="173"/>
      <c r="H126" s="174">
        <f>SUM(H75:H125)</f>
        <v>10.234657219323411</v>
      </c>
      <c r="I126" s="175">
        <f>SUM(I75:I125)</f>
        <v>1</v>
      </c>
      <c r="J126" s="388">
        <f>SUM(J75:J125)</f>
        <v>0.99999999999999989</v>
      </c>
      <c r="L126" s="167" t="s">
        <v>52</v>
      </c>
      <c r="M126" s="177">
        <f>SUM(M75:M125)</f>
        <v>-3380022.0000000005</v>
      </c>
      <c r="N126" s="172">
        <f>SUM(N75:N125)</f>
        <v>-2028013.1999999997</v>
      </c>
      <c r="O126" s="178">
        <f>SUM(O75:O125)</f>
        <v>-1352008.8000000003</v>
      </c>
      <c r="P126" s="179">
        <f>SUM(P75:P125)</f>
        <v>-6760043.9999999991</v>
      </c>
      <c r="Q126" s="185">
        <f>SUM(Q75:Q125)</f>
        <v>1</v>
      </c>
      <c r="S126" s="75"/>
      <c r="T126" s="75"/>
      <c r="U126" s="75"/>
      <c r="V126" s="75"/>
    </row>
    <row r="127" spans="1:22" ht="13.5" thickTop="1">
      <c r="S127" s="75"/>
      <c r="T127" s="75"/>
      <c r="U127" s="75"/>
      <c r="V127" s="75"/>
    </row>
    <row r="128" spans="1:22">
      <c r="S128" s="75"/>
      <c r="T128" s="75"/>
      <c r="U128" s="75"/>
      <c r="V128" s="75"/>
    </row>
    <row r="129" spans="1:22">
      <c r="L129" s="433" t="s">
        <v>128</v>
      </c>
      <c r="M129" s="433"/>
      <c r="N129" s="433"/>
      <c r="O129" s="433"/>
      <c r="P129" s="433"/>
      <c r="Q129" s="433"/>
      <c r="S129" s="75"/>
      <c r="T129" s="75"/>
      <c r="U129" s="75"/>
      <c r="V129" s="75"/>
    </row>
    <row r="130" spans="1:22">
      <c r="L130" s="433"/>
      <c r="M130" s="433"/>
      <c r="N130" s="433"/>
      <c r="O130" s="433"/>
      <c r="P130" s="433"/>
      <c r="Q130" s="433"/>
      <c r="S130" s="75"/>
      <c r="T130" s="75"/>
      <c r="U130" s="75"/>
      <c r="V130" s="75"/>
    </row>
    <row r="131" spans="1:22">
      <c r="L131" s="433"/>
      <c r="M131" s="433"/>
      <c r="N131" s="433"/>
      <c r="O131" s="433"/>
      <c r="P131" s="433"/>
      <c r="Q131" s="433"/>
      <c r="S131" s="75"/>
      <c r="T131" s="75"/>
      <c r="U131" s="75"/>
      <c r="V131" s="75"/>
    </row>
    <row r="132" spans="1:22">
      <c r="L132" s="433"/>
      <c r="M132" s="433"/>
      <c r="N132" s="433"/>
      <c r="O132" s="433"/>
      <c r="P132" s="433"/>
      <c r="Q132" s="433"/>
      <c r="S132" s="75"/>
      <c r="T132" s="75"/>
      <c r="U132" s="75"/>
      <c r="V132" s="75"/>
    </row>
    <row r="133" spans="1:22">
      <c r="L133" s="433"/>
      <c r="M133" s="433"/>
      <c r="N133" s="433"/>
      <c r="O133" s="433"/>
      <c r="P133" s="433"/>
      <c r="Q133" s="433"/>
      <c r="S133" s="75"/>
      <c r="T133" s="75"/>
      <c r="U133" s="75"/>
      <c r="V133" s="75"/>
    </row>
    <row r="134" spans="1:22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6"/>
      <c r="M134" s="56"/>
      <c r="N134" s="56"/>
      <c r="O134" s="56"/>
      <c r="P134" s="83"/>
      <c r="Q134" s="80"/>
      <c r="R134" s="75"/>
      <c r="S134" s="75"/>
      <c r="T134" s="75"/>
      <c r="U134" s="75"/>
      <c r="V134" s="75"/>
    </row>
    <row r="135" spans="1:22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6"/>
      <c r="M135" s="56"/>
      <c r="N135" s="56"/>
      <c r="O135" s="56"/>
      <c r="P135" s="83"/>
      <c r="Q135" s="80"/>
      <c r="R135" s="75"/>
      <c r="S135" s="75"/>
      <c r="T135" s="75"/>
      <c r="U135" s="75"/>
      <c r="V135" s="75"/>
    </row>
    <row r="136" spans="1:22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6"/>
      <c r="M136" s="56"/>
      <c r="N136" s="56"/>
      <c r="O136" s="56"/>
      <c r="P136" s="83"/>
      <c r="Q136" s="80"/>
      <c r="R136" s="75"/>
      <c r="S136" s="75"/>
      <c r="T136" s="75"/>
      <c r="U136" s="75"/>
      <c r="V136" s="75"/>
    </row>
    <row r="137" spans="1:22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6"/>
      <c r="M137" s="56"/>
      <c r="N137" s="56"/>
      <c r="O137" s="56"/>
      <c r="P137" s="83"/>
      <c r="Q137" s="80"/>
      <c r="R137" s="75"/>
      <c r="S137" s="75"/>
      <c r="T137" s="75"/>
      <c r="U137" s="75"/>
      <c r="V137" s="75"/>
    </row>
    <row r="138" spans="1:22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6"/>
      <c r="M138" s="56"/>
      <c r="N138" s="56"/>
      <c r="O138" s="56"/>
      <c r="P138" s="83"/>
      <c r="Q138" s="80"/>
      <c r="R138" s="75"/>
      <c r="S138" s="75"/>
      <c r="T138" s="75"/>
      <c r="U138" s="75"/>
      <c r="V138" s="75"/>
    </row>
    <row r="139" spans="1:22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6"/>
      <c r="M139" s="56"/>
      <c r="N139" s="56"/>
      <c r="O139" s="56"/>
      <c r="P139" s="83"/>
      <c r="Q139" s="80"/>
      <c r="R139" s="75"/>
      <c r="S139" s="75"/>
      <c r="T139" s="75"/>
      <c r="U139" s="75"/>
      <c r="V139" s="75"/>
    </row>
    <row r="140" spans="1:22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6"/>
      <c r="M140" s="56"/>
      <c r="N140" s="56"/>
      <c r="O140" s="56"/>
      <c r="P140" s="83"/>
      <c r="Q140" s="80"/>
      <c r="R140" s="75"/>
      <c r="S140" s="75"/>
      <c r="T140" s="75"/>
      <c r="U140" s="75"/>
      <c r="V140" s="75"/>
    </row>
    <row r="141" spans="1:22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6"/>
      <c r="M141" s="56"/>
      <c r="N141" s="56"/>
      <c r="O141" s="56"/>
      <c r="P141" s="83"/>
      <c r="Q141" s="80"/>
      <c r="R141" s="75"/>
      <c r="S141" s="75"/>
      <c r="T141" s="75"/>
      <c r="U141" s="75"/>
      <c r="V141" s="75"/>
    </row>
    <row r="142" spans="1:2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6"/>
      <c r="M142" s="56"/>
      <c r="N142" s="56"/>
      <c r="O142" s="56"/>
      <c r="P142" s="83"/>
      <c r="Q142" s="80"/>
      <c r="R142" s="75"/>
      <c r="S142" s="75"/>
      <c r="T142" s="75"/>
      <c r="U142" s="75"/>
      <c r="V142" s="75"/>
    </row>
    <row r="143" spans="1:22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6"/>
      <c r="M143" s="56"/>
      <c r="N143" s="56"/>
      <c r="O143" s="56"/>
      <c r="P143" s="83"/>
      <c r="Q143" s="80"/>
      <c r="R143" s="75"/>
      <c r="S143" s="75"/>
      <c r="T143" s="75"/>
      <c r="U143" s="75"/>
      <c r="V143" s="75"/>
    </row>
    <row r="144" spans="1:22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6"/>
      <c r="M144" s="56"/>
      <c r="N144" s="56"/>
      <c r="O144" s="56"/>
      <c r="P144" s="83"/>
      <c r="Q144" s="80"/>
      <c r="R144" s="75"/>
      <c r="S144" s="75"/>
      <c r="T144" s="75"/>
      <c r="U144" s="75"/>
      <c r="V144" s="75"/>
    </row>
    <row r="145" spans="1:22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6"/>
      <c r="M145" s="56"/>
      <c r="N145" s="56"/>
      <c r="O145" s="56"/>
      <c r="P145" s="83"/>
      <c r="Q145" s="80"/>
      <c r="R145" s="75"/>
      <c r="S145" s="75"/>
      <c r="T145" s="75"/>
      <c r="U145" s="75"/>
      <c r="V145" s="75"/>
    </row>
    <row r="146" spans="1:22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6"/>
      <c r="M146" s="56"/>
      <c r="N146" s="56"/>
      <c r="O146" s="56"/>
      <c r="P146" s="83"/>
      <c r="Q146" s="80"/>
      <c r="R146" s="75"/>
      <c r="S146" s="75"/>
      <c r="T146" s="75"/>
      <c r="U146" s="75"/>
      <c r="V146" s="75"/>
    </row>
    <row r="147" spans="1:22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6"/>
      <c r="M147" s="56"/>
      <c r="N147" s="56"/>
      <c r="O147" s="56"/>
      <c r="P147" s="83"/>
      <c r="Q147" s="80"/>
      <c r="R147" s="75"/>
      <c r="S147" s="75"/>
      <c r="T147" s="75"/>
      <c r="U147" s="75"/>
      <c r="V147" s="75"/>
    </row>
    <row r="148" spans="1:22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6"/>
      <c r="M148" s="56"/>
      <c r="N148" s="56"/>
      <c r="O148" s="56"/>
      <c r="P148" s="83"/>
      <c r="Q148" s="80"/>
      <c r="R148" s="75"/>
      <c r="S148" s="75"/>
      <c r="T148" s="75"/>
      <c r="U148" s="75"/>
      <c r="V148" s="75"/>
    </row>
    <row r="149" spans="1:22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6"/>
      <c r="M149" s="56"/>
      <c r="N149" s="56"/>
      <c r="O149" s="56"/>
      <c r="P149" s="83"/>
      <c r="Q149" s="80"/>
      <c r="R149" s="75"/>
      <c r="S149" s="75"/>
      <c r="T149" s="75"/>
      <c r="U149" s="75"/>
      <c r="V149" s="75"/>
    </row>
    <row r="150" spans="1:22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6"/>
      <c r="M150" s="56"/>
      <c r="N150" s="56"/>
      <c r="O150" s="56"/>
      <c r="P150" s="83"/>
      <c r="Q150" s="80"/>
      <c r="R150" s="75"/>
      <c r="S150" s="75"/>
      <c r="T150" s="75"/>
      <c r="U150" s="75"/>
      <c r="V150" s="75"/>
    </row>
    <row r="151" spans="1:22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6"/>
      <c r="M151" s="56"/>
      <c r="N151" s="56"/>
      <c r="O151" s="56"/>
      <c r="P151" s="83"/>
      <c r="Q151" s="80"/>
      <c r="R151" s="75"/>
      <c r="S151" s="75"/>
      <c r="T151" s="75"/>
      <c r="U151" s="75"/>
      <c r="V151" s="75"/>
    </row>
    <row r="152" spans="1:2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6"/>
      <c r="M152" s="56"/>
      <c r="N152" s="56"/>
      <c r="O152" s="56"/>
      <c r="P152" s="83"/>
      <c r="Q152" s="80"/>
      <c r="R152" s="75"/>
      <c r="S152" s="75"/>
      <c r="T152" s="75"/>
      <c r="U152" s="75"/>
      <c r="V152" s="75"/>
    </row>
    <row r="153" spans="1:22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6"/>
      <c r="M153" s="56"/>
      <c r="N153" s="56"/>
      <c r="O153" s="56"/>
      <c r="P153" s="83"/>
      <c r="Q153" s="80"/>
      <c r="R153" s="75"/>
      <c r="S153" s="75"/>
      <c r="T153" s="75"/>
      <c r="U153" s="75"/>
      <c r="V153" s="75"/>
    </row>
    <row r="154" spans="1:22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6"/>
      <c r="M154" s="56"/>
      <c r="N154" s="56"/>
      <c r="O154" s="56"/>
      <c r="P154" s="83"/>
      <c r="Q154" s="80"/>
      <c r="R154" s="75"/>
      <c r="S154" s="75"/>
      <c r="T154" s="75"/>
      <c r="U154" s="75"/>
      <c r="V154" s="75"/>
    </row>
    <row r="155" spans="1:22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6"/>
      <c r="M155" s="56"/>
      <c r="N155" s="56"/>
      <c r="O155" s="56"/>
      <c r="P155" s="83"/>
      <c r="Q155" s="80"/>
      <c r="R155" s="75"/>
      <c r="S155" s="75"/>
      <c r="T155" s="75"/>
      <c r="U155" s="75"/>
      <c r="V155" s="75"/>
    </row>
    <row r="156" spans="1:22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6"/>
      <c r="M156" s="56"/>
      <c r="N156" s="56"/>
      <c r="O156" s="56"/>
      <c r="P156" s="83"/>
      <c r="Q156" s="80"/>
      <c r="R156" s="75"/>
      <c r="S156" s="75"/>
      <c r="T156" s="75"/>
      <c r="U156" s="75"/>
      <c r="V156" s="75"/>
    </row>
    <row r="157" spans="1:22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6"/>
      <c r="M157" s="56"/>
      <c r="N157" s="56"/>
      <c r="O157" s="56"/>
      <c r="P157" s="83"/>
      <c r="Q157" s="80"/>
      <c r="R157" s="75"/>
      <c r="S157" s="75"/>
      <c r="T157" s="75"/>
      <c r="U157" s="75"/>
      <c r="V157" s="75"/>
    </row>
    <row r="158" spans="1:22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6"/>
      <c r="M158" s="56"/>
      <c r="N158" s="56"/>
      <c r="O158" s="56"/>
      <c r="P158" s="83"/>
      <c r="Q158" s="80"/>
      <c r="R158" s="75"/>
      <c r="S158" s="75"/>
      <c r="T158" s="75"/>
      <c r="U158" s="75"/>
      <c r="V158" s="75"/>
    </row>
    <row r="159" spans="1:22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6"/>
      <c r="M159" s="56"/>
      <c r="N159" s="56"/>
      <c r="O159" s="56"/>
      <c r="P159" s="83"/>
      <c r="Q159" s="80"/>
      <c r="R159" s="75"/>
      <c r="S159" s="75"/>
      <c r="T159" s="75"/>
      <c r="U159" s="75"/>
      <c r="V159" s="75"/>
    </row>
    <row r="160" spans="1:22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6"/>
      <c r="M160" s="56"/>
      <c r="N160" s="56"/>
      <c r="O160" s="56"/>
      <c r="P160" s="83"/>
      <c r="Q160" s="80"/>
      <c r="R160" s="75"/>
      <c r="S160" s="75"/>
      <c r="T160" s="75"/>
      <c r="U160" s="75"/>
      <c r="V160" s="75"/>
    </row>
    <row r="161" spans="1:22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6"/>
      <c r="M161" s="56"/>
      <c r="N161" s="56"/>
      <c r="O161" s="56"/>
      <c r="P161" s="83"/>
      <c r="Q161" s="80"/>
      <c r="R161" s="75"/>
      <c r="S161" s="75"/>
      <c r="T161" s="75"/>
      <c r="U161" s="75"/>
      <c r="V161" s="75"/>
    </row>
    <row r="162" spans="1:2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6"/>
      <c r="M162" s="56"/>
      <c r="N162" s="56"/>
      <c r="O162" s="56"/>
      <c r="P162" s="83"/>
      <c r="Q162" s="80"/>
      <c r="R162" s="75"/>
      <c r="S162" s="75"/>
      <c r="T162" s="75"/>
      <c r="U162" s="75"/>
      <c r="V162" s="75"/>
    </row>
    <row r="163" spans="1:22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6"/>
      <c r="M163" s="56"/>
      <c r="N163" s="56"/>
      <c r="O163" s="56"/>
      <c r="P163" s="83"/>
      <c r="Q163" s="80"/>
      <c r="R163" s="75"/>
      <c r="S163" s="75"/>
      <c r="T163" s="75"/>
      <c r="U163" s="75"/>
      <c r="V163" s="75"/>
    </row>
    <row r="164" spans="1:22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6"/>
      <c r="M164" s="56"/>
      <c r="N164" s="56"/>
      <c r="O164" s="56"/>
      <c r="P164" s="83"/>
      <c r="Q164" s="80"/>
      <c r="R164" s="75"/>
      <c r="S164" s="75"/>
      <c r="T164" s="75"/>
      <c r="U164" s="75"/>
      <c r="V164" s="75"/>
    </row>
    <row r="165" spans="1:22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6"/>
      <c r="M165" s="56"/>
      <c r="N165" s="56"/>
      <c r="O165" s="56"/>
      <c r="P165" s="83"/>
      <c r="Q165" s="80"/>
      <c r="R165" s="75"/>
      <c r="S165" s="75"/>
      <c r="T165" s="75"/>
      <c r="U165" s="75"/>
      <c r="V165" s="75"/>
    </row>
    <row r="166" spans="1:22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6"/>
      <c r="M166" s="56"/>
      <c r="N166" s="56"/>
      <c r="O166" s="56"/>
      <c r="P166" s="83"/>
      <c r="Q166" s="80"/>
      <c r="R166" s="75"/>
      <c r="S166" s="75"/>
      <c r="T166" s="75"/>
      <c r="U166" s="75"/>
      <c r="V166" s="75"/>
    </row>
    <row r="167" spans="1:22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6"/>
      <c r="M167" s="56"/>
      <c r="N167" s="56"/>
      <c r="O167" s="56"/>
      <c r="P167" s="83"/>
      <c r="Q167" s="80"/>
      <c r="R167" s="75"/>
      <c r="S167" s="75"/>
      <c r="T167" s="75"/>
      <c r="U167" s="75"/>
      <c r="V167" s="75"/>
    </row>
    <row r="168" spans="1:22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6"/>
      <c r="M168" s="56"/>
      <c r="N168" s="56"/>
      <c r="O168" s="56"/>
      <c r="P168" s="83"/>
      <c r="Q168" s="80"/>
      <c r="R168" s="75"/>
      <c r="S168" s="75"/>
      <c r="T168" s="75"/>
      <c r="U168" s="75"/>
      <c r="V168" s="75"/>
    </row>
    <row r="169" spans="1:22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6"/>
      <c r="M169" s="56"/>
      <c r="N169" s="56"/>
      <c r="O169" s="56"/>
      <c r="P169" s="83"/>
      <c r="Q169" s="80"/>
      <c r="R169" s="75"/>
      <c r="S169" s="75"/>
      <c r="T169" s="75"/>
      <c r="U169" s="75"/>
      <c r="V169" s="75"/>
    </row>
    <row r="170" spans="1:22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6"/>
      <c r="M170" s="56"/>
      <c r="N170" s="56"/>
      <c r="O170" s="56"/>
      <c r="P170" s="83"/>
      <c r="Q170" s="80"/>
      <c r="R170" s="75"/>
      <c r="S170" s="75"/>
      <c r="T170" s="75"/>
      <c r="U170" s="75"/>
      <c r="V170" s="75"/>
    </row>
    <row r="171" spans="1:22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6"/>
      <c r="M171" s="56"/>
      <c r="N171" s="56"/>
      <c r="O171" s="56"/>
      <c r="P171" s="83"/>
      <c r="Q171" s="80"/>
      <c r="R171" s="75"/>
      <c r="S171" s="75"/>
      <c r="T171" s="75"/>
      <c r="U171" s="75"/>
      <c r="V171" s="75"/>
    </row>
    <row r="172" spans="1:2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6"/>
      <c r="M172" s="56"/>
      <c r="N172" s="56"/>
      <c r="O172" s="56"/>
      <c r="P172" s="83"/>
      <c r="Q172" s="80"/>
      <c r="R172" s="75"/>
      <c r="S172" s="75"/>
      <c r="T172" s="75"/>
      <c r="U172" s="75"/>
      <c r="V172" s="75"/>
    </row>
    <row r="173" spans="1:22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6"/>
      <c r="M173" s="56"/>
      <c r="N173" s="56"/>
      <c r="O173" s="56"/>
      <c r="P173" s="83"/>
      <c r="Q173" s="80"/>
      <c r="R173" s="75"/>
      <c r="S173" s="75"/>
      <c r="T173" s="75"/>
      <c r="U173" s="75"/>
      <c r="V173" s="75"/>
    </row>
    <row r="174" spans="1:22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6"/>
      <c r="M174" s="56"/>
      <c r="N174" s="56"/>
      <c r="O174" s="56"/>
      <c r="P174" s="83"/>
      <c r="Q174" s="80"/>
      <c r="R174" s="75"/>
      <c r="S174" s="75"/>
      <c r="T174" s="75"/>
      <c r="U174" s="75"/>
      <c r="V174" s="75"/>
    </row>
    <row r="175" spans="1:22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6"/>
      <c r="M175" s="56"/>
      <c r="N175" s="56"/>
      <c r="O175" s="56"/>
      <c r="P175" s="83"/>
      <c r="Q175" s="80"/>
      <c r="R175" s="75"/>
      <c r="S175" s="75"/>
      <c r="T175" s="75"/>
      <c r="U175" s="75"/>
      <c r="V175" s="75"/>
    </row>
    <row r="176" spans="1:22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6"/>
      <c r="M176" s="56"/>
      <c r="N176" s="56"/>
      <c r="O176" s="56"/>
      <c r="P176" s="83"/>
      <c r="Q176" s="80"/>
      <c r="R176" s="75"/>
      <c r="S176" s="75"/>
      <c r="T176" s="75"/>
      <c r="U176" s="75"/>
      <c r="V176" s="75"/>
    </row>
    <row r="177" spans="1:22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6"/>
      <c r="M177" s="56"/>
      <c r="N177" s="56"/>
      <c r="O177" s="56"/>
      <c r="P177" s="83"/>
      <c r="Q177" s="80"/>
      <c r="R177" s="75"/>
      <c r="S177" s="75"/>
      <c r="T177" s="75"/>
      <c r="U177" s="75"/>
      <c r="V177" s="75"/>
    </row>
    <row r="178" spans="1:22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6"/>
      <c r="M178" s="56"/>
      <c r="N178" s="56"/>
      <c r="O178" s="56"/>
      <c r="P178" s="83"/>
      <c r="Q178" s="80"/>
      <c r="R178" s="75"/>
      <c r="S178" s="75"/>
      <c r="T178" s="75"/>
      <c r="U178" s="75"/>
      <c r="V178" s="75"/>
    </row>
    <row r="179" spans="1:22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6"/>
      <c r="M179" s="56"/>
      <c r="N179" s="56"/>
      <c r="O179" s="56"/>
      <c r="P179" s="83"/>
      <c r="Q179" s="80"/>
      <c r="R179" s="75"/>
      <c r="S179" s="75"/>
      <c r="T179" s="75"/>
      <c r="U179" s="75"/>
      <c r="V179" s="75"/>
    </row>
    <row r="180" spans="1:22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6"/>
      <c r="M180" s="56"/>
      <c r="N180" s="56"/>
      <c r="O180" s="56"/>
      <c r="P180" s="83"/>
      <c r="Q180" s="80"/>
      <c r="R180" s="75"/>
      <c r="S180" s="75"/>
      <c r="T180" s="75"/>
      <c r="U180" s="75"/>
      <c r="V180" s="75"/>
    </row>
    <row r="181" spans="1:22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6"/>
      <c r="M181" s="56"/>
      <c r="N181" s="56"/>
      <c r="O181" s="56"/>
      <c r="P181" s="83"/>
      <c r="Q181" s="80"/>
      <c r="R181" s="75"/>
      <c r="S181" s="75"/>
      <c r="T181" s="75"/>
      <c r="U181" s="75"/>
      <c r="V181" s="75"/>
    </row>
    <row r="182" spans="1:2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6"/>
      <c r="M182" s="56"/>
      <c r="N182" s="56"/>
      <c r="O182" s="56"/>
      <c r="P182" s="83"/>
      <c r="Q182" s="80"/>
      <c r="R182" s="75"/>
      <c r="S182" s="75"/>
      <c r="T182" s="75"/>
      <c r="U182" s="75"/>
      <c r="V182" s="75"/>
    </row>
    <row r="183" spans="1:22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6"/>
      <c r="M183" s="56"/>
      <c r="N183" s="56"/>
      <c r="O183" s="56"/>
      <c r="P183" s="83"/>
      <c r="Q183" s="80"/>
      <c r="R183" s="75"/>
      <c r="S183" s="75"/>
      <c r="T183" s="75"/>
      <c r="U183" s="75"/>
      <c r="V183" s="75"/>
    </row>
    <row r="184" spans="1:22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6"/>
      <c r="M184" s="56"/>
      <c r="N184" s="56"/>
      <c r="O184" s="56"/>
      <c r="P184" s="83"/>
      <c r="Q184" s="80"/>
      <c r="R184" s="75"/>
      <c r="S184" s="75"/>
      <c r="T184" s="75"/>
      <c r="U184" s="75"/>
      <c r="V184" s="75"/>
    </row>
    <row r="185" spans="1:22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6"/>
      <c r="M185" s="81"/>
      <c r="N185" s="81"/>
      <c r="O185" s="81"/>
      <c r="P185" s="82"/>
      <c r="Q185" s="81"/>
      <c r="R185" s="75"/>
      <c r="S185" s="75"/>
      <c r="T185" s="75"/>
      <c r="U185" s="75"/>
      <c r="V185" s="75"/>
    </row>
    <row r="186" spans="1:22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</row>
    <row r="187" spans="1:22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</row>
    <row r="188" spans="1:22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</row>
    <row r="189" spans="1:22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</row>
    <row r="190" spans="1:22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</row>
    <row r="191" spans="1:22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</row>
    <row r="192" spans="1:2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</row>
    <row r="193" spans="1:22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</row>
    <row r="194" spans="1:22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</row>
    <row r="195" spans="1:22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</row>
    <row r="196" spans="1:22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</row>
    <row r="197" spans="1:22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</row>
    <row r="198" spans="1:22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</row>
    <row r="199" spans="1:22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</row>
    <row r="200" spans="1:22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</row>
    <row r="201" spans="1:22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</row>
    <row r="202" spans="1:22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</row>
    <row r="203" spans="1:22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</row>
    <row r="204" spans="1:22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</row>
    <row r="205" spans="1:22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</row>
    <row r="206" spans="1:22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</row>
    <row r="207" spans="1:22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</row>
    <row r="208" spans="1:22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</row>
    <row r="209" spans="1:22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</row>
    <row r="210" spans="1:22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</row>
    <row r="211" spans="1:22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</row>
    <row r="212" spans="1:22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</row>
    <row r="213" spans="1:22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</row>
    <row r="214" spans="1:22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</row>
    <row r="215" spans="1:22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</row>
    <row r="216" spans="1:22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</row>
    <row r="217" spans="1:22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</row>
    <row r="218" spans="1:22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</row>
    <row r="219" spans="1:22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</row>
    <row r="220" spans="1:22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</row>
    <row r="221" spans="1:22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</row>
    <row r="222" spans="1:22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</row>
  </sheetData>
  <mergeCells count="11">
    <mergeCell ref="B71:E71"/>
    <mergeCell ref="F71:I71"/>
    <mergeCell ref="L71:Q71"/>
    <mergeCell ref="L129:Q133"/>
    <mergeCell ref="B1:E1"/>
    <mergeCell ref="F1:I1"/>
    <mergeCell ref="L1:Q1"/>
    <mergeCell ref="L59:Q63"/>
    <mergeCell ref="B68:E68"/>
    <mergeCell ref="F68:I68"/>
    <mergeCell ref="L68:Q6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8"/>
  <sheetViews>
    <sheetView showGridLines="0" zoomScaleNormal="100" workbookViewId="0">
      <selection activeCell="B4" sqref="B4:C54"/>
    </sheetView>
  </sheetViews>
  <sheetFormatPr baseColWidth="10" defaultRowHeight="12.75"/>
  <cols>
    <col min="1" max="1" width="48.140625" style="53" customWidth="1"/>
    <col min="2" max="2" width="20" style="54" customWidth="1"/>
    <col min="3" max="3" width="15.42578125" style="53" customWidth="1"/>
    <col min="4" max="4" width="29.28515625" style="53" customWidth="1"/>
    <col min="5" max="16384" width="11.42578125" style="53"/>
  </cols>
  <sheetData>
    <row r="1" spans="1:4" ht="15.75">
      <c r="A1" s="437" t="s">
        <v>216</v>
      </c>
      <c r="B1" s="438"/>
      <c r="C1" s="438"/>
      <c r="D1" s="438"/>
    </row>
    <row r="2" spans="1:4" ht="15.75">
      <c r="A2" s="436" t="s">
        <v>340</v>
      </c>
      <c r="B2" s="436"/>
      <c r="C2" s="436"/>
      <c r="D2" s="436"/>
    </row>
    <row r="3" spans="1:4" ht="15.75">
      <c r="A3" s="113" t="s">
        <v>155</v>
      </c>
      <c r="B3" s="114" t="s">
        <v>332</v>
      </c>
      <c r="C3" s="115" t="s">
        <v>156</v>
      </c>
      <c r="D3" s="115" t="s">
        <v>342</v>
      </c>
    </row>
    <row r="4" spans="1:4" ht="15.75">
      <c r="A4" s="116" t="s">
        <v>157</v>
      </c>
      <c r="B4" s="117">
        <v>532855.17000000004</v>
      </c>
      <c r="C4" s="118">
        <f>+B4/$B$55</f>
        <v>1.6375614570886518E-4</v>
      </c>
      <c r="D4" s="119">
        <f t="shared" ref="D4:D54" si="0">+B$58*C4</f>
        <v>1869.1741866805446</v>
      </c>
    </row>
    <row r="5" spans="1:4" ht="15.75">
      <c r="A5" s="120" t="s">
        <v>158</v>
      </c>
      <c r="B5" s="121">
        <v>500859.67</v>
      </c>
      <c r="C5" s="122">
        <f t="shared" ref="C5:C54" si="1">+B5/$B$55</f>
        <v>1.539233429980873E-4</v>
      </c>
      <c r="D5" s="123">
        <f t="shared" si="0"/>
        <v>1756.9388813724672</v>
      </c>
    </row>
    <row r="6" spans="1:4" ht="15.75">
      <c r="A6" s="120" t="s">
        <v>159</v>
      </c>
      <c r="B6" s="121">
        <v>28654</v>
      </c>
      <c r="C6" s="122">
        <f t="shared" si="1"/>
        <v>8.805898606823732E-6</v>
      </c>
      <c r="D6" s="123">
        <f t="shared" si="0"/>
        <v>100.51383595498253</v>
      </c>
    </row>
    <row r="7" spans="1:4" ht="15.75">
      <c r="A7" s="120" t="s">
        <v>160</v>
      </c>
      <c r="B7" s="121">
        <v>37159802.159999996</v>
      </c>
      <c r="C7" s="122">
        <f t="shared" si="1"/>
        <v>1.1419887278236528E-2</v>
      </c>
      <c r="D7" s="123">
        <f t="shared" si="0"/>
        <v>130350.88498743089</v>
      </c>
    </row>
    <row r="8" spans="1:4" ht="15.75">
      <c r="A8" s="120" t="s">
        <v>161</v>
      </c>
      <c r="B8" s="121">
        <v>5443891</v>
      </c>
      <c r="C8" s="122">
        <f t="shared" si="1"/>
        <v>1.6730073348433115E-3</v>
      </c>
      <c r="D8" s="123">
        <f t="shared" si="0"/>
        <v>19096.334436057994</v>
      </c>
    </row>
    <row r="9" spans="1:4" ht="15.75">
      <c r="A9" s="124" t="s">
        <v>162</v>
      </c>
      <c r="B9" s="121">
        <v>437216011.37</v>
      </c>
      <c r="C9" s="122">
        <f t="shared" si="1"/>
        <v>0.13436448193634787</v>
      </c>
      <c r="D9" s="123">
        <f t="shared" si="0"/>
        <v>1533686.6909937863</v>
      </c>
    </row>
    <row r="10" spans="1:4" ht="15.75">
      <c r="A10" s="120" t="s">
        <v>163</v>
      </c>
      <c r="B10" s="121">
        <v>1643390.2000000002</v>
      </c>
      <c r="C10" s="122">
        <f t="shared" si="1"/>
        <v>5.0504388471584339E-4</v>
      </c>
      <c r="D10" s="123">
        <f t="shared" si="0"/>
        <v>5764.7606956385134</v>
      </c>
    </row>
    <row r="11" spans="1:4" ht="15.75">
      <c r="A11" s="120" t="s">
        <v>164</v>
      </c>
      <c r="B11" s="121">
        <v>262296.23</v>
      </c>
      <c r="C11" s="122">
        <f t="shared" si="1"/>
        <v>8.0608431853567282E-5</v>
      </c>
      <c r="D11" s="123">
        <f t="shared" si="0"/>
        <v>920.09493382530763</v>
      </c>
    </row>
    <row r="12" spans="1:4" ht="15.75">
      <c r="A12" s="120" t="s">
        <v>165</v>
      </c>
      <c r="B12" s="121">
        <v>27973312.5</v>
      </c>
      <c r="C12" s="122">
        <f t="shared" si="1"/>
        <v>8.5967108805749589E-3</v>
      </c>
      <c r="D12" s="123">
        <f t="shared" si="0"/>
        <v>98126.088634831511</v>
      </c>
    </row>
    <row r="13" spans="1:4" ht="15.75">
      <c r="A13" s="120" t="s">
        <v>166</v>
      </c>
      <c r="B13" s="121">
        <v>11926844</v>
      </c>
      <c r="C13" s="122">
        <f t="shared" si="1"/>
        <v>3.6653374385218112E-3</v>
      </c>
      <c r="D13" s="123">
        <f t="shared" si="0"/>
        <v>41837.538957097349</v>
      </c>
    </row>
    <row r="14" spans="1:4" ht="15.75">
      <c r="A14" s="120" t="s">
        <v>167</v>
      </c>
      <c r="B14" s="121">
        <v>1083458.81</v>
      </c>
      <c r="C14" s="122">
        <f t="shared" si="1"/>
        <v>3.3296672106965513E-4</v>
      </c>
      <c r="D14" s="123">
        <f t="shared" si="0"/>
        <v>3800.6072831828219</v>
      </c>
    </row>
    <row r="15" spans="1:4" ht="15.75">
      <c r="A15" s="120" t="s">
        <v>168</v>
      </c>
      <c r="B15" s="125">
        <v>1158032.3600000001</v>
      </c>
      <c r="C15" s="122">
        <f t="shared" si="1"/>
        <v>3.5588453778114047E-4</v>
      </c>
      <c r="D15" s="123">
        <f t="shared" si="0"/>
        <v>4062.1998556432359</v>
      </c>
    </row>
    <row r="16" spans="1:4" ht="15.75">
      <c r="A16" s="120" t="s">
        <v>169</v>
      </c>
      <c r="B16" s="121">
        <v>70814518</v>
      </c>
      <c r="C16" s="122">
        <f t="shared" si="1"/>
        <v>2.1762597382532771E-2</v>
      </c>
      <c r="D16" s="123">
        <f t="shared" si="0"/>
        <v>248406.46490832543</v>
      </c>
    </row>
    <row r="17" spans="1:7" ht="15.75">
      <c r="A17" s="120" t="s">
        <v>170</v>
      </c>
      <c r="B17" s="121">
        <v>242570</v>
      </c>
      <c r="C17" s="122">
        <f t="shared" si="1"/>
        <v>7.4546200357968607E-5</v>
      </c>
      <c r="D17" s="123">
        <f t="shared" si="0"/>
        <v>850.89834534794829</v>
      </c>
    </row>
    <row r="18" spans="1:7" ht="15.75">
      <c r="A18" s="120" t="s">
        <v>171</v>
      </c>
      <c r="B18" s="121">
        <v>50402.16</v>
      </c>
      <c r="C18" s="122">
        <f t="shared" si="1"/>
        <v>1.548950619546684E-5</v>
      </c>
      <c r="D18" s="123">
        <f t="shared" si="0"/>
        <v>176.80304467148679</v>
      </c>
    </row>
    <row r="19" spans="1:7" ht="15.75">
      <c r="A19" s="120" t="s">
        <v>172</v>
      </c>
      <c r="B19" s="126">
        <v>934148.74</v>
      </c>
      <c r="C19" s="122">
        <f t="shared" si="1"/>
        <v>2.8708100398311387E-4</v>
      </c>
      <c r="D19" s="123">
        <f t="shared" si="0"/>
        <v>3276.8504645045587</v>
      </c>
    </row>
    <row r="20" spans="1:7" ht="15.75">
      <c r="A20" s="120" t="s">
        <v>173</v>
      </c>
      <c r="B20" s="121">
        <v>1427519</v>
      </c>
      <c r="C20" s="122">
        <f t="shared" si="1"/>
        <v>4.3870271422190294E-4</v>
      </c>
      <c r="D20" s="123">
        <f t="shared" si="0"/>
        <v>5007.5176446088053</v>
      </c>
      <c r="G20" s="53" t="s">
        <v>154</v>
      </c>
    </row>
    <row r="21" spans="1:7" ht="15.75">
      <c r="A21" s="120" t="s">
        <v>174</v>
      </c>
      <c r="B21" s="121">
        <v>302546029.12</v>
      </c>
      <c r="C21" s="122">
        <f t="shared" si="1"/>
        <v>9.2977931748721307E-2</v>
      </c>
      <c r="D21" s="123">
        <f t="shared" si="0"/>
        <v>1061285.0540866563</v>
      </c>
    </row>
    <row r="22" spans="1:7" ht="15.75">
      <c r="A22" s="120" t="s">
        <v>175</v>
      </c>
      <c r="B22" s="121">
        <v>569006</v>
      </c>
      <c r="C22" s="122">
        <f t="shared" si="1"/>
        <v>1.7486595737678314E-4</v>
      </c>
      <c r="D22" s="123">
        <f t="shared" si="0"/>
        <v>1995.985752125385</v>
      </c>
    </row>
    <row r="23" spans="1:7" ht="15.75">
      <c r="A23" s="120" t="s">
        <v>176</v>
      </c>
      <c r="B23" s="121">
        <v>154080926.87</v>
      </c>
      <c r="C23" s="122">
        <f t="shared" si="1"/>
        <v>4.7351888715803807E-2</v>
      </c>
      <c r="D23" s="123">
        <f t="shared" si="0"/>
        <v>540492.25264196412</v>
      </c>
    </row>
    <row r="24" spans="1:7" ht="15.75">
      <c r="A24" s="120" t="s">
        <v>177</v>
      </c>
      <c r="B24" s="121">
        <v>4946509.51</v>
      </c>
      <c r="C24" s="122">
        <f t="shared" si="1"/>
        <v>1.5201529002146065E-3</v>
      </c>
      <c r="D24" s="123">
        <f t="shared" si="0"/>
        <v>17351.596476509421</v>
      </c>
    </row>
    <row r="25" spans="1:7" ht="15.75">
      <c r="A25" s="120" t="s">
        <v>178</v>
      </c>
      <c r="B25" s="121">
        <v>47700</v>
      </c>
      <c r="C25" s="122">
        <f t="shared" si="1"/>
        <v>1.4659082974296502E-5</v>
      </c>
      <c r="D25" s="123">
        <f t="shared" si="0"/>
        <v>167.32428195200202</v>
      </c>
    </row>
    <row r="26" spans="1:7" ht="15.75">
      <c r="A26" s="120" t="s">
        <v>179</v>
      </c>
      <c r="B26" s="121">
        <v>4418</v>
      </c>
      <c r="C26" s="122">
        <f t="shared" si="1"/>
        <v>1.3577322553551772E-6</v>
      </c>
      <c r="D26" s="123">
        <f t="shared" si="0"/>
        <v>15.497666198405556</v>
      </c>
    </row>
    <row r="27" spans="1:7" ht="15.75">
      <c r="A27" s="120" t="s">
        <v>180</v>
      </c>
      <c r="B27" s="121">
        <v>6963081.0699999994</v>
      </c>
      <c r="C27" s="122">
        <f t="shared" si="1"/>
        <v>2.1398822465803621E-3</v>
      </c>
      <c r="D27" s="123">
        <f t="shared" si="0"/>
        <v>24425.42013021652</v>
      </c>
    </row>
    <row r="28" spans="1:7" ht="15.75">
      <c r="A28" s="120" t="s">
        <v>181</v>
      </c>
      <c r="B28" s="121">
        <v>183395793.04000002</v>
      </c>
      <c r="C28" s="122">
        <f t="shared" si="1"/>
        <v>5.6360883591410262E-2</v>
      </c>
      <c r="D28" s="123">
        <f t="shared" si="0"/>
        <v>643324.3057324104</v>
      </c>
    </row>
    <row r="29" spans="1:7" ht="15.75">
      <c r="A29" s="120" t="s">
        <v>182</v>
      </c>
      <c r="B29" s="121">
        <v>35168</v>
      </c>
      <c r="C29" s="122">
        <f t="shared" si="1"/>
        <v>1.0807770021804181E-5</v>
      </c>
      <c r="D29" s="123">
        <f t="shared" si="0"/>
        <v>123.36394858884712</v>
      </c>
    </row>
    <row r="30" spans="1:7" ht="15.75">
      <c r="A30" s="120" t="s">
        <v>183</v>
      </c>
      <c r="B30" s="121">
        <v>204866.33</v>
      </c>
      <c r="C30" s="122">
        <f t="shared" si="1"/>
        <v>6.2959172538985505E-5</v>
      </c>
      <c r="D30" s="123">
        <f t="shared" si="0"/>
        <v>718.63965541702078</v>
      </c>
    </row>
    <row r="31" spans="1:7" ht="15.75">
      <c r="A31" s="120" t="s">
        <v>184</v>
      </c>
      <c r="B31" s="121">
        <v>276953.89999999997</v>
      </c>
      <c r="C31" s="122">
        <f t="shared" si="1"/>
        <v>8.5113002099685859E-5</v>
      </c>
      <c r="D31" s="123">
        <f t="shared" si="0"/>
        <v>971.51179143200352</v>
      </c>
    </row>
    <row r="32" spans="1:7" ht="15.75">
      <c r="A32" s="127" t="s">
        <v>185</v>
      </c>
      <c r="B32" s="121">
        <v>1253398.98</v>
      </c>
      <c r="C32" s="122">
        <f t="shared" si="1"/>
        <v>3.8519244544483441E-4</v>
      </c>
      <c r="D32" s="123">
        <f t="shared" si="0"/>
        <v>4396.7313276283385</v>
      </c>
    </row>
    <row r="33" spans="1:4" ht="15.75">
      <c r="A33" s="120" t="s">
        <v>186</v>
      </c>
      <c r="B33" s="121">
        <v>24273</v>
      </c>
      <c r="C33" s="122">
        <f t="shared" si="1"/>
        <v>7.4595371286184284E-6</v>
      </c>
      <c r="D33" s="123">
        <f t="shared" si="0"/>
        <v>85.145960080103677</v>
      </c>
    </row>
    <row r="34" spans="1:4" ht="15.75">
      <c r="A34" s="120" t="s">
        <v>187</v>
      </c>
      <c r="B34" s="128">
        <v>96713324.799999997</v>
      </c>
      <c r="C34" s="122">
        <f t="shared" si="1"/>
        <v>2.9721774695247123E-2</v>
      </c>
      <c r="D34" s="123">
        <f t="shared" si="0"/>
        <v>339255.50581448118</v>
      </c>
    </row>
    <row r="35" spans="1:4" ht="15.75">
      <c r="A35" s="120" t="s">
        <v>188</v>
      </c>
      <c r="B35" s="126">
        <v>2624214.0099999998</v>
      </c>
      <c r="C35" s="122">
        <f t="shared" si="1"/>
        <v>8.0646899192665308E-4</v>
      </c>
      <c r="D35" s="123">
        <f t="shared" si="0"/>
        <v>9205.3401448979857</v>
      </c>
    </row>
    <row r="36" spans="1:4" ht="15.75">
      <c r="A36" s="127" t="s">
        <v>189</v>
      </c>
      <c r="B36" s="121">
        <v>10174486.800000001</v>
      </c>
      <c r="C36" s="122">
        <f t="shared" si="1"/>
        <v>3.1268060004629879E-3</v>
      </c>
      <c r="D36" s="123">
        <f t="shared" si="0"/>
        <v>35690.538742979523</v>
      </c>
    </row>
    <row r="37" spans="1:4" ht="15.75">
      <c r="A37" s="120" t="s">
        <v>190</v>
      </c>
      <c r="B37" s="121">
        <v>2990927.88</v>
      </c>
      <c r="C37" s="122">
        <f t="shared" si="1"/>
        <v>9.191668755357805E-4</v>
      </c>
      <c r="D37" s="123">
        <f t="shared" si="0"/>
        <v>10491.716140277225</v>
      </c>
    </row>
    <row r="38" spans="1:4" ht="15.75">
      <c r="A38" s="120" t="s">
        <v>191</v>
      </c>
      <c r="B38" s="121">
        <v>105901.43</v>
      </c>
      <c r="C38" s="122">
        <f t="shared" si="1"/>
        <v>3.2545447577917248E-5</v>
      </c>
      <c r="D38" s="123">
        <f t="shared" si="0"/>
        <v>371.48596923354728</v>
      </c>
    </row>
    <row r="39" spans="1:4" ht="15.75">
      <c r="A39" s="120" t="s">
        <v>192</v>
      </c>
      <c r="B39" s="121">
        <v>1884</v>
      </c>
      <c r="C39" s="122">
        <f t="shared" si="1"/>
        <v>5.7898767973950971E-7</v>
      </c>
      <c r="D39" s="123">
        <f t="shared" si="0"/>
        <v>6.6087829601168107</v>
      </c>
    </row>
    <row r="40" spans="1:4" ht="15.75">
      <c r="A40" s="120" t="s">
        <v>193</v>
      </c>
      <c r="B40" s="121">
        <v>788755</v>
      </c>
      <c r="C40" s="122">
        <f t="shared" si="1"/>
        <v>2.4239884677969053E-4</v>
      </c>
      <c r="D40" s="123">
        <f t="shared" si="0"/>
        <v>2766.8315306300078</v>
      </c>
    </row>
    <row r="41" spans="1:4" ht="15.75">
      <c r="A41" s="120" t="s">
        <v>194</v>
      </c>
      <c r="B41" s="121">
        <v>40444725</v>
      </c>
      <c r="C41" s="122">
        <f t="shared" si="1"/>
        <v>1.2429404185484364E-2</v>
      </c>
      <c r="D41" s="123">
        <f t="shared" si="0"/>
        <v>141873.89034321145</v>
      </c>
    </row>
    <row r="42" spans="1:4" ht="15.75">
      <c r="A42" s="127" t="s">
        <v>195</v>
      </c>
      <c r="B42" s="121">
        <v>838189118</v>
      </c>
      <c r="C42" s="122">
        <f t="shared" si="1"/>
        <v>0.25759085595208392</v>
      </c>
      <c r="D42" s="123">
        <f t="shared" si="0"/>
        <v>2940238.8324807528</v>
      </c>
    </row>
    <row r="43" spans="1:4" ht="15.75">
      <c r="A43" s="120" t="s">
        <v>196</v>
      </c>
      <c r="B43" s="121">
        <v>166956</v>
      </c>
      <c r="C43" s="122">
        <f t="shared" si="1"/>
        <v>5.1308634319845846E-5</v>
      </c>
      <c r="D43" s="123">
        <f t="shared" si="0"/>
        <v>585.65603391149796</v>
      </c>
    </row>
    <row r="44" spans="1:4" ht="15.75">
      <c r="A44" s="120" t="s">
        <v>197</v>
      </c>
      <c r="B44" s="121">
        <v>31107299.859999999</v>
      </c>
      <c r="C44" s="122">
        <f t="shared" si="1"/>
        <v>9.5598425524960583E-3</v>
      </c>
      <c r="D44" s="123">
        <f t="shared" si="0"/>
        <v>109119.63548302125</v>
      </c>
    </row>
    <row r="45" spans="1:4" ht="15.75">
      <c r="A45" s="120" t="s">
        <v>198</v>
      </c>
      <c r="B45" s="121">
        <v>2720907.64</v>
      </c>
      <c r="C45" s="122">
        <f t="shared" si="1"/>
        <v>8.3618471404941889E-4</v>
      </c>
      <c r="D45" s="123">
        <f t="shared" si="0"/>
        <v>9544.5265643756084</v>
      </c>
    </row>
    <row r="46" spans="1:4" ht="15.75">
      <c r="A46" s="120" t="s">
        <v>199</v>
      </c>
      <c r="B46" s="121">
        <v>126794.61</v>
      </c>
      <c r="C46" s="122">
        <f t="shared" si="1"/>
        <v>3.89663041652739E-5</v>
      </c>
      <c r="D46" s="123">
        <f t="shared" si="0"/>
        <v>444.77603927954164</v>
      </c>
    </row>
    <row r="47" spans="1:4" ht="15.75">
      <c r="A47" s="120" t="s">
        <v>200</v>
      </c>
      <c r="B47" s="121">
        <v>3898012.83</v>
      </c>
      <c r="C47" s="122">
        <f t="shared" si="1"/>
        <v>1.1979306815480572E-3</v>
      </c>
      <c r="D47" s="123">
        <f t="shared" si="0"/>
        <v>13673.630981539651</v>
      </c>
    </row>
    <row r="48" spans="1:4" ht="15.75">
      <c r="A48" s="120" t="s">
        <v>201</v>
      </c>
      <c r="B48" s="121">
        <v>44901466.049999997</v>
      </c>
      <c r="C48" s="122">
        <f t="shared" si="1"/>
        <v>1.3799042274517975E-2</v>
      </c>
      <c r="D48" s="123">
        <f t="shared" si="0"/>
        <v>157507.45420143494</v>
      </c>
    </row>
    <row r="49" spans="1:4" ht="15.75">
      <c r="A49" s="120" t="s">
        <v>202</v>
      </c>
      <c r="B49" s="129">
        <v>113461498</v>
      </c>
      <c r="C49" s="122">
        <f t="shared" si="1"/>
        <v>3.4868794833752131E-2</v>
      </c>
      <c r="D49" s="123">
        <f t="shared" si="0"/>
        <v>398005.52792554535</v>
      </c>
    </row>
    <row r="50" spans="1:4" ht="15.75">
      <c r="A50" s="130" t="s">
        <v>203</v>
      </c>
      <c r="B50" s="121">
        <v>476069452.07999998</v>
      </c>
      <c r="C50" s="122">
        <f t="shared" si="1"/>
        <v>0.14630485533686777</v>
      </c>
      <c r="D50" s="123">
        <f t="shared" si="0"/>
        <v>1669978.6001796443</v>
      </c>
    </row>
    <row r="51" spans="1:4" ht="15.75">
      <c r="A51" s="120" t="s">
        <v>204</v>
      </c>
      <c r="B51" s="121">
        <v>171024852.19</v>
      </c>
      <c r="C51" s="122">
        <f t="shared" si="1"/>
        <v>5.2559067063312474E-2</v>
      </c>
      <c r="D51" s="123">
        <f t="shared" si="0"/>
        <v>599928.943158051</v>
      </c>
    </row>
    <row r="52" spans="1:4" ht="15.75">
      <c r="A52" s="120" t="s">
        <v>205</v>
      </c>
      <c r="B52" s="121">
        <v>164398080.58000001</v>
      </c>
      <c r="C52" s="122">
        <f t="shared" si="1"/>
        <v>5.0522538868706557E-2</v>
      </c>
      <c r="D52" s="123">
        <f t="shared" si="0"/>
        <v>576683.24501752353</v>
      </c>
    </row>
    <row r="53" spans="1:4" ht="15.75">
      <c r="A53" s="120" t="s">
        <v>206</v>
      </c>
      <c r="B53" s="121">
        <v>724463.75</v>
      </c>
      <c r="C53" s="122">
        <f t="shared" si="1"/>
        <v>2.2264096903815511E-4</v>
      </c>
      <c r="D53" s="123">
        <f t="shared" si="0"/>
        <v>2541.307689077667</v>
      </c>
    </row>
    <row r="54" spans="1:4" ht="15.75">
      <c r="A54" s="131" t="s">
        <v>207</v>
      </c>
      <c r="B54" s="132">
        <v>575440</v>
      </c>
      <c r="C54" s="122">
        <f t="shared" si="1"/>
        <v>1.7684324332765575E-4</v>
      </c>
      <c r="D54" s="133">
        <f t="shared" si="0"/>
        <v>2018.5552370327055</v>
      </c>
    </row>
    <row r="55" spans="1:4" ht="16.5" thickBot="1">
      <c r="A55" s="134" t="s">
        <v>208</v>
      </c>
      <c r="B55" s="339">
        <f>+SUM(B4:B54)</f>
        <v>3253955249.7000003</v>
      </c>
      <c r="C55" s="135">
        <f>SUM(C4:C54)</f>
        <v>1</v>
      </c>
      <c r="D55" s="136">
        <f>SUM(D4:D54)</f>
        <v>11414375.800000001</v>
      </c>
    </row>
    <row r="56" spans="1:4" ht="16.5" thickBot="1">
      <c r="A56" s="137"/>
      <c r="B56" s="138"/>
      <c r="C56" s="137"/>
      <c r="D56" s="137"/>
    </row>
    <row r="57" spans="1:4" ht="15.75">
      <c r="A57" s="139" t="s">
        <v>209</v>
      </c>
      <c r="B57" s="140">
        <f>+'PART MES'!B13</f>
        <v>57071879</v>
      </c>
      <c r="C57" s="137"/>
      <c r="D57" s="137"/>
    </row>
    <row r="58" spans="1:4" ht="16.5" thickBot="1">
      <c r="A58" s="141" t="s">
        <v>210</v>
      </c>
      <c r="B58" s="142">
        <f>+B57*0.2</f>
        <v>11414375.800000001</v>
      </c>
      <c r="C58" s="137"/>
      <c r="D58" s="137"/>
    </row>
  </sheetData>
  <mergeCells count="2">
    <mergeCell ref="A2:D2"/>
    <mergeCell ref="A1:D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22"/>
  <sheetViews>
    <sheetView zoomScaleNormal="100" workbookViewId="0">
      <selection activeCell="B6" sqref="B6:C56"/>
    </sheetView>
  </sheetViews>
  <sheetFormatPr baseColWidth="10" defaultColWidth="13" defaultRowHeight="12.75"/>
  <cols>
    <col min="1" max="1" width="31.7109375" style="85" customWidth="1"/>
    <col min="2" max="2" width="16" style="85" customWidth="1"/>
    <col min="3" max="3" width="16.5703125" style="85" customWidth="1"/>
    <col min="4" max="4" width="21" style="85" customWidth="1"/>
    <col min="5" max="16384" width="13" style="85"/>
  </cols>
  <sheetData>
    <row r="1" spans="1:41">
      <c r="A1" s="440" t="s">
        <v>109</v>
      </c>
      <c r="B1" s="440"/>
      <c r="C1" s="440"/>
      <c r="D1" s="440"/>
      <c r="E1" s="241"/>
      <c r="F1" s="241"/>
      <c r="G1" s="241"/>
      <c r="H1" s="241"/>
      <c r="I1" s="241"/>
      <c r="J1" s="241"/>
      <c r="K1" s="241"/>
    </row>
    <row r="2" spans="1:41">
      <c r="A2" s="440" t="s">
        <v>254</v>
      </c>
      <c r="B2" s="440"/>
      <c r="C2" s="440"/>
      <c r="D2" s="440"/>
      <c r="E2" s="241"/>
      <c r="F2" s="241"/>
      <c r="G2" s="241"/>
      <c r="H2" s="241"/>
      <c r="I2" s="241"/>
      <c r="J2" s="241"/>
      <c r="K2" s="241"/>
    </row>
    <row r="3" spans="1:41">
      <c r="A3" s="439" t="s">
        <v>341</v>
      </c>
      <c r="B3" s="439"/>
      <c r="C3" s="439"/>
      <c r="D3" s="439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</row>
    <row r="4" spans="1:41" ht="13.5" thickBot="1">
      <c r="A4" s="439" t="s">
        <v>219</v>
      </c>
      <c r="B4" s="439"/>
      <c r="C4" s="439"/>
      <c r="D4" s="439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</row>
    <row r="5" spans="1:41" ht="17.25" thickTop="1" thickBot="1">
      <c r="A5" s="86" t="s">
        <v>0</v>
      </c>
      <c r="B5" s="162" t="s">
        <v>224</v>
      </c>
      <c r="C5" s="87" t="s">
        <v>225</v>
      </c>
      <c r="D5" s="87" t="s">
        <v>53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</row>
    <row r="6" spans="1:41" ht="16.5" thickTop="1">
      <c r="A6" s="332" t="s">
        <v>1</v>
      </c>
      <c r="B6" s="333">
        <v>165426</v>
      </c>
      <c r="C6" s="333"/>
      <c r="D6" s="88">
        <f>SUM(B6:C6)</f>
        <v>165426</v>
      </c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</row>
    <row r="7" spans="1:41" ht="15.75">
      <c r="A7" s="334" t="s">
        <v>2</v>
      </c>
      <c r="B7" s="335">
        <v>113805</v>
      </c>
      <c r="C7" s="335"/>
      <c r="D7" s="88">
        <f t="shared" ref="D7:D56" si="0">SUM(B7:C7)</f>
        <v>113805</v>
      </c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</row>
    <row r="8" spans="1:41" ht="15.75">
      <c r="A8" s="334" t="s">
        <v>3</v>
      </c>
      <c r="B8" s="335"/>
      <c r="C8" s="335"/>
      <c r="D8" s="88">
        <f t="shared" si="0"/>
        <v>0</v>
      </c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</row>
    <row r="9" spans="1:41" ht="15.75">
      <c r="A9" s="334" t="s">
        <v>4</v>
      </c>
      <c r="B9" s="335">
        <v>701968</v>
      </c>
      <c r="C9" s="335"/>
      <c r="D9" s="88">
        <f t="shared" si="0"/>
        <v>701968</v>
      </c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</row>
    <row r="10" spans="1:41" ht="15.75">
      <c r="A10" s="334" t="s">
        <v>5</v>
      </c>
      <c r="B10" s="335"/>
      <c r="C10" s="335"/>
      <c r="D10" s="88">
        <f t="shared" si="0"/>
        <v>0</v>
      </c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</row>
    <row r="11" spans="1:41" ht="15.75">
      <c r="A11" s="334" t="s">
        <v>6</v>
      </c>
      <c r="B11" s="335">
        <v>5148649</v>
      </c>
      <c r="C11" s="335"/>
      <c r="D11" s="88">
        <f t="shared" si="0"/>
        <v>5148649</v>
      </c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</row>
    <row r="12" spans="1:41" ht="15.75">
      <c r="A12" s="334" t="s">
        <v>7</v>
      </c>
      <c r="B12" s="335"/>
      <c r="C12" s="335"/>
      <c r="D12" s="88">
        <f t="shared" si="0"/>
        <v>0</v>
      </c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</row>
    <row r="13" spans="1:41" ht="15.75">
      <c r="A13" s="334" t="s">
        <v>8</v>
      </c>
      <c r="B13" s="335">
        <v>460677</v>
      </c>
      <c r="C13" s="335"/>
      <c r="D13" s="88">
        <f t="shared" si="0"/>
        <v>460677</v>
      </c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</row>
    <row r="14" spans="1:41" ht="15.75">
      <c r="A14" s="334" t="s">
        <v>9</v>
      </c>
      <c r="B14" s="335"/>
      <c r="C14" s="335"/>
      <c r="D14" s="88">
        <f t="shared" si="0"/>
        <v>0</v>
      </c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</row>
    <row r="15" spans="1:41" ht="15.75">
      <c r="A15" s="334" t="s">
        <v>10</v>
      </c>
      <c r="B15" s="335"/>
      <c r="C15" s="335"/>
      <c r="D15" s="88">
        <f t="shared" si="0"/>
        <v>0</v>
      </c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</row>
    <row r="16" spans="1:41" ht="15.75">
      <c r="A16" s="334" t="s">
        <v>11</v>
      </c>
      <c r="B16" s="335"/>
      <c r="C16" s="335"/>
      <c r="D16" s="88">
        <f t="shared" si="0"/>
        <v>0</v>
      </c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</row>
    <row r="17" spans="1:41" ht="15.75">
      <c r="A17" s="334" t="s">
        <v>12</v>
      </c>
      <c r="B17" s="335">
        <v>165434</v>
      </c>
      <c r="C17" s="335"/>
      <c r="D17" s="88">
        <f t="shared" si="0"/>
        <v>165434</v>
      </c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</row>
    <row r="18" spans="1:41" ht="15.75">
      <c r="A18" s="334" t="s">
        <v>13</v>
      </c>
      <c r="B18" s="335"/>
      <c r="C18" s="335"/>
      <c r="D18" s="88">
        <f t="shared" si="0"/>
        <v>0</v>
      </c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</row>
    <row r="19" spans="1:41" ht="15.75">
      <c r="A19" s="334" t="s">
        <v>14</v>
      </c>
      <c r="B19" s="335"/>
      <c r="C19" s="335"/>
      <c r="D19" s="88">
        <f t="shared" si="0"/>
        <v>0</v>
      </c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</row>
    <row r="20" spans="1:41" ht="15.75">
      <c r="A20" s="334" t="s">
        <v>15</v>
      </c>
      <c r="B20" s="335"/>
      <c r="C20" s="335"/>
      <c r="D20" s="88">
        <f t="shared" si="0"/>
        <v>0</v>
      </c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</row>
    <row r="21" spans="1:41" ht="15.75">
      <c r="A21" s="334" t="s">
        <v>16</v>
      </c>
      <c r="B21" s="335">
        <v>107065</v>
      </c>
      <c r="C21" s="335"/>
      <c r="D21" s="88">
        <f t="shared" si="0"/>
        <v>107065</v>
      </c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</row>
    <row r="22" spans="1:41" ht="15.75">
      <c r="A22" s="334" t="s">
        <v>17</v>
      </c>
      <c r="B22" s="335">
        <v>504462</v>
      </c>
      <c r="C22" s="335"/>
      <c r="D22" s="88">
        <f t="shared" si="0"/>
        <v>504462</v>
      </c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</row>
    <row r="23" spans="1:41" ht="15.75">
      <c r="A23" s="334" t="s">
        <v>18</v>
      </c>
      <c r="B23" s="335">
        <v>16640718</v>
      </c>
      <c r="C23" s="335"/>
      <c r="D23" s="88">
        <f t="shared" si="0"/>
        <v>16640718</v>
      </c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</row>
    <row r="24" spans="1:41" ht="15.75">
      <c r="A24" s="334" t="s">
        <v>19</v>
      </c>
      <c r="B24" s="335"/>
      <c r="C24" s="335"/>
      <c r="D24" s="88">
        <f t="shared" si="0"/>
        <v>0</v>
      </c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</row>
    <row r="25" spans="1:41" ht="15.75">
      <c r="A25" s="334" t="s">
        <v>20</v>
      </c>
      <c r="B25" s="335">
        <v>3049327</v>
      </c>
      <c r="C25" s="335"/>
      <c r="D25" s="88">
        <f t="shared" si="0"/>
        <v>3049327</v>
      </c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</row>
    <row r="26" spans="1:41" ht="15.75">
      <c r="A26" s="334" t="s">
        <v>21</v>
      </c>
      <c r="B26" s="335">
        <v>271779</v>
      </c>
      <c r="C26" s="335"/>
      <c r="D26" s="88">
        <f t="shared" si="0"/>
        <v>271779</v>
      </c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</row>
    <row r="27" spans="1:41" ht="15.75">
      <c r="A27" s="334" t="s">
        <v>22</v>
      </c>
      <c r="B27" s="335"/>
      <c r="C27" s="335"/>
      <c r="D27" s="88">
        <f t="shared" si="0"/>
        <v>0</v>
      </c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</row>
    <row r="28" spans="1:41" ht="15.75">
      <c r="A28" s="334" t="s">
        <v>23</v>
      </c>
      <c r="B28" s="335"/>
      <c r="C28" s="335"/>
      <c r="D28" s="88">
        <f t="shared" si="0"/>
        <v>0</v>
      </c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</row>
    <row r="29" spans="1:41" ht="15.75">
      <c r="A29" s="334" t="s">
        <v>24</v>
      </c>
      <c r="B29" s="335"/>
      <c r="C29" s="335"/>
      <c r="D29" s="88">
        <f t="shared" si="0"/>
        <v>0</v>
      </c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</row>
    <row r="30" spans="1:41" ht="15.75">
      <c r="A30" s="334" t="s">
        <v>25</v>
      </c>
      <c r="B30" s="335">
        <v>21469999</v>
      </c>
      <c r="C30" s="335"/>
      <c r="D30" s="88">
        <f t="shared" si="0"/>
        <v>21469999</v>
      </c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</row>
    <row r="31" spans="1:41" ht="15.75">
      <c r="A31" s="334" t="s">
        <v>26</v>
      </c>
      <c r="B31" s="335"/>
      <c r="C31" s="335"/>
      <c r="D31" s="88">
        <f t="shared" si="0"/>
        <v>0</v>
      </c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</row>
    <row r="32" spans="1:41" ht="15.75">
      <c r="A32" s="334" t="s">
        <v>27</v>
      </c>
      <c r="B32" s="335">
        <v>449585</v>
      </c>
      <c r="C32" s="335"/>
      <c r="D32" s="88">
        <f t="shared" si="0"/>
        <v>449585</v>
      </c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</row>
    <row r="33" spans="1:41" ht="15.75">
      <c r="A33" s="334" t="s">
        <v>28</v>
      </c>
      <c r="B33" s="335">
        <v>60027</v>
      </c>
      <c r="C33" s="335"/>
      <c r="D33" s="88">
        <f t="shared" si="0"/>
        <v>60027</v>
      </c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</row>
    <row r="34" spans="1:41" ht="15.75">
      <c r="A34" s="334" t="s">
        <v>29</v>
      </c>
      <c r="B34" s="335">
        <v>42309</v>
      </c>
      <c r="C34" s="335"/>
      <c r="D34" s="88">
        <f t="shared" si="0"/>
        <v>42309</v>
      </c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</row>
    <row r="35" spans="1:41" ht="15.75">
      <c r="A35" s="334" t="s">
        <v>30</v>
      </c>
      <c r="B35" s="335">
        <v>33869</v>
      </c>
      <c r="C35" s="335"/>
      <c r="D35" s="88">
        <f t="shared" si="0"/>
        <v>33869</v>
      </c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</row>
    <row r="36" spans="1:41" ht="15.75">
      <c r="A36" s="334" t="s">
        <v>31</v>
      </c>
      <c r="B36" s="335"/>
      <c r="C36" s="335"/>
      <c r="D36" s="88">
        <f t="shared" si="0"/>
        <v>0</v>
      </c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</row>
    <row r="37" spans="1:41" ht="15.75">
      <c r="A37" s="334" t="s">
        <v>32</v>
      </c>
      <c r="B37" s="335"/>
      <c r="C37" s="335"/>
      <c r="D37" s="88">
        <f t="shared" si="0"/>
        <v>0</v>
      </c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</row>
    <row r="38" spans="1:41" ht="15.75">
      <c r="A38" s="334" t="s">
        <v>33</v>
      </c>
      <c r="B38" s="335">
        <v>953993</v>
      </c>
      <c r="C38" s="335"/>
      <c r="D38" s="88">
        <f t="shared" si="0"/>
        <v>953993</v>
      </c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</row>
    <row r="39" spans="1:41" ht="15.75">
      <c r="A39" s="334" t="s">
        <v>34</v>
      </c>
      <c r="B39" s="335">
        <v>72262</v>
      </c>
      <c r="C39" s="335"/>
      <c r="D39" s="88">
        <f t="shared" si="0"/>
        <v>72262</v>
      </c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</row>
    <row r="40" spans="1:41" ht="15.75">
      <c r="A40" s="334" t="s">
        <v>35</v>
      </c>
      <c r="B40" s="335">
        <v>67908</v>
      </c>
      <c r="C40" s="335"/>
      <c r="D40" s="88">
        <f t="shared" si="0"/>
        <v>67908</v>
      </c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</row>
    <row r="41" spans="1:41" ht="15.75">
      <c r="A41" s="334" t="s">
        <v>36</v>
      </c>
      <c r="B41" s="335"/>
      <c r="C41" s="335"/>
      <c r="D41" s="88">
        <f t="shared" si="0"/>
        <v>0</v>
      </c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</row>
    <row r="42" spans="1:41" ht="15.75">
      <c r="A42" s="334" t="s">
        <v>37</v>
      </c>
      <c r="B42" s="335">
        <v>184144</v>
      </c>
      <c r="C42" s="335"/>
      <c r="D42" s="88">
        <f t="shared" si="0"/>
        <v>184144</v>
      </c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</row>
    <row r="43" spans="1:41" ht="15.75">
      <c r="A43" s="334" t="s">
        <v>38</v>
      </c>
      <c r="B43" s="335">
        <v>1698078.1665334995</v>
      </c>
      <c r="C43" s="335"/>
      <c r="D43" s="88">
        <f t="shared" si="0"/>
        <v>1698078.1665334995</v>
      </c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</row>
    <row r="44" spans="1:41" ht="15.75">
      <c r="A44" s="334" t="s">
        <v>39</v>
      </c>
      <c r="B44" s="335">
        <v>23762003</v>
      </c>
      <c r="C44" s="335">
        <v>437620</v>
      </c>
      <c r="D44" s="88">
        <f t="shared" si="0"/>
        <v>24199623</v>
      </c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</row>
    <row r="45" spans="1:41" ht="15.75">
      <c r="A45" s="334" t="s">
        <v>40</v>
      </c>
      <c r="B45" s="335">
        <v>28551</v>
      </c>
      <c r="C45" s="335"/>
      <c r="D45" s="88">
        <f t="shared" si="0"/>
        <v>28551</v>
      </c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</row>
    <row r="46" spans="1:41" ht="15.75">
      <c r="A46" s="334" t="s">
        <v>41</v>
      </c>
      <c r="B46" s="335">
        <v>952</v>
      </c>
      <c r="C46" s="335"/>
      <c r="D46" s="88">
        <f t="shared" si="0"/>
        <v>952</v>
      </c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</row>
    <row r="47" spans="1:41" ht="15.75">
      <c r="A47" s="334" t="s">
        <v>42</v>
      </c>
      <c r="B47" s="335"/>
      <c r="C47" s="335"/>
      <c r="D47" s="88">
        <f t="shared" si="0"/>
        <v>0</v>
      </c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</row>
    <row r="48" spans="1:41" ht="15.75">
      <c r="A48" s="334" t="s">
        <v>43</v>
      </c>
      <c r="B48" s="335">
        <v>137627</v>
      </c>
      <c r="C48" s="335"/>
      <c r="D48" s="88">
        <f t="shared" si="0"/>
        <v>137627</v>
      </c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</row>
    <row r="49" spans="1:41" ht="15.75">
      <c r="A49" s="334" t="s">
        <v>44</v>
      </c>
      <c r="B49" s="335">
        <v>783532</v>
      </c>
      <c r="C49" s="335"/>
      <c r="D49" s="88">
        <f t="shared" si="0"/>
        <v>783532</v>
      </c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</row>
    <row r="50" spans="1:41" ht="15.75">
      <c r="A50" s="334" t="s">
        <v>45</v>
      </c>
      <c r="B50" s="335">
        <v>5859</v>
      </c>
      <c r="C50" s="335"/>
      <c r="D50" s="88">
        <f t="shared" si="0"/>
        <v>5859</v>
      </c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</row>
    <row r="51" spans="1:41" ht="15.75">
      <c r="A51" s="334" t="s">
        <v>46</v>
      </c>
      <c r="B51" s="335">
        <v>215331</v>
      </c>
      <c r="C51" s="335">
        <v>235120</v>
      </c>
      <c r="D51" s="88">
        <f t="shared" si="0"/>
        <v>450451</v>
      </c>
      <c r="E51" s="84" t="s">
        <v>154</v>
      </c>
      <c r="F51" s="84" t="s">
        <v>154</v>
      </c>
      <c r="G51" s="84" t="s">
        <v>154</v>
      </c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</row>
    <row r="52" spans="1:41" ht="15.75">
      <c r="A52" s="334" t="s">
        <v>47</v>
      </c>
      <c r="B52" s="335">
        <v>10048476</v>
      </c>
      <c r="C52" s="335">
        <v>489042</v>
      </c>
      <c r="D52" s="88">
        <f t="shared" si="0"/>
        <v>10537518</v>
      </c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</row>
    <row r="53" spans="1:41" ht="15.75">
      <c r="A53" s="334" t="s">
        <v>48</v>
      </c>
      <c r="B53" s="335">
        <v>3394940</v>
      </c>
      <c r="C53" s="335"/>
      <c r="D53" s="88">
        <f t="shared" si="0"/>
        <v>3394940</v>
      </c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</row>
    <row r="54" spans="1:41" ht="15.75">
      <c r="A54" s="334" t="s">
        <v>49</v>
      </c>
      <c r="B54" s="335">
        <v>122920</v>
      </c>
      <c r="C54" s="335"/>
      <c r="D54" s="88">
        <f t="shared" si="0"/>
        <v>122920</v>
      </c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</row>
    <row r="55" spans="1:41" ht="15.75">
      <c r="A55" s="334" t="s">
        <v>50</v>
      </c>
      <c r="B55" s="335"/>
      <c r="C55" s="335"/>
      <c r="D55" s="88">
        <f t="shared" si="0"/>
        <v>0</v>
      </c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</row>
    <row r="56" spans="1:41" ht="16.5" thickBot="1">
      <c r="A56" s="336" t="s">
        <v>51</v>
      </c>
      <c r="B56" s="335">
        <v>55537</v>
      </c>
      <c r="C56" s="337"/>
      <c r="D56" s="88">
        <f t="shared" si="0"/>
        <v>55537</v>
      </c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</row>
    <row r="57" spans="1:41" ht="17.25" thickTop="1" thickBot="1">
      <c r="A57" s="89" t="s">
        <v>52</v>
      </c>
      <c r="B57" s="90">
        <f t="shared" ref="B57:C57" si="1">SUM(B6:B56)</f>
        <v>90917212.1665335</v>
      </c>
      <c r="C57" s="90">
        <f t="shared" si="1"/>
        <v>1161782</v>
      </c>
      <c r="D57" s="88">
        <f>SUM(B57:C57)</f>
        <v>92078994.1665335</v>
      </c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</row>
    <row r="58" spans="1:41" ht="16.5" thickTop="1">
      <c r="A58" s="91"/>
      <c r="B58" s="91"/>
      <c r="C58" s="91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</row>
    <row r="59" spans="1:41" ht="15.75">
      <c r="A59" s="92"/>
      <c r="B59" s="92"/>
      <c r="C59" s="143" t="s">
        <v>154</v>
      </c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</row>
    <row r="60" spans="1:41" ht="15.75">
      <c r="A60" s="93"/>
      <c r="B60" s="93"/>
      <c r="C60" s="93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</row>
    <row r="61" spans="1:41" ht="15.75">
      <c r="A61" s="93"/>
      <c r="B61" s="93"/>
      <c r="C61" s="93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</row>
    <row r="62" spans="1:41" ht="15.75">
      <c r="A62" s="93"/>
      <c r="B62" s="93"/>
      <c r="C62" s="93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</row>
    <row r="63" spans="1:41" ht="15.75">
      <c r="A63" s="93"/>
      <c r="B63" s="93"/>
      <c r="C63" s="93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</row>
    <row r="64" spans="1:41" ht="15.75">
      <c r="A64" s="93"/>
      <c r="B64" s="93"/>
      <c r="C64" s="93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</row>
    <row r="65" spans="1:41" ht="15.75">
      <c r="A65" s="93"/>
      <c r="B65" s="93"/>
      <c r="C65" s="93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</row>
    <row r="66" spans="1:41" ht="15.75">
      <c r="A66" s="93"/>
      <c r="B66" s="93"/>
      <c r="C66" s="93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</row>
    <row r="67" spans="1:41" ht="15.75">
      <c r="A67" s="93"/>
      <c r="B67" s="93"/>
      <c r="C67" s="93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</row>
    <row r="68" spans="1:41" ht="15.75">
      <c r="A68" s="93"/>
      <c r="B68" s="93"/>
      <c r="C68" s="93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</row>
    <row r="69" spans="1:41" ht="15.75">
      <c r="A69" s="93"/>
      <c r="B69" s="93"/>
      <c r="C69" s="93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</row>
    <row r="70" spans="1:41" ht="15.75">
      <c r="A70" s="93"/>
      <c r="B70" s="93"/>
      <c r="C70" s="93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</row>
    <row r="71" spans="1:41" ht="15.75">
      <c r="A71" s="93"/>
      <c r="B71" s="93"/>
      <c r="C71" s="93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</row>
    <row r="72" spans="1:41" ht="15.75">
      <c r="A72" s="93"/>
      <c r="B72" s="93"/>
      <c r="C72" s="93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</row>
    <row r="73" spans="1:41" ht="15.75">
      <c r="A73" s="93"/>
      <c r="B73" s="93"/>
      <c r="C73" s="93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</row>
    <row r="74" spans="1:41" ht="15.75">
      <c r="A74" s="93"/>
      <c r="B74" s="93"/>
      <c r="C74" s="93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</row>
    <row r="75" spans="1:41" ht="15.75">
      <c r="A75" s="93"/>
      <c r="B75" s="93"/>
      <c r="C75" s="93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</row>
    <row r="76" spans="1:41" ht="15.75">
      <c r="A76" s="93"/>
      <c r="B76" s="93"/>
      <c r="C76" s="93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</row>
    <row r="77" spans="1:41" ht="15.75">
      <c r="A77" s="93"/>
      <c r="B77" s="93"/>
      <c r="C77" s="93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</row>
    <row r="78" spans="1:41" ht="15.75">
      <c r="A78" s="93"/>
      <c r="B78" s="93"/>
      <c r="C78" s="93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</row>
    <row r="79" spans="1:41" ht="15.75">
      <c r="A79" s="93"/>
      <c r="B79" s="93"/>
      <c r="C79" s="93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</row>
    <row r="80" spans="1:41" ht="15.75">
      <c r="A80" s="93"/>
      <c r="B80" s="93"/>
      <c r="C80" s="93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</row>
    <row r="81" spans="1:41" ht="15.75">
      <c r="A81" s="93"/>
      <c r="B81" s="93"/>
      <c r="C81" s="93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</row>
    <row r="82" spans="1:41" ht="15.75">
      <c r="A82" s="93"/>
      <c r="B82" s="93"/>
      <c r="C82" s="93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</row>
    <row r="83" spans="1:41" ht="15.75">
      <c r="A83" s="93"/>
      <c r="B83" s="93"/>
      <c r="C83" s="93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</row>
    <row r="84" spans="1:41" ht="15.75">
      <c r="A84" s="93"/>
      <c r="B84" s="93"/>
      <c r="C84" s="93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</row>
    <row r="85" spans="1:41" ht="15.75">
      <c r="A85" s="93"/>
      <c r="B85" s="93"/>
      <c r="C85" s="93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</row>
    <row r="86" spans="1:41" ht="15.75">
      <c r="A86" s="93"/>
      <c r="B86" s="93"/>
      <c r="C86" s="93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</row>
    <row r="87" spans="1:41" ht="15.75">
      <c r="A87" s="93"/>
      <c r="B87" s="93"/>
      <c r="C87" s="93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</row>
    <row r="88" spans="1:41" ht="15.75">
      <c r="A88" s="93"/>
      <c r="B88" s="93"/>
      <c r="C88" s="93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</row>
    <row r="89" spans="1:41" ht="15.75">
      <c r="A89" s="93"/>
      <c r="B89" s="93"/>
      <c r="C89" s="93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</row>
    <row r="90" spans="1:41" ht="15.75">
      <c r="A90" s="93"/>
      <c r="B90" s="93"/>
      <c r="C90" s="93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</row>
    <row r="91" spans="1:41" ht="15.75">
      <c r="A91" s="93"/>
      <c r="B91" s="93"/>
      <c r="C91" s="93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</row>
    <row r="92" spans="1:41" ht="15.75">
      <c r="A92" s="93"/>
      <c r="B92" s="93"/>
      <c r="C92" s="93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</row>
    <row r="93" spans="1:41" ht="15.75">
      <c r="A93" s="93"/>
      <c r="B93" s="93"/>
      <c r="C93" s="93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</row>
    <row r="94" spans="1:41" ht="15.75">
      <c r="A94" s="93"/>
      <c r="B94" s="93"/>
      <c r="C94" s="93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</row>
    <row r="95" spans="1:41" ht="15.75">
      <c r="A95" s="93"/>
      <c r="B95" s="93"/>
      <c r="C95" s="93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</row>
    <row r="96" spans="1:41" ht="15.75">
      <c r="A96" s="93"/>
      <c r="B96" s="93"/>
      <c r="C96" s="93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</row>
    <row r="97" spans="1:41" ht="15.75">
      <c r="A97" s="93"/>
      <c r="B97" s="93"/>
      <c r="C97" s="93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</row>
    <row r="98" spans="1:41" ht="15.75">
      <c r="A98" s="93"/>
      <c r="B98" s="93"/>
      <c r="C98" s="93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</row>
    <row r="99" spans="1:41" ht="15.75">
      <c r="A99" s="93"/>
      <c r="B99" s="93"/>
      <c r="C99" s="93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</row>
    <row r="100" spans="1:41" ht="15.75">
      <c r="A100" s="93"/>
      <c r="B100" s="93"/>
      <c r="C100" s="93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</row>
    <row r="101" spans="1:41" ht="15.75">
      <c r="A101" s="93"/>
      <c r="B101" s="93"/>
      <c r="C101" s="93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</row>
    <row r="102" spans="1:41" ht="15.75">
      <c r="A102" s="93"/>
      <c r="B102" s="93"/>
      <c r="C102" s="93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</row>
    <row r="103" spans="1:41" ht="15.75">
      <c r="A103" s="93"/>
      <c r="B103" s="93"/>
      <c r="C103" s="93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</row>
    <row r="104" spans="1:41" ht="15.75">
      <c r="A104" s="93"/>
      <c r="B104" s="93"/>
      <c r="C104" s="93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</row>
    <row r="105" spans="1:41" ht="15.75">
      <c r="A105" s="93"/>
      <c r="B105" s="93"/>
      <c r="C105" s="93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</row>
    <row r="106" spans="1:41" ht="15.75">
      <c r="A106" s="93"/>
      <c r="B106" s="93"/>
      <c r="C106" s="93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</row>
    <row r="107" spans="1:41" ht="15.75">
      <c r="A107" s="93"/>
      <c r="B107" s="93"/>
      <c r="C107" s="93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</row>
    <row r="108" spans="1:41" ht="15.75">
      <c r="A108" s="93"/>
      <c r="B108" s="93"/>
      <c r="C108" s="93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</row>
    <row r="109" spans="1:41" ht="15.75">
      <c r="A109" s="93"/>
      <c r="B109" s="93"/>
      <c r="C109" s="93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</row>
    <row r="110" spans="1:41" ht="15.75">
      <c r="A110" s="93"/>
      <c r="B110" s="93"/>
      <c r="C110" s="93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</row>
    <row r="111" spans="1:41" ht="15.75">
      <c r="A111" s="93"/>
      <c r="B111" s="93"/>
      <c r="C111" s="93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</row>
    <row r="112" spans="1:41" ht="15.75">
      <c r="A112" s="93"/>
      <c r="B112" s="93"/>
      <c r="C112" s="93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</row>
    <row r="113" spans="1:41" ht="15.75">
      <c r="A113" s="93"/>
      <c r="B113" s="93"/>
      <c r="C113" s="93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</row>
    <row r="114" spans="1:41" ht="15.75">
      <c r="A114" s="93"/>
      <c r="B114" s="93"/>
      <c r="C114" s="93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</row>
    <row r="115" spans="1:41" ht="15.75">
      <c r="A115" s="93"/>
      <c r="B115" s="93"/>
      <c r="C115" s="93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</row>
    <row r="116" spans="1:41" ht="15.75">
      <c r="A116" s="93"/>
      <c r="B116" s="93"/>
      <c r="C116" s="93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</row>
    <row r="117" spans="1:41" ht="15.75">
      <c r="A117" s="93"/>
      <c r="B117" s="93"/>
      <c r="C117" s="93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</row>
    <row r="118" spans="1:41" ht="15.75">
      <c r="A118" s="93"/>
      <c r="B118" s="93"/>
      <c r="C118" s="93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</row>
    <row r="119" spans="1:41" ht="15.75">
      <c r="A119" s="93"/>
      <c r="B119" s="93"/>
      <c r="C119" s="93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</row>
    <row r="120" spans="1:41" ht="15.75">
      <c r="A120" s="93"/>
      <c r="B120" s="93"/>
      <c r="C120" s="93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</row>
    <row r="121" spans="1:41" ht="15.75">
      <c r="A121" s="93"/>
      <c r="B121" s="93"/>
      <c r="C121" s="93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</row>
    <row r="122" spans="1:41" ht="15.75">
      <c r="A122" s="93"/>
      <c r="B122" s="93"/>
      <c r="C122" s="93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</row>
    <row r="123" spans="1:41" ht="15.75">
      <c r="A123" s="93"/>
      <c r="B123" s="93"/>
      <c r="C123" s="93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</row>
    <row r="124" spans="1:41" ht="15.75">
      <c r="A124" s="93"/>
      <c r="B124" s="93"/>
      <c r="C124" s="93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</row>
    <row r="125" spans="1:41" ht="15.75">
      <c r="A125" s="93"/>
      <c r="B125" s="93"/>
      <c r="C125" s="93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</row>
    <row r="126" spans="1:41" ht="15.75">
      <c r="A126" s="93"/>
      <c r="B126" s="93"/>
      <c r="C126" s="93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</row>
    <row r="127" spans="1:41" ht="15.75">
      <c r="A127" s="93"/>
      <c r="B127" s="93"/>
      <c r="C127" s="93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</row>
    <row r="128" spans="1:41" ht="15.75">
      <c r="A128" s="93"/>
      <c r="B128" s="93"/>
      <c r="C128" s="93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</row>
    <row r="129" spans="1:41" ht="15.75">
      <c r="A129" s="93"/>
      <c r="B129" s="93"/>
      <c r="C129" s="93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</row>
    <row r="130" spans="1:41" ht="15.75">
      <c r="A130" s="93"/>
      <c r="B130" s="93"/>
      <c r="C130" s="93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</row>
    <row r="131" spans="1:41" ht="15.75">
      <c r="A131" s="93"/>
      <c r="B131" s="93"/>
      <c r="C131" s="93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</row>
    <row r="132" spans="1:41" ht="15.75">
      <c r="A132" s="93"/>
      <c r="B132" s="93"/>
      <c r="C132" s="93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</row>
    <row r="133" spans="1:41" ht="15.75">
      <c r="A133" s="93"/>
      <c r="B133" s="93"/>
      <c r="C133" s="93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</row>
    <row r="134" spans="1:41" ht="15.75">
      <c r="A134" s="93"/>
      <c r="B134" s="93"/>
      <c r="C134" s="93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</row>
    <row r="135" spans="1:41" ht="15.75">
      <c r="A135" s="93"/>
      <c r="B135" s="93"/>
      <c r="C135" s="93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</row>
    <row r="136" spans="1:41" ht="15.75">
      <c r="A136" s="93"/>
      <c r="B136" s="93"/>
      <c r="C136" s="93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</row>
    <row r="137" spans="1:41" ht="15.75">
      <c r="A137" s="93"/>
      <c r="B137" s="93"/>
      <c r="C137" s="93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</row>
    <row r="138" spans="1:41" ht="15.75">
      <c r="A138" s="93"/>
      <c r="B138" s="93"/>
      <c r="C138" s="93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</row>
    <row r="139" spans="1:41" ht="15.75">
      <c r="A139" s="93"/>
      <c r="B139" s="93"/>
      <c r="C139" s="93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</row>
    <row r="140" spans="1:41" ht="15.75">
      <c r="A140" s="93"/>
      <c r="B140" s="93"/>
      <c r="C140" s="93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</row>
    <row r="141" spans="1:41" ht="15.75">
      <c r="A141" s="93"/>
      <c r="B141" s="93"/>
      <c r="C141" s="93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</row>
    <row r="142" spans="1:41" ht="15.75">
      <c r="A142" s="93"/>
      <c r="B142" s="93"/>
      <c r="C142" s="93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</row>
    <row r="143" spans="1:41" ht="15.75">
      <c r="A143" s="93"/>
      <c r="B143" s="93"/>
      <c r="C143" s="93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</row>
    <row r="144" spans="1:41" ht="15.75">
      <c r="A144" s="93"/>
      <c r="B144" s="93"/>
      <c r="C144" s="93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</row>
    <row r="145" spans="1:41" ht="15.75">
      <c r="A145" s="93"/>
      <c r="B145" s="93"/>
      <c r="C145" s="93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</row>
    <row r="146" spans="1:41" ht="15.75">
      <c r="A146" s="93"/>
      <c r="B146" s="93"/>
      <c r="C146" s="93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</row>
    <row r="147" spans="1:41" ht="15.75">
      <c r="A147" s="93"/>
      <c r="B147" s="93"/>
      <c r="C147" s="93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</row>
    <row r="148" spans="1:41" ht="15.75">
      <c r="A148" s="93"/>
      <c r="B148" s="93"/>
      <c r="C148" s="93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</row>
    <row r="149" spans="1:41" ht="15.75">
      <c r="A149" s="93"/>
      <c r="B149" s="93"/>
      <c r="C149" s="93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</row>
    <row r="150" spans="1:41" ht="15.75">
      <c r="A150" s="93"/>
      <c r="B150" s="93"/>
      <c r="C150" s="93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</row>
    <row r="151" spans="1:41" ht="15.75">
      <c r="A151" s="93"/>
      <c r="B151" s="93"/>
      <c r="C151" s="93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</row>
    <row r="152" spans="1:41" ht="15.75">
      <c r="A152" s="93"/>
      <c r="B152" s="93"/>
      <c r="C152" s="93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</row>
    <row r="153" spans="1:41" ht="15.75">
      <c r="A153" s="93"/>
      <c r="B153" s="93"/>
      <c r="C153" s="93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</row>
    <row r="154" spans="1:41" ht="15.75">
      <c r="A154" s="93"/>
      <c r="B154" s="93"/>
      <c r="C154" s="93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</row>
    <row r="155" spans="1:41" ht="15.75">
      <c r="A155" s="93"/>
      <c r="B155" s="93"/>
      <c r="C155" s="93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</row>
    <row r="156" spans="1:41" ht="15.75">
      <c r="A156" s="93"/>
      <c r="B156" s="93"/>
      <c r="C156" s="93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</row>
    <row r="157" spans="1:41" ht="15.75">
      <c r="A157" s="93"/>
      <c r="B157" s="93"/>
      <c r="C157" s="93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</row>
    <row r="158" spans="1:41" ht="15.75">
      <c r="A158" s="93"/>
      <c r="B158" s="93"/>
      <c r="C158" s="93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</row>
    <row r="159" spans="1:41" ht="15.75">
      <c r="A159" s="93"/>
      <c r="B159" s="93"/>
      <c r="C159" s="93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</row>
    <row r="160" spans="1:41" ht="15.75">
      <c r="A160" s="93"/>
      <c r="B160" s="93"/>
      <c r="C160" s="93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</row>
    <row r="161" spans="1:41" ht="15.75">
      <c r="A161" s="93"/>
      <c r="B161" s="93"/>
      <c r="C161" s="93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</row>
    <row r="162" spans="1:41" ht="15.75">
      <c r="A162" s="93"/>
      <c r="B162" s="93"/>
      <c r="C162" s="93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</row>
    <row r="163" spans="1:41" ht="15.75">
      <c r="A163" s="93"/>
      <c r="B163" s="93"/>
      <c r="C163" s="93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</row>
    <row r="164" spans="1:41" ht="15.75">
      <c r="A164" s="93"/>
      <c r="B164" s="93"/>
      <c r="C164" s="93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</row>
    <row r="165" spans="1:41" ht="15.75">
      <c r="A165" s="93"/>
      <c r="B165" s="93"/>
      <c r="C165" s="93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</row>
    <row r="166" spans="1:41" ht="15.75">
      <c r="A166" s="93"/>
      <c r="B166" s="93"/>
      <c r="C166" s="93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</row>
    <row r="167" spans="1:41" ht="15.75">
      <c r="A167" s="93"/>
      <c r="B167" s="93"/>
      <c r="C167" s="93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</row>
    <row r="168" spans="1:41" ht="15.75">
      <c r="A168" s="93"/>
      <c r="B168" s="93"/>
      <c r="C168" s="93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</row>
    <row r="169" spans="1:41" ht="15.75">
      <c r="A169" s="93"/>
      <c r="B169" s="93"/>
      <c r="C169" s="93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</row>
    <row r="170" spans="1:41" ht="15.75">
      <c r="A170" s="93"/>
      <c r="B170" s="93"/>
      <c r="C170" s="93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</row>
    <row r="171" spans="1:41" ht="15.75">
      <c r="A171" s="93"/>
      <c r="B171" s="93"/>
      <c r="C171" s="93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</row>
    <row r="172" spans="1:41" ht="15.75">
      <c r="A172" s="93"/>
      <c r="B172" s="93"/>
      <c r="C172" s="93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</row>
    <row r="173" spans="1:41" ht="15.75">
      <c r="A173" s="93"/>
      <c r="B173" s="93"/>
      <c r="C173" s="93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</row>
    <row r="174" spans="1:41" ht="15.75">
      <c r="A174" s="93"/>
      <c r="B174" s="93"/>
      <c r="C174" s="93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</row>
    <row r="175" spans="1:41" ht="15.75">
      <c r="A175" s="93"/>
      <c r="B175" s="93"/>
      <c r="C175" s="93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</row>
    <row r="176" spans="1:41" ht="15.75">
      <c r="A176" s="93"/>
      <c r="B176" s="93"/>
      <c r="C176" s="93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</row>
    <row r="177" spans="1:41" ht="15.75">
      <c r="A177" s="93"/>
      <c r="B177" s="93"/>
      <c r="C177" s="93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</row>
    <row r="178" spans="1:41" ht="15.75">
      <c r="A178" s="93"/>
      <c r="B178" s="93"/>
      <c r="C178" s="93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</row>
    <row r="179" spans="1:41" ht="15.75">
      <c r="A179" s="93"/>
      <c r="B179" s="93"/>
      <c r="C179" s="93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</row>
    <row r="180" spans="1:41" ht="15.75">
      <c r="A180" s="93"/>
      <c r="B180" s="93"/>
      <c r="C180" s="93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</row>
    <row r="181" spans="1:41" ht="15.75">
      <c r="A181" s="93"/>
      <c r="B181" s="93"/>
      <c r="C181" s="93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</row>
    <row r="182" spans="1:41" ht="15.75">
      <c r="A182" s="93"/>
      <c r="B182" s="93"/>
      <c r="C182" s="93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</row>
    <row r="183" spans="1:41" ht="15.75">
      <c r="A183" s="93"/>
      <c r="B183" s="93"/>
      <c r="C183" s="93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</row>
    <row r="184" spans="1:41" ht="15.75">
      <c r="A184" s="93"/>
      <c r="B184" s="93"/>
      <c r="C184" s="93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</row>
    <row r="185" spans="1:41" ht="15.75">
      <c r="A185" s="93"/>
      <c r="B185" s="93"/>
      <c r="C185" s="93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</row>
    <row r="186" spans="1:41" ht="15.75">
      <c r="A186" s="93"/>
      <c r="B186" s="93"/>
      <c r="C186" s="93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</row>
    <row r="187" spans="1:41" ht="15.75">
      <c r="A187" s="93"/>
      <c r="B187" s="93"/>
      <c r="C187" s="93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</row>
    <row r="188" spans="1:41" ht="15.75">
      <c r="A188" s="93"/>
      <c r="B188" s="93"/>
      <c r="C188" s="93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</row>
    <row r="189" spans="1:41" ht="15.75">
      <c r="A189" s="93"/>
      <c r="B189" s="93"/>
      <c r="C189" s="93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</row>
    <row r="190" spans="1:41" ht="15.75">
      <c r="A190" s="93"/>
      <c r="B190" s="93"/>
      <c r="C190" s="93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</row>
    <row r="191" spans="1:41" ht="15.75">
      <c r="A191" s="93"/>
      <c r="B191" s="93"/>
      <c r="C191" s="93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</row>
    <row r="192" spans="1:41" ht="15.75">
      <c r="A192" s="93"/>
      <c r="B192" s="93"/>
      <c r="C192" s="93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</row>
    <row r="193" spans="1:41" ht="15.75">
      <c r="A193" s="93"/>
      <c r="B193" s="93"/>
      <c r="C193" s="93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</row>
    <row r="194" spans="1:41" ht="15.75">
      <c r="A194" s="93"/>
      <c r="B194" s="93"/>
      <c r="C194" s="93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</row>
    <row r="195" spans="1:41" ht="15.75">
      <c r="A195" s="93"/>
      <c r="B195" s="93"/>
      <c r="C195" s="93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</row>
    <row r="196" spans="1:41" ht="15.75">
      <c r="A196" s="93"/>
      <c r="B196" s="93"/>
      <c r="C196" s="93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</row>
    <row r="197" spans="1:41" ht="15.75">
      <c r="A197" s="93"/>
      <c r="B197" s="93"/>
      <c r="C197" s="93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</row>
    <row r="198" spans="1:41" ht="15.75">
      <c r="A198" s="93"/>
      <c r="B198" s="93"/>
      <c r="C198" s="93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</row>
    <row r="199" spans="1:41" ht="15.75">
      <c r="A199" s="93"/>
      <c r="B199" s="93"/>
      <c r="C199" s="93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</row>
    <row r="200" spans="1:41" ht="15.75">
      <c r="A200" s="93"/>
      <c r="B200" s="93"/>
      <c r="C200" s="93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</row>
    <row r="201" spans="1:41" ht="15.75">
      <c r="A201" s="93"/>
      <c r="B201" s="93"/>
      <c r="C201" s="93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</row>
    <row r="202" spans="1:41" ht="15.75">
      <c r="A202" s="93"/>
      <c r="B202" s="93"/>
      <c r="C202" s="93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</row>
    <row r="203" spans="1:41" ht="15.75">
      <c r="A203" s="93"/>
      <c r="B203" s="93"/>
      <c r="C203" s="93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</row>
    <row r="204" spans="1:41" ht="15.75">
      <c r="A204" s="93"/>
      <c r="B204" s="93"/>
      <c r="C204" s="93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</row>
    <row r="205" spans="1:41" ht="15.75">
      <c r="A205" s="93"/>
      <c r="B205" s="93"/>
      <c r="C205" s="93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</row>
    <row r="206" spans="1:41" ht="15.75">
      <c r="A206" s="93"/>
      <c r="B206" s="93"/>
      <c r="C206" s="93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</row>
    <row r="207" spans="1:41" ht="15.75">
      <c r="A207" s="93"/>
      <c r="B207" s="93"/>
      <c r="C207" s="93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</row>
    <row r="208" spans="1:41" ht="15.75">
      <c r="A208" s="93"/>
      <c r="B208" s="93"/>
      <c r="C208" s="93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</row>
    <row r="209" spans="1:41" ht="15.75">
      <c r="A209" s="93"/>
      <c r="B209" s="93"/>
      <c r="C209" s="93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</row>
    <row r="210" spans="1:41" ht="15.75">
      <c r="A210" s="93"/>
      <c r="B210" s="93"/>
      <c r="C210" s="93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</row>
    <row r="211" spans="1:41" ht="15.75">
      <c r="A211" s="93"/>
      <c r="B211" s="93"/>
      <c r="C211" s="93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</row>
    <row r="212" spans="1:41" ht="15.75">
      <c r="A212" s="93"/>
      <c r="B212" s="93"/>
      <c r="C212" s="93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</row>
    <row r="213" spans="1:41" ht="15.75">
      <c r="A213" s="93"/>
      <c r="B213" s="93"/>
      <c r="C213" s="93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</row>
    <row r="214" spans="1:41" ht="15.75">
      <c r="A214" s="93"/>
      <c r="B214" s="93"/>
      <c r="C214" s="93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</row>
    <row r="215" spans="1:41" ht="15.75">
      <c r="A215" s="93"/>
      <c r="B215" s="93"/>
      <c r="C215" s="93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</row>
    <row r="216" spans="1:41" ht="15.75">
      <c r="A216" s="93"/>
      <c r="B216" s="93"/>
      <c r="C216" s="93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</row>
    <row r="217" spans="1:41" ht="16.5">
      <c r="A217" s="94"/>
      <c r="B217" s="94"/>
      <c r="C217" s="9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</row>
    <row r="218" spans="1:41" ht="16.5">
      <c r="A218" s="94"/>
      <c r="B218" s="94"/>
      <c r="C218" s="9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</row>
    <row r="219" spans="1:41" ht="16.5">
      <c r="A219" s="94"/>
      <c r="B219" s="94"/>
      <c r="C219" s="9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</row>
    <row r="220" spans="1:41" ht="16.5">
      <c r="A220" s="94"/>
      <c r="B220" s="94"/>
      <c r="C220" s="9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</row>
    <row r="221" spans="1:41" ht="16.5">
      <c r="A221" s="94"/>
      <c r="B221" s="94"/>
      <c r="C221" s="9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</row>
    <row r="222" spans="1:41" ht="16.5">
      <c r="A222" s="94"/>
      <c r="B222" s="94"/>
      <c r="C222" s="9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</row>
    <row r="223" spans="1:41" ht="16.5">
      <c r="A223" s="94"/>
      <c r="B223" s="94"/>
      <c r="C223" s="9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</row>
    <row r="224" spans="1:41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</row>
    <row r="225" spans="1:41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</row>
    <row r="226" spans="1:41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</row>
    <row r="227" spans="1:41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</row>
    <row r="228" spans="1:41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</row>
    <row r="229" spans="1:41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</row>
    <row r="230" spans="1:41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</row>
    <row r="231" spans="1:4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</row>
    <row r="232" spans="1:41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</row>
    <row r="233" spans="1:41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</row>
    <row r="234" spans="1:41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</row>
    <row r="235" spans="1:41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</row>
    <row r="236" spans="1:41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</row>
    <row r="237" spans="1:41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</row>
    <row r="238" spans="1:41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</row>
    <row r="239" spans="1:41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</row>
    <row r="240" spans="1:41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</row>
    <row r="241" spans="1:4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</row>
    <row r="242" spans="1:41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</row>
    <row r="243" spans="1:41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</row>
    <row r="244" spans="1:41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</row>
    <row r="245" spans="1:41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</row>
    <row r="246" spans="1:41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</row>
    <row r="247" spans="1:41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</row>
    <row r="248" spans="1:41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</row>
    <row r="249" spans="1:41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</row>
    <row r="250" spans="1:41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</row>
    <row r="251" spans="1:4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</row>
    <row r="252" spans="1:41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</row>
    <row r="253" spans="1:41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</row>
    <row r="254" spans="1:41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</row>
    <row r="255" spans="1:41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</row>
    <row r="256" spans="1:41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</row>
    <row r="257" spans="1:41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</row>
    <row r="258" spans="1:41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</row>
    <row r="259" spans="1:41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</row>
    <row r="260" spans="1:41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</row>
    <row r="261" spans="1:4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</row>
    <row r="262" spans="1:41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</row>
    <row r="263" spans="1:41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</row>
    <row r="264" spans="1:41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</row>
    <row r="265" spans="1:41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</row>
    <row r="266" spans="1:41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</row>
    <row r="267" spans="1:41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</row>
    <row r="268" spans="1:41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84"/>
      <c r="AI268" s="84"/>
      <c r="AJ268" s="84"/>
      <c r="AK268" s="84"/>
      <c r="AL268" s="84"/>
      <c r="AM268" s="84"/>
      <c r="AN268" s="84"/>
      <c r="AO268" s="84"/>
    </row>
    <row r="269" spans="1:41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</row>
    <row r="270" spans="1:41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</row>
    <row r="271" spans="1:4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</row>
    <row r="272" spans="1:41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</row>
    <row r="273" spans="1:41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</row>
    <row r="274" spans="1:41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</row>
    <row r="275" spans="1:41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</row>
    <row r="276" spans="1:41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</row>
    <row r="277" spans="1:41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</row>
    <row r="278" spans="1:41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</row>
    <row r="279" spans="1:41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</row>
    <row r="280" spans="1:41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</row>
    <row r="281" spans="1:4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</row>
    <row r="282" spans="1:41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</row>
    <row r="283" spans="1:41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</row>
    <row r="284" spans="1:41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</row>
    <row r="285" spans="1:41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  <c r="AK285" s="84"/>
      <c r="AL285" s="84"/>
      <c r="AM285" s="84"/>
      <c r="AN285" s="84"/>
      <c r="AO285" s="84"/>
    </row>
    <row r="286" spans="1:41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</row>
    <row r="287" spans="1:41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</row>
    <row r="288" spans="1:41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</row>
    <row r="289" spans="1:41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</row>
    <row r="290" spans="1:41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</row>
    <row r="291" spans="1:4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</row>
    <row r="292" spans="1:41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</row>
    <row r="293" spans="1:41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  <c r="AK293" s="84"/>
      <c r="AL293" s="84"/>
      <c r="AM293" s="84"/>
      <c r="AN293" s="84"/>
      <c r="AO293" s="84"/>
    </row>
    <row r="294" spans="1:41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</row>
    <row r="295" spans="1:41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</row>
    <row r="296" spans="1:41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</row>
    <row r="297" spans="1:41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</row>
    <row r="298" spans="1:41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</row>
    <row r="299" spans="1:41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</row>
    <row r="300" spans="1:41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</row>
    <row r="301" spans="1:4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84"/>
      <c r="AN301" s="84"/>
      <c r="AO301" s="84"/>
    </row>
    <row r="302" spans="1:41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</row>
    <row r="303" spans="1:41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</row>
    <row r="304" spans="1:41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</row>
    <row r="305" spans="1:41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</row>
    <row r="306" spans="1:41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</row>
    <row r="307" spans="1:41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</row>
    <row r="308" spans="1:41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84"/>
      <c r="AH308" s="84"/>
      <c r="AI308" s="84"/>
      <c r="AJ308" s="84"/>
      <c r="AK308" s="84"/>
      <c r="AL308" s="84"/>
      <c r="AM308" s="84"/>
      <c r="AN308" s="84"/>
      <c r="AO308" s="84"/>
    </row>
    <row r="309" spans="1:41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</row>
    <row r="310" spans="1:41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</row>
    <row r="311" spans="1:4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</row>
    <row r="312" spans="1:41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</row>
    <row r="313" spans="1:41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</row>
    <row r="314" spans="1:41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</row>
    <row r="315" spans="1:41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</row>
    <row r="316" spans="1:41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</row>
    <row r="317" spans="1:41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</row>
    <row r="318" spans="1:41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</row>
    <row r="319" spans="1:41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</row>
    <row r="320" spans="1:41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</row>
    <row r="321" spans="1:4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</row>
    <row r="322" spans="1:41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</row>
    <row r="323" spans="1:41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</row>
    <row r="324" spans="1:41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</row>
    <row r="325" spans="1:41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</row>
    <row r="326" spans="1:41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</row>
    <row r="327" spans="1:41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</row>
    <row r="328" spans="1:41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</row>
    <row r="329" spans="1:41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</row>
    <row r="330" spans="1:41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</row>
    <row r="331" spans="1:4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</row>
    <row r="332" spans="1:41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  <c r="AF332" s="84"/>
      <c r="AG332" s="84"/>
      <c r="AH332" s="84"/>
      <c r="AI332" s="84"/>
      <c r="AJ332" s="84"/>
      <c r="AK332" s="84"/>
      <c r="AL332" s="84"/>
      <c r="AM332" s="84"/>
      <c r="AN332" s="84"/>
      <c r="AO332" s="84"/>
    </row>
    <row r="333" spans="1:41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  <c r="AF333" s="84"/>
      <c r="AG333" s="84"/>
      <c r="AH333" s="84"/>
      <c r="AI333" s="84"/>
      <c r="AJ333" s="84"/>
      <c r="AK333" s="84"/>
      <c r="AL333" s="84"/>
      <c r="AM333" s="84"/>
      <c r="AN333" s="84"/>
      <c r="AO333" s="84"/>
    </row>
    <row r="334" spans="1:41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</row>
    <row r="335" spans="1:41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</row>
    <row r="336" spans="1:41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</row>
    <row r="337" spans="1:41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</row>
    <row r="338" spans="1:41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</row>
    <row r="339" spans="1:41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</row>
    <row r="340" spans="1:41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</row>
    <row r="341" spans="1:4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</row>
    <row r="342" spans="1:41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</row>
    <row r="343" spans="1:41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</row>
    <row r="344" spans="1:41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</row>
    <row r="345" spans="1:41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</row>
    <row r="346" spans="1:41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84"/>
      <c r="AK346" s="84"/>
      <c r="AL346" s="84"/>
      <c r="AM346" s="84"/>
      <c r="AN346" s="84"/>
      <c r="AO346" s="84"/>
    </row>
    <row r="347" spans="1:41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</row>
    <row r="348" spans="1:41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84"/>
      <c r="AK348" s="84"/>
      <c r="AL348" s="84"/>
      <c r="AM348" s="84"/>
      <c r="AN348" s="84"/>
      <c r="AO348" s="84"/>
    </row>
    <row r="349" spans="1:41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84"/>
      <c r="AK349" s="84"/>
      <c r="AL349" s="84"/>
      <c r="AM349" s="84"/>
      <c r="AN349" s="84"/>
      <c r="AO349" s="84"/>
    </row>
    <row r="350" spans="1:41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</row>
    <row r="351" spans="1:4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</row>
    <row r="352" spans="1:41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</row>
    <row r="353" spans="1:41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</row>
    <row r="354" spans="1:41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</row>
    <row r="355" spans="1:41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</row>
    <row r="356" spans="1:41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</row>
    <row r="357" spans="1:41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</row>
    <row r="358" spans="1:41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</row>
    <row r="359" spans="1:41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</row>
    <row r="360" spans="1:41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</row>
    <row r="361" spans="1:4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</row>
    <row r="362" spans="1:41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</row>
    <row r="363" spans="1:41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</row>
    <row r="364" spans="1:41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  <c r="AE364" s="84"/>
      <c r="AF364" s="84"/>
      <c r="AG364" s="84"/>
      <c r="AH364" s="84"/>
      <c r="AI364" s="84"/>
      <c r="AJ364" s="84"/>
      <c r="AK364" s="84"/>
      <c r="AL364" s="84"/>
      <c r="AM364" s="84"/>
      <c r="AN364" s="84"/>
      <c r="AO364" s="84"/>
    </row>
    <row r="365" spans="1:41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  <c r="AE365" s="84"/>
      <c r="AF365" s="84"/>
      <c r="AG365" s="84"/>
      <c r="AH365" s="84"/>
      <c r="AI365" s="84"/>
      <c r="AJ365" s="84"/>
      <c r="AK365" s="84"/>
      <c r="AL365" s="84"/>
      <c r="AM365" s="84"/>
      <c r="AN365" s="84"/>
      <c r="AO365" s="84"/>
    </row>
    <row r="366" spans="1:41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  <c r="AE366" s="84"/>
      <c r="AF366" s="84"/>
      <c r="AG366" s="84"/>
      <c r="AH366" s="84"/>
      <c r="AI366" s="84"/>
      <c r="AJ366" s="84"/>
      <c r="AK366" s="84"/>
      <c r="AL366" s="84"/>
      <c r="AM366" s="84"/>
      <c r="AN366" s="84"/>
      <c r="AO366" s="84"/>
    </row>
    <row r="367" spans="1:41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  <c r="AE367" s="84"/>
      <c r="AF367" s="84"/>
      <c r="AG367" s="84"/>
      <c r="AH367" s="84"/>
      <c r="AI367" s="84"/>
      <c r="AJ367" s="84"/>
      <c r="AK367" s="84"/>
      <c r="AL367" s="84"/>
      <c r="AM367" s="84"/>
      <c r="AN367" s="84"/>
      <c r="AO367" s="84"/>
    </row>
    <row r="368" spans="1:41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  <c r="AE368" s="84"/>
      <c r="AF368" s="84"/>
      <c r="AG368" s="84"/>
      <c r="AH368" s="84"/>
      <c r="AI368" s="84"/>
      <c r="AJ368" s="84"/>
      <c r="AK368" s="84"/>
      <c r="AL368" s="84"/>
      <c r="AM368" s="84"/>
      <c r="AN368" s="84"/>
      <c r="AO368" s="84"/>
    </row>
    <row r="369" spans="1:41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  <c r="AE369" s="84"/>
      <c r="AF369" s="84"/>
      <c r="AG369" s="84"/>
      <c r="AH369" s="84"/>
      <c r="AI369" s="84"/>
      <c r="AJ369" s="84"/>
      <c r="AK369" s="84"/>
      <c r="AL369" s="84"/>
      <c r="AM369" s="84"/>
      <c r="AN369" s="84"/>
      <c r="AO369" s="84"/>
    </row>
    <row r="370" spans="1:41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  <c r="AD370" s="84"/>
      <c r="AE370" s="84"/>
      <c r="AF370" s="84"/>
      <c r="AG370" s="84"/>
      <c r="AH370" s="84"/>
      <c r="AI370" s="84"/>
      <c r="AJ370" s="84"/>
      <c r="AK370" s="84"/>
      <c r="AL370" s="84"/>
      <c r="AM370" s="84"/>
      <c r="AN370" s="84"/>
      <c r="AO370" s="84"/>
    </row>
    <row r="371" spans="1:4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  <c r="AE371" s="84"/>
      <c r="AF371" s="84"/>
      <c r="AG371" s="84"/>
      <c r="AH371" s="84"/>
      <c r="AI371" s="84"/>
      <c r="AJ371" s="84"/>
      <c r="AK371" s="84"/>
      <c r="AL371" s="84"/>
      <c r="AM371" s="84"/>
      <c r="AN371" s="84"/>
      <c r="AO371" s="84"/>
    </row>
    <row r="372" spans="1:41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</row>
    <row r="373" spans="1:41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  <c r="AD373" s="84"/>
      <c r="AE373" s="84"/>
      <c r="AF373" s="84"/>
      <c r="AG373" s="84"/>
      <c r="AH373" s="84"/>
      <c r="AI373" s="84"/>
      <c r="AJ373" s="84"/>
      <c r="AK373" s="84"/>
      <c r="AL373" s="84"/>
      <c r="AM373" s="84"/>
      <c r="AN373" s="84"/>
      <c r="AO373" s="84"/>
    </row>
    <row r="374" spans="1:41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</row>
    <row r="375" spans="1:41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  <c r="AF375" s="84"/>
      <c r="AG375" s="84"/>
      <c r="AH375" s="84"/>
      <c r="AI375" s="84"/>
      <c r="AJ375" s="84"/>
      <c r="AK375" s="84"/>
      <c r="AL375" s="84"/>
      <c r="AM375" s="84"/>
      <c r="AN375" s="84"/>
      <c r="AO375" s="84"/>
    </row>
    <row r="376" spans="1:41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</row>
    <row r="377" spans="1:41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</row>
    <row r="378" spans="1:41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</row>
    <row r="379" spans="1:41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</row>
    <row r="380" spans="1:41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</row>
    <row r="381" spans="1:4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84"/>
      <c r="AE381" s="84"/>
      <c r="AF381" s="84"/>
      <c r="AG381" s="84"/>
      <c r="AH381" s="84"/>
      <c r="AI381" s="84"/>
      <c r="AJ381" s="84"/>
      <c r="AK381" s="84"/>
      <c r="AL381" s="84"/>
      <c r="AM381" s="84"/>
      <c r="AN381" s="84"/>
      <c r="AO381" s="84"/>
    </row>
    <row r="382" spans="1:41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</row>
    <row r="383" spans="1:41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</row>
    <row r="384" spans="1:41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  <c r="AD384" s="84"/>
      <c r="AE384" s="84"/>
      <c r="AF384" s="84"/>
      <c r="AG384" s="84"/>
      <c r="AH384" s="84"/>
      <c r="AI384" s="84"/>
      <c r="AJ384" s="84"/>
      <c r="AK384" s="84"/>
      <c r="AL384" s="84"/>
      <c r="AM384" s="84"/>
      <c r="AN384" s="84"/>
      <c r="AO384" s="84"/>
    </row>
    <row r="385" spans="1:41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  <c r="AD385" s="84"/>
      <c r="AE385" s="84"/>
      <c r="AF385" s="84"/>
      <c r="AG385" s="84"/>
      <c r="AH385" s="84"/>
      <c r="AI385" s="84"/>
      <c r="AJ385" s="84"/>
      <c r="AK385" s="84"/>
      <c r="AL385" s="84"/>
      <c r="AM385" s="84"/>
      <c r="AN385" s="84"/>
      <c r="AO385" s="84"/>
    </row>
    <row r="386" spans="1:41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  <c r="AD386" s="84"/>
      <c r="AE386" s="84"/>
      <c r="AF386" s="84"/>
      <c r="AG386" s="84"/>
      <c r="AH386" s="84"/>
      <c r="AI386" s="84"/>
      <c r="AJ386" s="84"/>
      <c r="AK386" s="84"/>
      <c r="AL386" s="84"/>
      <c r="AM386" s="84"/>
      <c r="AN386" s="84"/>
      <c r="AO386" s="84"/>
    </row>
    <row r="387" spans="1:41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  <c r="AE387" s="84"/>
      <c r="AF387" s="84"/>
      <c r="AG387" s="84"/>
      <c r="AH387" s="84"/>
      <c r="AI387" s="84"/>
      <c r="AJ387" s="84"/>
      <c r="AK387" s="84"/>
      <c r="AL387" s="84"/>
      <c r="AM387" s="84"/>
      <c r="AN387" s="84"/>
      <c r="AO387" s="84"/>
    </row>
    <row r="388" spans="1:41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  <c r="AD388" s="84"/>
      <c r="AE388" s="84"/>
      <c r="AF388" s="84"/>
      <c r="AG388" s="84"/>
      <c r="AH388" s="84"/>
      <c r="AI388" s="84"/>
      <c r="AJ388" s="84"/>
      <c r="AK388" s="84"/>
      <c r="AL388" s="84"/>
      <c r="AM388" s="84"/>
      <c r="AN388" s="84"/>
      <c r="AO388" s="84"/>
    </row>
    <row r="389" spans="1:41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  <c r="AD389" s="84"/>
      <c r="AE389" s="84"/>
      <c r="AF389" s="84"/>
      <c r="AG389" s="84"/>
      <c r="AH389" s="84"/>
      <c r="AI389" s="84"/>
      <c r="AJ389" s="84"/>
      <c r="AK389" s="84"/>
      <c r="AL389" s="84"/>
      <c r="AM389" s="84"/>
      <c r="AN389" s="84"/>
      <c r="AO389" s="84"/>
    </row>
    <row r="390" spans="1:41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  <c r="AD390" s="84"/>
      <c r="AE390" s="84"/>
      <c r="AF390" s="84"/>
      <c r="AG390" s="84"/>
      <c r="AH390" s="84"/>
      <c r="AI390" s="84"/>
      <c r="AJ390" s="84"/>
      <c r="AK390" s="84"/>
      <c r="AL390" s="84"/>
      <c r="AM390" s="84"/>
      <c r="AN390" s="84"/>
      <c r="AO390" s="84"/>
    </row>
    <row r="391" spans="1:4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  <c r="AD391" s="84"/>
      <c r="AE391" s="84"/>
      <c r="AF391" s="84"/>
      <c r="AG391" s="84"/>
      <c r="AH391" s="84"/>
      <c r="AI391" s="84"/>
      <c r="AJ391" s="84"/>
      <c r="AK391" s="84"/>
      <c r="AL391" s="84"/>
      <c r="AM391" s="84"/>
      <c r="AN391" s="84"/>
      <c r="AO391" s="84"/>
    </row>
    <row r="392" spans="1:41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  <c r="AD392" s="84"/>
      <c r="AE392" s="84"/>
      <c r="AF392" s="84"/>
      <c r="AG392" s="84"/>
      <c r="AH392" s="84"/>
      <c r="AI392" s="84"/>
      <c r="AJ392" s="84"/>
      <c r="AK392" s="84"/>
      <c r="AL392" s="84"/>
      <c r="AM392" s="84"/>
      <c r="AN392" s="84"/>
      <c r="AO392" s="84"/>
    </row>
    <row r="393" spans="1:41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  <c r="AD393" s="84"/>
      <c r="AE393" s="84"/>
      <c r="AF393" s="84"/>
      <c r="AG393" s="84"/>
      <c r="AH393" s="84"/>
      <c r="AI393" s="84"/>
      <c r="AJ393" s="84"/>
      <c r="AK393" s="84"/>
      <c r="AL393" s="84"/>
      <c r="AM393" s="84"/>
      <c r="AN393" s="84"/>
      <c r="AO393" s="84"/>
    </row>
    <row r="394" spans="1:41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</row>
    <row r="395" spans="1:41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  <c r="AD395" s="84"/>
      <c r="AE395" s="84"/>
      <c r="AF395" s="84"/>
      <c r="AG395" s="84"/>
      <c r="AH395" s="84"/>
      <c r="AI395" s="84"/>
      <c r="AJ395" s="84"/>
      <c r="AK395" s="84"/>
      <c r="AL395" s="84"/>
      <c r="AM395" s="84"/>
      <c r="AN395" s="84"/>
      <c r="AO395" s="84"/>
    </row>
    <row r="396" spans="1:41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</row>
    <row r="397" spans="1:41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</row>
    <row r="398" spans="1:41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</row>
    <row r="399" spans="1:41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</row>
    <row r="400" spans="1:41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</row>
    <row r="401" spans="1:4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  <c r="AD401" s="84"/>
      <c r="AE401" s="84"/>
      <c r="AF401" s="84"/>
      <c r="AG401" s="84"/>
      <c r="AH401" s="84"/>
      <c r="AI401" s="84"/>
      <c r="AJ401" s="84"/>
      <c r="AK401" s="84"/>
      <c r="AL401" s="84"/>
      <c r="AM401" s="84"/>
      <c r="AN401" s="84"/>
      <c r="AO401" s="84"/>
    </row>
    <row r="402" spans="1:41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</row>
    <row r="403" spans="1:41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</row>
    <row r="404" spans="1:41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  <c r="AD404" s="84"/>
      <c r="AE404" s="84"/>
      <c r="AF404" s="84"/>
      <c r="AG404" s="84"/>
      <c r="AH404" s="84"/>
      <c r="AI404" s="84"/>
      <c r="AJ404" s="84"/>
      <c r="AK404" s="84"/>
      <c r="AL404" s="84"/>
      <c r="AM404" s="84"/>
      <c r="AN404" s="84"/>
      <c r="AO404" s="84"/>
    </row>
    <row r="405" spans="1:41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  <c r="AD405" s="84"/>
      <c r="AE405" s="84"/>
      <c r="AF405" s="84"/>
      <c r="AG405" s="84"/>
      <c r="AH405" s="84"/>
      <c r="AI405" s="84"/>
      <c r="AJ405" s="84"/>
      <c r="AK405" s="84"/>
      <c r="AL405" s="84"/>
      <c r="AM405" s="84"/>
      <c r="AN405" s="84"/>
      <c r="AO405" s="84"/>
    </row>
    <row r="406" spans="1:41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  <c r="AD406" s="84"/>
      <c r="AE406" s="84"/>
      <c r="AF406" s="84"/>
      <c r="AG406" s="84"/>
      <c r="AH406" s="84"/>
      <c r="AI406" s="84"/>
      <c r="AJ406" s="84"/>
      <c r="AK406" s="84"/>
      <c r="AL406" s="84"/>
      <c r="AM406" s="84"/>
      <c r="AN406" s="84"/>
      <c r="AO406" s="84"/>
    </row>
    <row r="407" spans="1:41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  <c r="AD407" s="84"/>
      <c r="AE407" s="84"/>
      <c r="AF407" s="84"/>
      <c r="AG407" s="84"/>
      <c r="AH407" s="84"/>
      <c r="AI407" s="84"/>
      <c r="AJ407" s="84"/>
      <c r="AK407" s="84"/>
      <c r="AL407" s="84"/>
      <c r="AM407" s="84"/>
      <c r="AN407" s="84"/>
      <c r="AO407" s="84"/>
    </row>
    <row r="408" spans="1:41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  <c r="AD408" s="84"/>
      <c r="AE408" s="84"/>
      <c r="AF408" s="84"/>
      <c r="AG408" s="84"/>
      <c r="AH408" s="84"/>
      <c r="AI408" s="84"/>
      <c r="AJ408" s="84"/>
      <c r="AK408" s="84"/>
      <c r="AL408" s="84"/>
      <c r="AM408" s="84"/>
      <c r="AN408" s="84"/>
      <c r="AO408" s="84"/>
    </row>
    <row r="409" spans="1:41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  <c r="AD409" s="84"/>
      <c r="AE409" s="84"/>
      <c r="AF409" s="84"/>
      <c r="AG409" s="84"/>
      <c r="AH409" s="84"/>
      <c r="AI409" s="84"/>
      <c r="AJ409" s="84"/>
      <c r="AK409" s="84"/>
      <c r="AL409" s="84"/>
      <c r="AM409" s="84"/>
      <c r="AN409" s="84"/>
      <c r="AO409" s="84"/>
    </row>
    <row r="410" spans="1:41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  <c r="AD410" s="84"/>
      <c r="AE410" s="84"/>
      <c r="AF410" s="84"/>
      <c r="AG410" s="84"/>
      <c r="AH410" s="84"/>
      <c r="AI410" s="84"/>
      <c r="AJ410" s="84"/>
      <c r="AK410" s="84"/>
      <c r="AL410" s="84"/>
      <c r="AM410" s="84"/>
      <c r="AN410" s="84"/>
      <c r="AO410" s="84"/>
    </row>
    <row r="411" spans="1:4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  <c r="AD411" s="84"/>
      <c r="AE411" s="84"/>
      <c r="AF411" s="84"/>
      <c r="AG411" s="84"/>
      <c r="AH411" s="84"/>
      <c r="AI411" s="84"/>
      <c r="AJ411" s="84"/>
      <c r="AK411" s="84"/>
      <c r="AL411" s="84"/>
      <c r="AM411" s="84"/>
      <c r="AN411" s="84"/>
      <c r="AO411" s="84"/>
    </row>
    <row r="412" spans="1:41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  <c r="AD412" s="84"/>
      <c r="AE412" s="84"/>
      <c r="AF412" s="84"/>
      <c r="AG412" s="84"/>
      <c r="AH412" s="84"/>
      <c r="AI412" s="84"/>
      <c r="AJ412" s="84"/>
      <c r="AK412" s="84"/>
      <c r="AL412" s="84"/>
      <c r="AM412" s="84"/>
      <c r="AN412" s="84"/>
      <c r="AO412" s="84"/>
    </row>
    <row r="413" spans="1:41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  <c r="AD413" s="84"/>
      <c r="AE413" s="84"/>
      <c r="AF413" s="84"/>
      <c r="AG413" s="84"/>
      <c r="AH413" s="84"/>
      <c r="AI413" s="84"/>
      <c r="AJ413" s="84"/>
      <c r="AK413" s="84"/>
      <c r="AL413" s="84"/>
      <c r="AM413" s="84"/>
      <c r="AN413" s="84"/>
      <c r="AO413" s="84"/>
    </row>
    <row r="414" spans="1:41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  <c r="AF414" s="84"/>
      <c r="AG414" s="84"/>
      <c r="AH414" s="84"/>
      <c r="AI414" s="84"/>
      <c r="AJ414" s="84"/>
      <c r="AK414" s="84"/>
      <c r="AL414" s="84"/>
      <c r="AM414" s="84"/>
      <c r="AN414" s="84"/>
      <c r="AO414" s="84"/>
    </row>
    <row r="415" spans="1:41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</row>
    <row r="416" spans="1:41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  <c r="AD416" s="84"/>
      <c r="AE416" s="84"/>
      <c r="AF416" s="84"/>
      <c r="AG416" s="84"/>
      <c r="AH416" s="84"/>
      <c r="AI416" s="84"/>
      <c r="AJ416" s="84"/>
      <c r="AK416" s="84"/>
      <c r="AL416" s="84"/>
      <c r="AM416" s="84"/>
      <c r="AN416" s="84"/>
      <c r="AO416" s="84"/>
    </row>
    <row r="417" spans="1:41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</row>
    <row r="418" spans="1:41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  <c r="AD418" s="84"/>
      <c r="AE418" s="84"/>
      <c r="AF418" s="84"/>
      <c r="AG418" s="84"/>
      <c r="AH418" s="84"/>
      <c r="AI418" s="84"/>
      <c r="AJ418" s="84"/>
      <c r="AK418" s="84"/>
      <c r="AL418" s="84"/>
      <c r="AM418" s="84"/>
      <c r="AN418" s="84"/>
      <c r="AO418" s="84"/>
    </row>
    <row r="419" spans="1:41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  <c r="AD419" s="84"/>
      <c r="AE419" s="84"/>
      <c r="AF419" s="84"/>
      <c r="AG419" s="84"/>
      <c r="AH419" s="84"/>
      <c r="AI419" s="84"/>
      <c r="AJ419" s="84"/>
      <c r="AK419" s="84"/>
      <c r="AL419" s="84"/>
      <c r="AM419" s="84"/>
      <c r="AN419" s="84"/>
      <c r="AO419" s="84"/>
    </row>
    <row r="420" spans="1:41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  <c r="AD420" s="84"/>
      <c r="AE420" s="84"/>
      <c r="AF420" s="84"/>
      <c r="AG420" s="84"/>
      <c r="AH420" s="84"/>
      <c r="AI420" s="84"/>
      <c r="AJ420" s="84"/>
      <c r="AK420" s="84"/>
      <c r="AL420" s="84"/>
      <c r="AM420" s="84"/>
      <c r="AN420" s="84"/>
      <c r="AO420" s="84"/>
    </row>
    <row r="421" spans="1:4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</row>
    <row r="422" spans="1:41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  <c r="AD422" s="84"/>
      <c r="AE422" s="84"/>
      <c r="AF422" s="84"/>
      <c r="AG422" s="84"/>
      <c r="AH422" s="84"/>
      <c r="AI422" s="84"/>
      <c r="AJ422" s="84"/>
      <c r="AK422" s="84"/>
      <c r="AL422" s="84"/>
      <c r="AM422" s="84"/>
      <c r="AN422" s="84"/>
      <c r="AO422" s="84"/>
    </row>
  </sheetData>
  <mergeCells count="4">
    <mergeCell ref="A3:D3"/>
    <mergeCell ref="A4:D4"/>
    <mergeCell ref="A1:D1"/>
    <mergeCell ref="A2:D2"/>
  </mergeCells>
  <printOptions horizontalCentered="1"/>
  <pageMargins left="0.70866141732283472" right="0.70866141732283472" top="0.35433070866141736" bottom="0.35433070866141736" header="0.31496062992125984" footer="0.31496062992125984"/>
  <pageSetup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10</vt:i4>
      </vt:variant>
    </vt:vector>
  </HeadingPairs>
  <TitlesOfParts>
    <vt:vector size="19" baseType="lpstr">
      <vt:lpstr>PART MES</vt:lpstr>
      <vt:lpstr>DIST JUNIO</vt:lpstr>
      <vt:lpstr>COEF Art 14 F I </vt:lpstr>
      <vt:lpstr>CALCULO GARANTIA</vt:lpstr>
      <vt:lpstr>PART PEF2022 </vt:lpstr>
      <vt:lpstr>COEF Art 14 F II ieps</vt:lpstr>
      <vt:lpstr>Art.14 Frac.III </vt:lpstr>
      <vt:lpstr>ISAI</vt:lpstr>
      <vt:lpstr>ISR JUNIO </vt:lpstr>
      <vt:lpstr>'Art.14 Frac.III '!Área_de_impresión</vt:lpstr>
      <vt:lpstr>'CALCULO GARANTIA'!Área_de_impresión</vt:lpstr>
      <vt:lpstr>'COEF Art 14 F I '!Área_de_impresión</vt:lpstr>
      <vt:lpstr>'COEF Art 14 F II ieps'!Área_de_impresión</vt:lpstr>
      <vt:lpstr>'DIST JUNIO'!Área_de_impresión</vt:lpstr>
      <vt:lpstr>ISAI!Área_de_impresión</vt:lpstr>
      <vt:lpstr>'PART MES'!Área_de_impresión</vt:lpstr>
      <vt:lpstr>'PART PEF2022 '!Área_de_impresión</vt:lpstr>
      <vt:lpstr>'COEF Art 14 F I '!Títulos_a_imprimir</vt:lpstr>
      <vt:lpstr>'DIST JUNIO'!Títulos_a_imprimir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Oswaldo Calzada Alba</cp:lastModifiedBy>
  <cp:lastPrinted>2022-01-31T21:37:01Z</cp:lastPrinted>
  <dcterms:created xsi:type="dcterms:W3CDTF">2009-12-17T23:31:03Z</dcterms:created>
  <dcterms:modified xsi:type="dcterms:W3CDTF">2022-07-05T15:00:31Z</dcterms:modified>
</cp:coreProperties>
</file>