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PARTICIPACIONES FEDERALES\MAYO\"/>
    </mc:Choice>
  </mc:AlternateContent>
  <bookViews>
    <workbookView xWindow="0" yWindow="0" windowWidth="28800" windowHeight="12435" activeTab="1"/>
  </bookViews>
  <sheets>
    <sheet name="PART MES" sheetId="41" r:id="rId1"/>
    <sheet name="DIST MAYO" sheetId="46" r:id="rId2"/>
    <sheet name="COEF Art 14 F I " sheetId="63" r:id="rId3"/>
    <sheet name="CALCULO GARANTIA" sheetId="61" r:id="rId4"/>
    <sheet name="PART PEF2022 " sheetId="62" r:id="rId5"/>
    <sheet name="COEF Art 14 F II ieps" sheetId="65" r:id="rId6"/>
    <sheet name="Art.14 Frac.III" sheetId="55" r:id="rId7"/>
    <sheet name="Art.14 Frac.III AJUSTE DEF" sheetId="66" r:id="rId8"/>
    <sheet name="ISAI" sheetId="47" r:id="rId9"/>
    <sheet name="ISR MÁYO " sheetId="54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1" hidden="1">'DIST MAYO'!#REF!</definedName>
    <definedName name="A_impresión_IM" localSheetId="6">#REF!</definedName>
    <definedName name="A_impresión_IM" localSheetId="7">#REF!</definedName>
    <definedName name="A_impresión_IM" localSheetId="3">#REF!</definedName>
    <definedName name="A_impresión_IM" localSheetId="2">#REF!</definedName>
    <definedName name="A_impresión_IM" localSheetId="5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6">#REF!</definedName>
    <definedName name="abril" localSheetId="7">#REF!</definedName>
    <definedName name="abril" localSheetId="5">#REF!</definedName>
    <definedName name="abril">#REF!</definedName>
    <definedName name="AJUSTES" localSheetId="6" hidden="1">{"'beneficiarios'!$A$1:$C$7"}</definedName>
    <definedName name="AJUSTES" localSheetId="7" hidden="1">{"'beneficiarios'!$A$1:$C$7"}</definedName>
    <definedName name="AJUSTES" localSheetId="3" hidden="1">{"'beneficiarios'!$A$1:$C$7"}</definedName>
    <definedName name="AJUSTES" localSheetId="2" hidden="1">{"'beneficiarios'!$A$1:$C$7"}</definedName>
    <definedName name="AJUSTES" localSheetId="5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6">'Art.14 Frac.III'!$L$1:$Q$56</definedName>
    <definedName name="_xlnm.Print_Area" localSheetId="7">'Art.14 Frac.III AJUSTE DEF'!$L$1:$Q$56</definedName>
    <definedName name="_xlnm.Print_Area" localSheetId="3">'CALCULO GARANTIA'!$A$1:$T$60</definedName>
    <definedName name="_xlnm.Print_Area" localSheetId="2">'COEF Art 14 F I '!$B$3:$AF$60</definedName>
    <definedName name="_xlnm.Print_Area" localSheetId="5">'COEF Art 14 F II ieps'!$A$3:$L$63</definedName>
    <definedName name="_xlnm.Print_Area" localSheetId="1">'DIST MAYO'!$A$1:$R$60</definedName>
    <definedName name="_xlnm.Print_Area" localSheetId="8">ISAI!$A$1:$D$55</definedName>
    <definedName name="_xlnm.Print_Area" localSheetId="0">'PART MES'!$A$1:$F$17</definedName>
    <definedName name="_xlnm.Print_Area" localSheetId="4">'PART PEF2022 '!$A$1:$F$15</definedName>
    <definedName name="_xlnm.Database" localSheetId="6">#REF!</definedName>
    <definedName name="_xlnm.Database" localSheetId="7">#REF!</definedName>
    <definedName name="_xlnm.Database" localSheetId="3">#REF!</definedName>
    <definedName name="_xlnm.Database" localSheetId="2">#REF!</definedName>
    <definedName name="_xlnm.Database" localSheetId="5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6">'[1]deuda c sadm'!#REF!</definedName>
    <definedName name="cierre_2001" localSheetId="7">'[1]deuda c sadm'!#REF!</definedName>
    <definedName name="cierre_2001" localSheetId="3">'[1]deuda c sadm'!#REF!</definedName>
    <definedName name="cierre_2001" localSheetId="2">'[1]deuda c sadm'!#REF!</definedName>
    <definedName name="cierre_2001" localSheetId="5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6">'[1]deuda c sadm'!#REF!</definedName>
    <definedName name="deuda" localSheetId="7">'[1]deuda c sadm'!#REF!</definedName>
    <definedName name="deuda" localSheetId="3">'[1]deuda c sadm'!#REF!</definedName>
    <definedName name="deuda" localSheetId="2">'[1]deuda c sadm'!#REF!</definedName>
    <definedName name="deuda" localSheetId="5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6">'[1]deuda c sadm'!#REF!</definedName>
    <definedName name="Deuda_ingTot" localSheetId="7">'[1]deuda c sadm'!#REF!</definedName>
    <definedName name="Deuda_ingTot" localSheetId="3">'[1]deuda c sadm'!#REF!</definedName>
    <definedName name="Deuda_ingTot" localSheetId="2">'[1]deuda c sadm'!#REF!</definedName>
    <definedName name="Deuda_ingTot" localSheetId="5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6">#REF!</definedName>
    <definedName name="ENERO" localSheetId="7">#REF!</definedName>
    <definedName name="ENERO" localSheetId="3">#REF!</definedName>
    <definedName name="ENERO" localSheetId="2">#REF!</definedName>
    <definedName name="ENERO" localSheetId="5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6">#REF!</definedName>
    <definedName name="ENEROAJUSTE" localSheetId="7">#REF!</definedName>
    <definedName name="ENEROAJUSTE" localSheetId="3">#REF!</definedName>
    <definedName name="ENEROAJUSTE" localSheetId="2">#REF!</definedName>
    <definedName name="ENEROAJUSTE" localSheetId="5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6">#REF!</definedName>
    <definedName name="Estado1" localSheetId="7">#REF!</definedName>
    <definedName name="Estado1" localSheetId="3">#REF!</definedName>
    <definedName name="Estado1" localSheetId="2">#REF!</definedName>
    <definedName name="Estado1" localSheetId="5">#REF!</definedName>
    <definedName name="Estado1" localSheetId="1">#REF!</definedName>
    <definedName name="Estado1" localSheetId="4">#REF!</definedName>
    <definedName name="Estado1">#REF!</definedName>
    <definedName name="Fto_1" localSheetId="6">#REF!</definedName>
    <definedName name="Fto_1" localSheetId="7">#REF!</definedName>
    <definedName name="Fto_1" localSheetId="3">#REF!</definedName>
    <definedName name="Fto_1" localSheetId="2">#REF!</definedName>
    <definedName name="Fto_1" localSheetId="5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6" hidden="1">{"'beneficiarios'!$A$1:$C$7"}</definedName>
    <definedName name="HTML_Control" localSheetId="7" hidden="1">{"'beneficiarios'!$A$1:$C$7"}</definedName>
    <definedName name="HTML_Control" localSheetId="3" hidden="1">{"'beneficiarios'!$A$1:$C$7"}</definedName>
    <definedName name="HTML_Control" localSheetId="2" hidden="1">{"'beneficiarios'!$A$1:$C$7"}</definedName>
    <definedName name="HTML_Control" localSheetId="5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6" hidden="1">{"'beneficiarios'!$A$1:$C$7"}</definedName>
    <definedName name="INDICADORES" localSheetId="7" hidden="1">{"'beneficiarios'!$A$1:$C$7"}</definedName>
    <definedName name="INDICADORES" localSheetId="3" hidden="1">{"'beneficiarios'!$A$1:$C$7"}</definedName>
    <definedName name="INDICADORES" localSheetId="2" hidden="1">{"'beneficiarios'!$A$1:$C$7"}</definedName>
    <definedName name="INDICADORES" localSheetId="5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6" hidden="1">{"'beneficiarios'!$A$1:$C$7"}</definedName>
    <definedName name="ingresofederales" localSheetId="7" hidden="1">{"'beneficiarios'!$A$1:$C$7"}</definedName>
    <definedName name="ingresofederales" localSheetId="3" hidden="1">{"'beneficiarios'!$A$1:$C$7"}</definedName>
    <definedName name="ingresofederales" localSheetId="2" hidden="1">{"'beneficiarios'!$A$1:$C$7"}</definedName>
    <definedName name="ingresofederales" localSheetId="5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6">[3]IMPORTE!$A$3:$A$53</definedName>
    <definedName name="MUNICIPIOS" localSheetId="7">[3]IMPORTE!$A$3:$A$53</definedName>
    <definedName name="MUNICIPIOS" localSheetId="3" hidden="1">{"'beneficiarios'!$A$1:$C$7"}</definedName>
    <definedName name="MUNICIPIOS" localSheetId="2" hidden="1">{"'beneficiarios'!$A$1:$C$7"}</definedName>
    <definedName name="MUNICIPIOS" localSheetId="5" hidden="1">{"'beneficiarios'!$A$1:$C$7"}</definedName>
    <definedName name="MUNICIPIOS" localSheetId="4" hidden="1">{"'beneficiarios'!$A$1:$C$7"}</definedName>
    <definedName name="MUNICIPIOS" hidden="1">{"'beneficiarios'!$A$1:$C$7"}</definedName>
    <definedName name="Notas_Fto_1" localSheetId="6">#REF!</definedName>
    <definedName name="Notas_Fto_1" localSheetId="7">#REF!</definedName>
    <definedName name="Notas_Fto_1" localSheetId="3">#REF!</definedName>
    <definedName name="Notas_Fto_1" localSheetId="2">#REF!</definedName>
    <definedName name="Notas_Fto_1" localSheetId="5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6" hidden="1">{"'beneficiarios'!$A$1:$C$7"}</definedName>
    <definedName name="SINAJUSTE" localSheetId="7" hidden="1">{"'beneficiarios'!$A$1:$C$7"}</definedName>
    <definedName name="SINAJUSTE" localSheetId="3" hidden="1">{"'beneficiarios'!$A$1:$C$7"}</definedName>
    <definedName name="SINAJUSTE" localSheetId="2" hidden="1">{"'beneficiarios'!$A$1:$C$7"}</definedName>
    <definedName name="SINAJUSTE" localSheetId="5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6">#REF!</definedName>
    <definedName name="t" localSheetId="7">#REF!</definedName>
    <definedName name="t" localSheetId="3">#REF!</definedName>
    <definedName name="t" localSheetId="2">#REF!</definedName>
    <definedName name="t" localSheetId="5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2">'COEF Art 14 F I '!$B:$B,'COEF Art 14 F I '!$3:$3</definedName>
    <definedName name="_xlnm.Print_Titles" localSheetId="1">'DIST MAYO'!$1:$2</definedName>
    <definedName name="TOT" localSheetId="6">#REF!</definedName>
    <definedName name="TOT" localSheetId="7">#REF!</definedName>
    <definedName name="TOT" localSheetId="3">#REF!</definedName>
    <definedName name="TOT" localSheetId="2">#REF!</definedName>
    <definedName name="TOT" localSheetId="5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6">#REF!</definedName>
    <definedName name="TOTAL" localSheetId="7">#REF!</definedName>
    <definedName name="TOTAL" localSheetId="3">#REF!</definedName>
    <definedName name="TOTAL" localSheetId="2">#REF!</definedName>
    <definedName name="TOTAL" localSheetId="5">#REF!</definedName>
    <definedName name="TOTAL" localSheetId="1">#REF!</definedName>
    <definedName name="TOTAL" localSheetId="0">#REF!</definedName>
    <definedName name="TOTAL" localSheetId="4">#REF!</definedName>
    <definedName name="TOTAL">#REF!</definedName>
    <definedName name="UNO" localSheetId="7">#REF!</definedName>
    <definedName name="UNO" localSheetId="5">#REF!</definedName>
    <definedName name="UNO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7" i="46" l="1"/>
  <c r="N56" i="46"/>
  <c r="N55" i="46"/>
  <c r="N54" i="46"/>
  <c r="N53" i="46"/>
  <c r="N52" i="46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N8" i="46"/>
  <c r="N7" i="46"/>
  <c r="P3" i="66"/>
  <c r="N3" i="66" s="1"/>
  <c r="F56" i="66"/>
  <c r="C56" i="66"/>
  <c r="J49" i="66" s="1"/>
  <c r="B56" i="66"/>
  <c r="G55" i="66"/>
  <c r="H55" i="66" s="1"/>
  <c r="D55" i="66"/>
  <c r="H54" i="66"/>
  <c r="G54" i="66"/>
  <c r="D54" i="66"/>
  <c r="G53" i="66"/>
  <c r="H53" i="66" s="1"/>
  <c r="D53" i="66"/>
  <c r="G52" i="66"/>
  <c r="H52" i="66" s="1"/>
  <c r="D52" i="66"/>
  <c r="G51" i="66"/>
  <c r="H51" i="66" s="1"/>
  <c r="D51" i="66"/>
  <c r="H50" i="66"/>
  <c r="G50" i="66"/>
  <c r="D50" i="66"/>
  <c r="G49" i="66"/>
  <c r="H49" i="66" s="1"/>
  <c r="D49" i="66"/>
  <c r="J48" i="66"/>
  <c r="H48" i="66"/>
  <c r="G48" i="66"/>
  <c r="D48" i="66"/>
  <c r="H47" i="66"/>
  <c r="G47" i="66"/>
  <c r="D47" i="66"/>
  <c r="H46" i="66"/>
  <c r="G46" i="66"/>
  <c r="D46" i="66"/>
  <c r="G45" i="66"/>
  <c r="H45" i="66" s="1"/>
  <c r="D45" i="66"/>
  <c r="H44" i="66"/>
  <c r="G44" i="66"/>
  <c r="D44" i="66"/>
  <c r="G43" i="66"/>
  <c r="H43" i="66" s="1"/>
  <c r="D43" i="66"/>
  <c r="H42" i="66"/>
  <c r="G42" i="66"/>
  <c r="D42" i="66"/>
  <c r="H41" i="66"/>
  <c r="G41" i="66"/>
  <c r="D41" i="66"/>
  <c r="G40" i="66"/>
  <c r="H40" i="66" s="1"/>
  <c r="D40" i="66"/>
  <c r="G39" i="66"/>
  <c r="H39" i="66" s="1"/>
  <c r="D39" i="66"/>
  <c r="H38" i="66"/>
  <c r="G38" i="66"/>
  <c r="D38" i="66"/>
  <c r="G37" i="66"/>
  <c r="H37" i="66" s="1"/>
  <c r="D37" i="66"/>
  <c r="J36" i="66"/>
  <c r="H36" i="66"/>
  <c r="G36" i="66"/>
  <c r="D36" i="66"/>
  <c r="G35" i="66"/>
  <c r="H35" i="66" s="1"/>
  <c r="D35" i="66"/>
  <c r="H34" i="66"/>
  <c r="G34" i="66"/>
  <c r="D34" i="66"/>
  <c r="G33" i="66"/>
  <c r="H33" i="66" s="1"/>
  <c r="D33" i="66"/>
  <c r="H32" i="66"/>
  <c r="G32" i="66"/>
  <c r="D32" i="66"/>
  <c r="G31" i="66"/>
  <c r="H31" i="66" s="1"/>
  <c r="D31" i="66"/>
  <c r="H30" i="66"/>
  <c r="G30" i="66"/>
  <c r="D30" i="66"/>
  <c r="H29" i="66"/>
  <c r="G29" i="66"/>
  <c r="D29" i="66"/>
  <c r="G28" i="66"/>
  <c r="H28" i="66" s="1"/>
  <c r="D28" i="66"/>
  <c r="G27" i="66"/>
  <c r="H27" i="66" s="1"/>
  <c r="D27" i="66"/>
  <c r="J26" i="66"/>
  <c r="H26" i="66"/>
  <c r="G26" i="66"/>
  <c r="D26" i="66"/>
  <c r="G25" i="66"/>
  <c r="H25" i="66" s="1"/>
  <c r="D25" i="66"/>
  <c r="J24" i="66"/>
  <c r="H24" i="66"/>
  <c r="G24" i="66"/>
  <c r="D24" i="66"/>
  <c r="G23" i="66"/>
  <c r="H23" i="66" s="1"/>
  <c r="D23" i="66"/>
  <c r="H22" i="66"/>
  <c r="G22" i="66"/>
  <c r="D22" i="66"/>
  <c r="G21" i="66"/>
  <c r="H21" i="66" s="1"/>
  <c r="D21" i="66"/>
  <c r="H20" i="66"/>
  <c r="G20" i="66"/>
  <c r="D20" i="66"/>
  <c r="G19" i="66"/>
  <c r="H19" i="66" s="1"/>
  <c r="D19" i="66"/>
  <c r="H18" i="66"/>
  <c r="G18" i="66"/>
  <c r="D18" i="66"/>
  <c r="H17" i="66"/>
  <c r="G17" i="66"/>
  <c r="D17" i="66"/>
  <c r="J16" i="66"/>
  <c r="G16" i="66"/>
  <c r="H16" i="66" s="1"/>
  <c r="D16" i="66"/>
  <c r="G15" i="66"/>
  <c r="H15" i="66" s="1"/>
  <c r="D15" i="66"/>
  <c r="J14" i="66"/>
  <c r="H14" i="66"/>
  <c r="G14" i="66"/>
  <c r="D14" i="66"/>
  <c r="G13" i="66"/>
  <c r="H13" i="66" s="1"/>
  <c r="D13" i="66"/>
  <c r="J12" i="66"/>
  <c r="H12" i="66"/>
  <c r="G12" i="66"/>
  <c r="D12" i="66"/>
  <c r="G11" i="66"/>
  <c r="H11" i="66" s="1"/>
  <c r="D11" i="66"/>
  <c r="J10" i="66"/>
  <c r="H10" i="66"/>
  <c r="G10" i="66"/>
  <c r="D10" i="66"/>
  <c r="G9" i="66"/>
  <c r="H9" i="66" s="1"/>
  <c r="D9" i="66"/>
  <c r="H8" i="66"/>
  <c r="G8" i="66"/>
  <c r="D8" i="66"/>
  <c r="G7" i="66"/>
  <c r="H7" i="66" s="1"/>
  <c r="D7" i="66"/>
  <c r="H6" i="66"/>
  <c r="G6" i="66"/>
  <c r="D6" i="66"/>
  <c r="H5" i="66"/>
  <c r="G5" i="66"/>
  <c r="D5" i="66"/>
  <c r="M3" i="66"/>
  <c r="Q57" i="46"/>
  <c r="Q56" i="46"/>
  <c r="Q55" i="46"/>
  <c r="Q54" i="46"/>
  <c r="Q53" i="46"/>
  <c r="Q52" i="46"/>
  <c r="Q51" i="46"/>
  <c r="Q50" i="46"/>
  <c r="Q49" i="46"/>
  <c r="Q48" i="46"/>
  <c r="Q47" i="46"/>
  <c r="Q46" i="46"/>
  <c r="Q45" i="46"/>
  <c r="Q44" i="46"/>
  <c r="Q43" i="46"/>
  <c r="Q42" i="46"/>
  <c r="Q41" i="46"/>
  <c r="Q40" i="46"/>
  <c r="Q39" i="46"/>
  <c r="Q38" i="46"/>
  <c r="Q37" i="46"/>
  <c r="Q36" i="46"/>
  <c r="Q35" i="46"/>
  <c r="Q34" i="46"/>
  <c r="Q33" i="46"/>
  <c r="Q32" i="46"/>
  <c r="Q31" i="46"/>
  <c r="Q30" i="46"/>
  <c r="Q29" i="46"/>
  <c r="Q28" i="46"/>
  <c r="Q27" i="46"/>
  <c r="Q26" i="46"/>
  <c r="Q25" i="46"/>
  <c r="Q24" i="46"/>
  <c r="Q23" i="46"/>
  <c r="Q22" i="46"/>
  <c r="Q21" i="46"/>
  <c r="Q20" i="46"/>
  <c r="Q19" i="46"/>
  <c r="Q18" i="46"/>
  <c r="Q17" i="46"/>
  <c r="Q16" i="46"/>
  <c r="Q15" i="46"/>
  <c r="Q14" i="46"/>
  <c r="Q13" i="46"/>
  <c r="Q12" i="46"/>
  <c r="Q11" i="46"/>
  <c r="Q10" i="46"/>
  <c r="Q9" i="46"/>
  <c r="Q8" i="46"/>
  <c r="Q7" i="46"/>
  <c r="Q5" i="41"/>
  <c r="S4" i="41"/>
  <c r="S5" i="41" s="1"/>
  <c r="P57" i="46"/>
  <c r="P56" i="46"/>
  <c r="P55" i="46"/>
  <c r="P54" i="46"/>
  <c r="P53" i="46"/>
  <c r="P52" i="46"/>
  <c r="P51" i="46"/>
  <c r="P50" i="46"/>
  <c r="P49" i="46"/>
  <c r="P48" i="46"/>
  <c r="P47" i="46"/>
  <c r="P46" i="46"/>
  <c r="P45" i="46"/>
  <c r="P44" i="46"/>
  <c r="P43" i="46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P12" i="46"/>
  <c r="P11" i="46"/>
  <c r="P10" i="46"/>
  <c r="P9" i="46"/>
  <c r="P8" i="46"/>
  <c r="P7" i="46"/>
  <c r="O57" i="46"/>
  <c r="O56" i="46"/>
  <c r="O55" i="46"/>
  <c r="O54" i="46"/>
  <c r="O53" i="46"/>
  <c r="O52" i="46"/>
  <c r="O51" i="46"/>
  <c r="O50" i="46"/>
  <c r="O49" i="46"/>
  <c r="O48" i="46"/>
  <c r="O47" i="46"/>
  <c r="O46" i="46"/>
  <c r="O45" i="46"/>
  <c r="O44" i="46"/>
  <c r="O43" i="46"/>
  <c r="O42" i="46"/>
  <c r="O41" i="46"/>
  <c r="O40" i="46"/>
  <c r="O39" i="46"/>
  <c r="O38" i="46"/>
  <c r="O37" i="46"/>
  <c r="O36" i="46"/>
  <c r="O35" i="46"/>
  <c r="O34" i="46"/>
  <c r="O33" i="46"/>
  <c r="O32" i="46"/>
  <c r="O31" i="46"/>
  <c r="O30" i="46"/>
  <c r="O29" i="46"/>
  <c r="O28" i="46"/>
  <c r="O27" i="46"/>
  <c r="O26" i="46"/>
  <c r="O25" i="46"/>
  <c r="O24" i="46"/>
  <c r="O23" i="46"/>
  <c r="O22" i="46"/>
  <c r="O21" i="46"/>
  <c r="O20" i="46"/>
  <c r="O19" i="46"/>
  <c r="O18" i="46"/>
  <c r="O17" i="46"/>
  <c r="O16" i="46"/>
  <c r="O15" i="46"/>
  <c r="O14" i="46"/>
  <c r="O13" i="46"/>
  <c r="O12" i="46"/>
  <c r="O11" i="46"/>
  <c r="O10" i="46"/>
  <c r="O9" i="46"/>
  <c r="O8" i="46"/>
  <c r="O7" i="46"/>
  <c r="M57" i="46"/>
  <c r="M56" i="46"/>
  <c r="M55" i="46"/>
  <c r="M54" i="46"/>
  <c r="M53" i="46"/>
  <c r="M52" i="46"/>
  <c r="M51" i="46"/>
  <c r="M50" i="46"/>
  <c r="M49" i="46"/>
  <c r="M48" i="46"/>
  <c r="M47" i="46"/>
  <c r="M46" i="46"/>
  <c r="M45" i="46"/>
  <c r="M44" i="46"/>
  <c r="M43" i="46"/>
  <c r="M42" i="46"/>
  <c r="M41" i="46"/>
  <c r="M40" i="46"/>
  <c r="M39" i="46"/>
  <c r="M38" i="46"/>
  <c r="M37" i="46"/>
  <c r="M36" i="46"/>
  <c r="M35" i="46"/>
  <c r="M34" i="46"/>
  <c r="M33" i="46"/>
  <c r="M32" i="46"/>
  <c r="M31" i="46"/>
  <c r="M30" i="46"/>
  <c r="M29" i="46"/>
  <c r="M28" i="46"/>
  <c r="M27" i="46"/>
  <c r="M26" i="46"/>
  <c r="M25" i="46"/>
  <c r="M24" i="46"/>
  <c r="M23" i="46"/>
  <c r="M22" i="46"/>
  <c r="M21" i="46"/>
  <c r="M20" i="46"/>
  <c r="M19" i="46"/>
  <c r="M18" i="46"/>
  <c r="M17" i="46"/>
  <c r="M16" i="46"/>
  <c r="M15" i="46"/>
  <c r="M14" i="46"/>
  <c r="M13" i="46"/>
  <c r="M12" i="46"/>
  <c r="M11" i="46"/>
  <c r="M10" i="46"/>
  <c r="M9" i="46"/>
  <c r="M8" i="46"/>
  <c r="M7" i="46"/>
  <c r="L58" i="46"/>
  <c r="L57" i="46"/>
  <c r="L56" i="46"/>
  <c r="L55" i="46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D57" i="54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O3" i="66" l="1"/>
  <c r="O15" i="66" s="1"/>
  <c r="E43" i="66"/>
  <c r="I16" i="66"/>
  <c r="N16" i="66" s="1"/>
  <c r="E25" i="66"/>
  <c r="M25" i="66" s="1"/>
  <c r="I52" i="66"/>
  <c r="N52" i="66" s="1"/>
  <c r="I34" i="66"/>
  <c r="N34" i="66" s="1"/>
  <c r="E53" i="66"/>
  <c r="I8" i="66"/>
  <c r="E17" i="66"/>
  <c r="I21" i="66"/>
  <c r="E26" i="66"/>
  <c r="M26" i="66" s="1"/>
  <c r="E35" i="66"/>
  <c r="M35" i="66" s="1"/>
  <c r="I39" i="66"/>
  <c r="N39" i="66" s="1"/>
  <c r="E9" i="66"/>
  <c r="E13" i="66"/>
  <c r="M13" i="66" s="1"/>
  <c r="I35" i="66"/>
  <c r="N35" i="66" s="1"/>
  <c r="I44" i="66"/>
  <c r="E7" i="66"/>
  <c r="I29" i="66"/>
  <c r="I40" i="66"/>
  <c r="I22" i="66"/>
  <c r="N22" i="66" s="1"/>
  <c r="E5" i="66"/>
  <c r="E31" i="66"/>
  <c r="I9" i="66"/>
  <c r="N9" i="66" s="1"/>
  <c r="E49" i="66"/>
  <c r="M49" i="66" s="1"/>
  <c r="I31" i="66"/>
  <c r="I10" i="66"/>
  <c r="I14" i="66"/>
  <c r="N14" i="66" s="1"/>
  <c r="I23" i="66"/>
  <c r="N23" i="66" s="1"/>
  <c r="I27" i="66"/>
  <c r="N27" i="66" s="1"/>
  <c r="I13" i="66"/>
  <c r="I26" i="66"/>
  <c r="N26" i="66" s="1"/>
  <c r="E14" i="66"/>
  <c r="I49" i="66"/>
  <c r="E23" i="66"/>
  <c r="E50" i="66"/>
  <c r="M50" i="66" s="1"/>
  <c r="E19" i="66"/>
  <c r="M19" i="66" s="1"/>
  <c r="I32" i="66"/>
  <c r="N32" i="66" s="1"/>
  <c r="E37" i="66"/>
  <c r="M37" i="66" s="1"/>
  <c r="I45" i="66"/>
  <c r="I5" i="66"/>
  <c r="N5" i="66" s="1"/>
  <c r="E55" i="66"/>
  <c r="M55" i="66" s="1"/>
  <c r="E11" i="66"/>
  <c r="I19" i="66"/>
  <c r="I28" i="66"/>
  <c r="N28" i="66" s="1"/>
  <c r="E33" i="66"/>
  <c r="I37" i="66"/>
  <c r="N37" i="66" s="1"/>
  <c r="E47" i="66"/>
  <c r="M47" i="66" s="1"/>
  <c r="E29" i="66"/>
  <c r="I33" i="66"/>
  <c r="N33" i="66" s="1"/>
  <c r="E38" i="66"/>
  <c r="I51" i="66"/>
  <c r="N51" i="66" s="1"/>
  <c r="J11" i="66"/>
  <c r="N13" i="66"/>
  <c r="J23" i="66"/>
  <c r="J35" i="66"/>
  <c r="J47" i="66"/>
  <c r="N49" i="66"/>
  <c r="D56" i="66"/>
  <c r="M23" i="66"/>
  <c r="J34" i="66"/>
  <c r="O34" i="66" s="1"/>
  <c r="O37" i="66"/>
  <c r="J46" i="66"/>
  <c r="M11" i="66"/>
  <c r="J22" i="66"/>
  <c r="J9" i="66"/>
  <c r="J21" i="66"/>
  <c r="J33" i="66"/>
  <c r="O33" i="66" s="1"/>
  <c r="O36" i="66"/>
  <c r="J45" i="66"/>
  <c r="O48" i="66"/>
  <c r="J8" i="66"/>
  <c r="M9" i="66"/>
  <c r="N10" i="66"/>
  <c r="J20" i="66"/>
  <c r="J32" i="66"/>
  <c r="M33" i="66"/>
  <c r="J44" i="66"/>
  <c r="O44" i="66" s="1"/>
  <c r="H56" i="66"/>
  <c r="I25" i="66" s="1"/>
  <c r="N25" i="66" s="1"/>
  <c r="J7" i="66"/>
  <c r="J19" i="66"/>
  <c r="N21" i="66"/>
  <c r="J31" i="66"/>
  <c r="J43" i="66"/>
  <c r="N45" i="66"/>
  <c r="J55" i="66"/>
  <c r="J6" i="66"/>
  <c r="M7" i="66"/>
  <c r="N8" i="66"/>
  <c r="O9" i="66"/>
  <c r="J18" i="66"/>
  <c r="J30" i="66"/>
  <c r="M31" i="66"/>
  <c r="J42" i="66"/>
  <c r="M43" i="66"/>
  <c r="N44" i="66"/>
  <c r="J54" i="66"/>
  <c r="J5" i="66"/>
  <c r="J17" i="66"/>
  <c r="N19" i="66"/>
  <c r="O20" i="66"/>
  <c r="J29" i="66"/>
  <c r="O29" i="66" s="1"/>
  <c r="N31" i="66"/>
  <c r="J41" i="66"/>
  <c r="J53" i="66"/>
  <c r="M5" i="66"/>
  <c r="J40" i="66"/>
  <c r="J52" i="66"/>
  <c r="M53" i="66"/>
  <c r="M17" i="66"/>
  <c r="J28" i="66"/>
  <c r="O28" i="66" s="1"/>
  <c r="M29" i="66"/>
  <c r="J15" i="66"/>
  <c r="J27" i="66"/>
  <c r="N29" i="66"/>
  <c r="J39" i="66"/>
  <c r="J51" i="66"/>
  <c r="J38" i="66"/>
  <c r="O38" i="66" s="1"/>
  <c r="N40" i="66"/>
  <c r="O41" i="66"/>
  <c r="J50" i="66"/>
  <c r="O50" i="66" s="1"/>
  <c r="J13" i="66"/>
  <c r="M14" i="66"/>
  <c r="J25" i="66"/>
  <c r="J37" i="66"/>
  <c r="M38" i="66"/>
  <c r="O40" i="66"/>
  <c r="Q58" i="46"/>
  <c r="P58" i="46"/>
  <c r="O58" i="46"/>
  <c r="N58" i="46"/>
  <c r="M58" i="46"/>
  <c r="O25" i="66" l="1"/>
  <c r="P25" i="66" s="1"/>
  <c r="O39" i="66"/>
  <c r="O45" i="66"/>
  <c r="O12" i="66"/>
  <c r="O35" i="66"/>
  <c r="P37" i="66"/>
  <c r="O54" i="66"/>
  <c r="O5" i="66"/>
  <c r="O56" i="66" s="1"/>
  <c r="O6" i="66"/>
  <c r="O24" i="66"/>
  <c r="O51" i="66"/>
  <c r="O43" i="66"/>
  <c r="O55" i="66"/>
  <c r="O23" i="66"/>
  <c r="O21" i="66"/>
  <c r="O47" i="66"/>
  <c r="O16" i="66"/>
  <c r="O30" i="66"/>
  <c r="O7" i="66"/>
  <c r="O26" i="66"/>
  <c r="P26" i="66" s="1"/>
  <c r="P14" i="66"/>
  <c r="O31" i="66"/>
  <c r="O22" i="66"/>
  <c r="O13" i="66"/>
  <c r="P13" i="66" s="1"/>
  <c r="O42" i="66"/>
  <c r="O8" i="66"/>
  <c r="O14" i="66"/>
  <c r="O52" i="66"/>
  <c r="O32" i="66"/>
  <c r="O17" i="66"/>
  <c r="O18" i="66"/>
  <c r="O19" i="66"/>
  <c r="P19" i="66" s="1"/>
  <c r="O27" i="66"/>
  <c r="O49" i="66"/>
  <c r="P49" i="66" s="1"/>
  <c r="O53" i="66"/>
  <c r="O10" i="66"/>
  <c r="O46" i="66"/>
  <c r="O11" i="66"/>
  <c r="P35" i="66"/>
  <c r="I24" i="66"/>
  <c r="N24" i="66" s="1"/>
  <c r="I17" i="66"/>
  <c r="N17" i="66" s="1"/>
  <c r="P17" i="66" s="1"/>
  <c r="I38" i="66"/>
  <c r="N38" i="66" s="1"/>
  <c r="P38" i="66" s="1"/>
  <c r="I43" i="66"/>
  <c r="N43" i="66" s="1"/>
  <c r="P53" i="66"/>
  <c r="J56" i="66"/>
  <c r="P23" i="66"/>
  <c r="I48" i="66"/>
  <c r="N48" i="66" s="1"/>
  <c r="I36" i="66"/>
  <c r="N36" i="66" s="1"/>
  <c r="I54" i="66"/>
  <c r="N54" i="66" s="1"/>
  <c r="I42" i="66"/>
  <c r="N42" i="66" s="1"/>
  <c r="I30" i="66"/>
  <c r="N30" i="66" s="1"/>
  <c r="I18" i="66"/>
  <c r="N18" i="66" s="1"/>
  <c r="I6" i="66"/>
  <c r="N6" i="66" s="1"/>
  <c r="I47" i="66"/>
  <c r="N47" i="66" s="1"/>
  <c r="P47" i="66" s="1"/>
  <c r="E45" i="66"/>
  <c r="M45" i="66" s="1"/>
  <c r="E34" i="66"/>
  <c r="M34" i="66" s="1"/>
  <c r="P34" i="66" s="1"/>
  <c r="E22" i="66"/>
  <c r="M22" i="66" s="1"/>
  <c r="E46" i="66"/>
  <c r="M46" i="66" s="1"/>
  <c r="E10" i="66"/>
  <c r="M10" i="66" s="1"/>
  <c r="E24" i="66"/>
  <c r="M24" i="66" s="1"/>
  <c r="E12" i="66"/>
  <c r="M12" i="66" s="1"/>
  <c r="E48" i="66"/>
  <c r="M48" i="66" s="1"/>
  <c r="E36" i="66"/>
  <c r="M36" i="66" s="1"/>
  <c r="P36" i="66" s="1"/>
  <c r="E30" i="66"/>
  <c r="M30" i="66" s="1"/>
  <c r="E32" i="66"/>
  <c r="M32" i="66" s="1"/>
  <c r="P32" i="66" s="1"/>
  <c r="E51" i="66"/>
  <c r="M51" i="66" s="1"/>
  <c r="P51" i="66" s="1"/>
  <c r="E39" i="66"/>
  <c r="M39" i="66" s="1"/>
  <c r="P39" i="66" s="1"/>
  <c r="E27" i="66"/>
  <c r="M27" i="66" s="1"/>
  <c r="E15" i="66"/>
  <c r="M15" i="66" s="1"/>
  <c r="E18" i="66"/>
  <c r="M18" i="66" s="1"/>
  <c r="P18" i="66" s="1"/>
  <c r="E52" i="66"/>
  <c r="M52" i="66" s="1"/>
  <c r="E40" i="66"/>
  <c r="M40" i="66" s="1"/>
  <c r="P40" i="66" s="1"/>
  <c r="E28" i="66"/>
  <c r="M28" i="66" s="1"/>
  <c r="P28" i="66" s="1"/>
  <c r="E16" i="66"/>
  <c r="M16" i="66" s="1"/>
  <c r="P16" i="66" s="1"/>
  <c r="E6" i="66"/>
  <c r="M6" i="66" s="1"/>
  <c r="E54" i="66"/>
  <c r="M54" i="66" s="1"/>
  <c r="E42" i="66"/>
  <c r="M42" i="66" s="1"/>
  <c r="P42" i="66" s="1"/>
  <c r="E20" i="66"/>
  <c r="M20" i="66" s="1"/>
  <c r="P20" i="66" s="1"/>
  <c r="E44" i="66"/>
  <c r="M44" i="66" s="1"/>
  <c r="P44" i="66" s="1"/>
  <c r="E8" i="66"/>
  <c r="M8" i="66" s="1"/>
  <c r="P8" i="66" s="1"/>
  <c r="I15" i="66"/>
  <c r="N15" i="66" s="1"/>
  <c r="I50" i="66"/>
  <c r="N50" i="66" s="1"/>
  <c r="P50" i="66" s="1"/>
  <c r="I55" i="66"/>
  <c r="N55" i="66" s="1"/>
  <c r="P55" i="66" s="1"/>
  <c r="I7" i="66"/>
  <c r="N7" i="66" s="1"/>
  <c r="P7" i="66" s="1"/>
  <c r="I20" i="66"/>
  <c r="N20" i="66" s="1"/>
  <c r="E21" i="66"/>
  <c r="M21" i="66" s="1"/>
  <c r="P21" i="66" s="1"/>
  <c r="P29" i="66"/>
  <c r="P9" i="66"/>
  <c r="P33" i="66"/>
  <c r="P31" i="66"/>
  <c r="I11" i="66"/>
  <c r="N11" i="66" s="1"/>
  <c r="I46" i="66"/>
  <c r="N46" i="66" s="1"/>
  <c r="I41" i="66"/>
  <c r="N41" i="66" s="1"/>
  <c r="E41" i="66"/>
  <c r="M41" i="66" s="1"/>
  <c r="I53" i="66"/>
  <c r="N53" i="66" s="1"/>
  <c r="I12" i="66"/>
  <c r="N12" i="66" s="1"/>
  <c r="M14" i="41"/>
  <c r="M13" i="41"/>
  <c r="O13" i="41" s="1"/>
  <c r="M12" i="41"/>
  <c r="O12" i="41" s="1"/>
  <c r="O11" i="41"/>
  <c r="O14" i="41" s="1"/>
  <c r="M10" i="41"/>
  <c r="M15" i="41" s="1"/>
  <c r="M9" i="41"/>
  <c r="O9" i="41" s="1"/>
  <c r="M8" i="41"/>
  <c r="O8" i="41" s="1"/>
  <c r="O7" i="41"/>
  <c r="O6" i="41"/>
  <c r="O5" i="41"/>
  <c r="O4" i="41"/>
  <c r="P5" i="66" l="1"/>
  <c r="P52" i="66"/>
  <c r="P10" i="66"/>
  <c r="P22" i="66"/>
  <c r="P27" i="66"/>
  <c r="P11" i="66"/>
  <c r="P45" i="66"/>
  <c r="P43" i="66"/>
  <c r="N56" i="66"/>
  <c r="P54" i="66"/>
  <c r="I56" i="66"/>
  <c r="P15" i="66"/>
  <c r="P30" i="66"/>
  <c r="P48" i="66"/>
  <c r="P6" i="66"/>
  <c r="P12" i="66"/>
  <c r="E56" i="66"/>
  <c r="P41" i="66"/>
  <c r="P24" i="66"/>
  <c r="P46" i="66"/>
  <c r="M56" i="66"/>
  <c r="O10" i="41"/>
  <c r="O15" i="41" s="1"/>
  <c r="P56" i="66" l="1"/>
  <c r="Q49" i="66" s="1"/>
  <c r="Q53" i="66" l="1"/>
  <c r="Q22" i="66"/>
  <c r="Q17" i="66"/>
  <c r="Q20" i="66"/>
  <c r="Q45" i="66"/>
  <c r="Q38" i="66"/>
  <c r="Q23" i="66"/>
  <c r="Q16" i="66"/>
  <c r="Q10" i="66"/>
  <c r="Q33" i="66"/>
  <c r="Q26" i="66"/>
  <c r="Q54" i="66"/>
  <c r="Q13" i="66"/>
  <c r="Q8" i="66"/>
  <c r="Q40" i="66"/>
  <c r="Q31" i="66"/>
  <c r="Q52" i="66"/>
  <c r="Q47" i="66"/>
  <c r="Q28" i="66"/>
  <c r="Q19" i="66"/>
  <c r="Q5" i="66"/>
  <c r="Q11" i="66"/>
  <c r="Q21" i="66"/>
  <c r="Q9" i="66"/>
  <c r="Q25" i="66"/>
  <c r="Q44" i="66"/>
  <c r="Q6" i="66"/>
  <c r="Q42" i="66"/>
  <c r="Q55" i="66"/>
  <c r="Q12" i="66"/>
  <c r="Q51" i="66"/>
  <c r="Q29" i="66"/>
  <c r="Q7" i="66"/>
  <c r="Q37" i="66"/>
  <c r="Q30" i="66"/>
  <c r="Q46" i="66"/>
  <c r="Q24" i="66"/>
  <c r="Q27" i="66"/>
  <c r="Q15" i="66"/>
  <c r="Q36" i="66"/>
  <c r="Q41" i="66"/>
  <c r="Q18" i="66"/>
  <c r="Q43" i="66"/>
  <c r="Q14" i="66"/>
  <c r="Q39" i="66"/>
  <c r="Q35" i="66"/>
  <c r="Q48" i="66"/>
  <c r="Q50" i="66"/>
  <c r="Q32" i="66"/>
  <c r="Q34" i="66"/>
  <c r="Q56" i="66"/>
  <c r="D13" i="41" l="1"/>
  <c r="D12" i="41"/>
  <c r="D11" i="41"/>
  <c r="D9" i="41"/>
  <c r="D8" i="41"/>
  <c r="D7" i="41"/>
  <c r="D6" i="41"/>
  <c r="D5" i="41"/>
  <c r="D4" i="41"/>
  <c r="D59" i="65" l="1"/>
  <c r="E58" i="65" s="1"/>
  <c r="B59" i="65"/>
  <c r="G58" i="65"/>
  <c r="C58" i="65"/>
  <c r="G57" i="65"/>
  <c r="E57" i="65"/>
  <c r="C57" i="65"/>
  <c r="G56" i="65"/>
  <c r="C56" i="65"/>
  <c r="G55" i="65"/>
  <c r="C55" i="65"/>
  <c r="G54" i="65"/>
  <c r="E54" i="65"/>
  <c r="C54" i="65"/>
  <c r="G53" i="65"/>
  <c r="C53" i="65"/>
  <c r="G52" i="65"/>
  <c r="C52" i="65"/>
  <c r="G51" i="65"/>
  <c r="E51" i="65"/>
  <c r="C51" i="65"/>
  <c r="G50" i="65"/>
  <c r="C50" i="65"/>
  <c r="G49" i="65"/>
  <c r="C49" i="65"/>
  <c r="G48" i="65"/>
  <c r="E48" i="65"/>
  <c r="C48" i="65"/>
  <c r="G47" i="65"/>
  <c r="C47" i="65"/>
  <c r="G46" i="65"/>
  <c r="C46" i="65"/>
  <c r="G45" i="65"/>
  <c r="E45" i="65"/>
  <c r="C45" i="65"/>
  <c r="G44" i="65"/>
  <c r="C44" i="65"/>
  <c r="G43" i="65"/>
  <c r="C43" i="65"/>
  <c r="G42" i="65"/>
  <c r="E42" i="65"/>
  <c r="C42" i="65"/>
  <c r="G41" i="65"/>
  <c r="C41" i="65"/>
  <c r="G40" i="65"/>
  <c r="C40" i="65"/>
  <c r="G39" i="65"/>
  <c r="E39" i="65"/>
  <c r="C39" i="65"/>
  <c r="G38" i="65"/>
  <c r="C38" i="65"/>
  <c r="G37" i="65"/>
  <c r="C37" i="65"/>
  <c r="G36" i="65"/>
  <c r="E36" i="65"/>
  <c r="C36" i="65"/>
  <c r="G35" i="65"/>
  <c r="E35" i="65"/>
  <c r="C35" i="65"/>
  <c r="G34" i="65"/>
  <c r="C34" i="65"/>
  <c r="G33" i="65"/>
  <c r="E33" i="65"/>
  <c r="C33" i="65"/>
  <c r="G32" i="65"/>
  <c r="E32" i="65"/>
  <c r="C32" i="65"/>
  <c r="G31" i="65"/>
  <c r="E31" i="65"/>
  <c r="C31" i="65"/>
  <c r="G30" i="65"/>
  <c r="E30" i="65"/>
  <c r="C30" i="65"/>
  <c r="G29" i="65"/>
  <c r="E29" i="65"/>
  <c r="C29" i="65"/>
  <c r="G28" i="65"/>
  <c r="E28" i="65"/>
  <c r="C28" i="65"/>
  <c r="G27" i="65"/>
  <c r="E27" i="65"/>
  <c r="C27" i="65"/>
  <c r="G26" i="65"/>
  <c r="E26" i="65"/>
  <c r="C26" i="65"/>
  <c r="G25" i="65"/>
  <c r="E25" i="65"/>
  <c r="C25" i="65"/>
  <c r="G24" i="65"/>
  <c r="E24" i="65"/>
  <c r="C24" i="65"/>
  <c r="G23" i="65"/>
  <c r="E23" i="65"/>
  <c r="C23" i="65"/>
  <c r="G22" i="65"/>
  <c r="E22" i="65"/>
  <c r="C22" i="65"/>
  <c r="G21" i="65"/>
  <c r="E21" i="65"/>
  <c r="C21" i="65"/>
  <c r="G20" i="65"/>
  <c r="E20" i="65"/>
  <c r="C20" i="65"/>
  <c r="G19" i="65"/>
  <c r="E19" i="65"/>
  <c r="C19" i="65"/>
  <c r="G18" i="65"/>
  <c r="E18" i="65"/>
  <c r="C18" i="65"/>
  <c r="G17" i="65"/>
  <c r="E17" i="65"/>
  <c r="C17" i="65"/>
  <c r="G16" i="65"/>
  <c r="E16" i="65"/>
  <c r="C16" i="65"/>
  <c r="G15" i="65"/>
  <c r="E15" i="65"/>
  <c r="C15" i="65"/>
  <c r="G14" i="65"/>
  <c r="E14" i="65"/>
  <c r="C14" i="65"/>
  <c r="G13" i="65"/>
  <c r="E13" i="65"/>
  <c r="C13" i="65"/>
  <c r="G12" i="65"/>
  <c r="E12" i="65"/>
  <c r="C12" i="65"/>
  <c r="G11" i="65"/>
  <c r="E11" i="65"/>
  <c r="C11" i="65"/>
  <c r="G10" i="65"/>
  <c r="E10" i="65"/>
  <c r="C10" i="65"/>
  <c r="G9" i="65"/>
  <c r="E9" i="65"/>
  <c r="C9" i="65"/>
  <c r="G8" i="65"/>
  <c r="E8" i="65"/>
  <c r="C8" i="65"/>
  <c r="K6" i="65"/>
  <c r="J6" i="65" s="1"/>
  <c r="J11" i="65" l="1"/>
  <c r="J44" i="65"/>
  <c r="J31" i="65"/>
  <c r="J15" i="65"/>
  <c r="J25" i="65"/>
  <c r="J40" i="65"/>
  <c r="J45" i="65"/>
  <c r="J51" i="65"/>
  <c r="J56" i="65"/>
  <c r="J32" i="65"/>
  <c r="J29" i="65"/>
  <c r="J46" i="65"/>
  <c r="H6" i="65"/>
  <c r="H11" i="65" s="1"/>
  <c r="J36" i="65"/>
  <c r="I6" i="65"/>
  <c r="I9" i="65" s="1"/>
  <c r="J10" i="65"/>
  <c r="J13" i="65"/>
  <c r="J26" i="65"/>
  <c r="J47" i="65"/>
  <c r="J52" i="65"/>
  <c r="J57" i="65"/>
  <c r="J19" i="65"/>
  <c r="J41" i="65"/>
  <c r="J16" i="65"/>
  <c r="J23" i="65"/>
  <c r="J37" i="65"/>
  <c r="J42" i="65"/>
  <c r="J58" i="65"/>
  <c r="J20" i="65"/>
  <c r="J33" i="65"/>
  <c r="J53" i="65"/>
  <c r="J17" i="65"/>
  <c r="J30" i="65"/>
  <c r="J38" i="65"/>
  <c r="J43" i="65"/>
  <c r="J48" i="65"/>
  <c r="J14" i="65"/>
  <c r="J27" i="65"/>
  <c r="J34" i="65"/>
  <c r="J12" i="65"/>
  <c r="J54" i="65"/>
  <c r="J9" i="65"/>
  <c r="J8" i="65"/>
  <c r="J24" i="65"/>
  <c r="J22" i="65"/>
  <c r="J49" i="65"/>
  <c r="J21" i="65"/>
  <c r="J39" i="65"/>
  <c r="J18" i="65"/>
  <c r="J28" i="65"/>
  <c r="J35" i="65"/>
  <c r="J50" i="65"/>
  <c r="J55" i="65"/>
  <c r="E38" i="65"/>
  <c r="E41" i="65"/>
  <c r="E44" i="65"/>
  <c r="E47" i="65"/>
  <c r="E50" i="65"/>
  <c r="E53" i="65"/>
  <c r="E56" i="65"/>
  <c r="C59" i="65"/>
  <c r="E59" i="65"/>
  <c r="G59" i="65"/>
  <c r="E34" i="65"/>
  <c r="E37" i="65"/>
  <c r="E40" i="65"/>
  <c r="E43" i="65"/>
  <c r="E46" i="65"/>
  <c r="E49" i="65"/>
  <c r="E52" i="65"/>
  <c r="E55" i="65"/>
  <c r="I51" i="65" l="1"/>
  <c r="I33" i="65"/>
  <c r="H8" i="65"/>
  <c r="H27" i="65"/>
  <c r="I39" i="65"/>
  <c r="H52" i="65"/>
  <c r="H22" i="65"/>
  <c r="H16" i="65"/>
  <c r="I56" i="65"/>
  <c r="H21" i="65"/>
  <c r="I55" i="65"/>
  <c r="I53" i="65"/>
  <c r="H36" i="65"/>
  <c r="H54" i="65"/>
  <c r="H30" i="65"/>
  <c r="J59" i="65"/>
  <c r="I21" i="65"/>
  <c r="I50" i="65"/>
  <c r="I15" i="65"/>
  <c r="I57" i="65"/>
  <c r="H56" i="65"/>
  <c r="I49" i="65"/>
  <c r="I47" i="65"/>
  <c r="H12" i="65"/>
  <c r="H42" i="65"/>
  <c r="H51" i="65"/>
  <c r="K51" i="65" s="1"/>
  <c r="I46" i="65"/>
  <c r="I44" i="65"/>
  <c r="H9" i="65"/>
  <c r="K9" i="65" s="1"/>
  <c r="H29" i="65"/>
  <c r="I52" i="65"/>
  <c r="I43" i="65"/>
  <c r="I48" i="65"/>
  <c r="H40" i="65"/>
  <c r="I38" i="65"/>
  <c r="I58" i="65"/>
  <c r="I30" i="65"/>
  <c r="H32" i="65"/>
  <c r="H37" i="65"/>
  <c r="I37" i="65"/>
  <c r="H15" i="65"/>
  <c r="I54" i="65"/>
  <c r="I27" i="65"/>
  <c r="H53" i="65"/>
  <c r="I36" i="65"/>
  <c r="K52" i="65"/>
  <c r="I41" i="65"/>
  <c r="I40" i="65"/>
  <c r="H34" i="65"/>
  <c r="I34" i="65"/>
  <c r="H24" i="65"/>
  <c r="H48" i="65"/>
  <c r="I42" i="65"/>
  <c r="H26" i="65"/>
  <c r="H31" i="65"/>
  <c r="H33" i="65"/>
  <c r="I12" i="65"/>
  <c r="H25" i="65"/>
  <c r="I45" i="65"/>
  <c r="I18" i="65"/>
  <c r="I24" i="65"/>
  <c r="H58" i="65"/>
  <c r="H10" i="65"/>
  <c r="H41" i="65"/>
  <c r="H28" i="65"/>
  <c r="H55" i="65"/>
  <c r="H19" i="65"/>
  <c r="H14" i="65"/>
  <c r="H20" i="65"/>
  <c r="H49" i="65"/>
  <c r="H13" i="65"/>
  <c r="H18" i="65"/>
  <c r="H47" i="65"/>
  <c r="H35" i="65"/>
  <c r="H17" i="65"/>
  <c r="H46" i="65"/>
  <c r="H44" i="65"/>
  <c r="H23" i="65"/>
  <c r="H57" i="65"/>
  <c r="H45" i="65"/>
  <c r="H43" i="65"/>
  <c r="H50" i="65"/>
  <c r="H39" i="65"/>
  <c r="H38" i="65"/>
  <c r="I31" i="65"/>
  <c r="I8" i="65"/>
  <c r="I14" i="65"/>
  <c r="I17" i="65"/>
  <c r="I25" i="65"/>
  <c r="I20" i="65"/>
  <c r="I23" i="65"/>
  <c r="I10" i="65"/>
  <c r="I26" i="65"/>
  <c r="I13" i="65"/>
  <c r="I32" i="65"/>
  <c r="I29" i="65"/>
  <c r="I16" i="65"/>
  <c r="I19" i="65"/>
  <c r="I22" i="65"/>
  <c r="K22" i="65" s="1"/>
  <c r="I35" i="65"/>
  <c r="I28" i="65"/>
  <c r="I11" i="65"/>
  <c r="K46" i="65" l="1"/>
  <c r="K56" i="65"/>
  <c r="K16" i="65"/>
  <c r="K31" i="65"/>
  <c r="K57" i="65"/>
  <c r="K15" i="65"/>
  <c r="K21" i="65"/>
  <c r="K8" i="65"/>
  <c r="K58" i="65"/>
  <c r="K25" i="65"/>
  <c r="K33" i="65"/>
  <c r="K53" i="65"/>
  <c r="K39" i="65"/>
  <c r="K27" i="65"/>
  <c r="K55" i="65"/>
  <c r="K32" i="65"/>
  <c r="K40" i="65"/>
  <c r="K36" i="65"/>
  <c r="K34" i="65"/>
  <c r="K30" i="65"/>
  <c r="K14" i="65"/>
  <c r="K44" i="65"/>
  <c r="K12" i="65"/>
  <c r="K54" i="65"/>
  <c r="K47" i="65"/>
  <c r="K41" i="65"/>
  <c r="K48" i="65"/>
  <c r="K38" i="65"/>
  <c r="K49" i="65"/>
  <c r="K43" i="65"/>
  <c r="I59" i="65"/>
  <c r="K24" i="65"/>
  <c r="K37" i="65"/>
  <c r="K42" i="65"/>
  <c r="K18" i="65"/>
  <c r="K50" i="65"/>
  <c r="K19" i="65"/>
  <c r="K29" i="65"/>
  <c r="K26" i="65"/>
  <c r="K45" i="65"/>
  <c r="K11" i="65"/>
  <c r="K13" i="65"/>
  <c r="K23" i="65"/>
  <c r="K17" i="65"/>
  <c r="K35" i="65"/>
  <c r="K10" i="65"/>
  <c r="H59" i="65"/>
  <c r="K20" i="65"/>
  <c r="K28" i="65"/>
  <c r="K59" i="65" l="1"/>
  <c r="L28" i="65" s="1"/>
  <c r="C10" i="41"/>
  <c r="C15" i="41" s="1"/>
  <c r="L44" i="65" l="1"/>
  <c r="L40" i="65"/>
  <c r="L43" i="65"/>
  <c r="L15" i="65"/>
  <c r="L48" i="65"/>
  <c r="L52" i="65"/>
  <c r="L53" i="65"/>
  <c r="L45" i="65"/>
  <c r="L9" i="65"/>
  <c r="L42" i="65"/>
  <c r="L58" i="65"/>
  <c r="L32" i="65"/>
  <c r="L51" i="65"/>
  <c r="L22" i="65"/>
  <c r="L46" i="65"/>
  <c r="L36" i="65"/>
  <c r="L50" i="65"/>
  <c r="L31" i="65"/>
  <c r="L49" i="65"/>
  <c r="L26" i="65"/>
  <c r="L33" i="65"/>
  <c r="L10" i="65"/>
  <c r="L39" i="65"/>
  <c r="L35" i="65"/>
  <c r="L19" i="65"/>
  <c r="L56" i="65"/>
  <c r="L37" i="65"/>
  <c r="L30" i="65"/>
  <c r="L13" i="65"/>
  <c r="L8" i="65"/>
  <c r="L17" i="65"/>
  <c r="L25" i="65"/>
  <c r="L21" i="65"/>
  <c r="L55" i="65"/>
  <c r="L14" i="65"/>
  <c r="L12" i="65"/>
  <c r="L27" i="65"/>
  <c r="L57" i="65"/>
  <c r="L11" i="65"/>
  <c r="L54" i="65"/>
  <c r="L47" i="65"/>
  <c r="L16" i="65"/>
  <c r="L23" i="65"/>
  <c r="L20" i="65"/>
  <c r="L18" i="65"/>
  <c r="L38" i="65"/>
  <c r="L24" i="65"/>
  <c r="L34" i="65"/>
  <c r="L29" i="65"/>
  <c r="L41" i="65"/>
  <c r="D10" i="41" l="1"/>
  <c r="L59" i="65"/>
  <c r="V57" i="61"/>
  <c r="H10" i="41" l="1"/>
  <c r="I9" i="41"/>
  <c r="I8" i="41"/>
  <c r="I7" i="41"/>
  <c r="I6" i="41"/>
  <c r="I5" i="41"/>
  <c r="I4" i="41"/>
  <c r="I10" i="41" l="1"/>
  <c r="I15" i="41" s="1"/>
  <c r="Q58" i="63"/>
  <c r="P58" i="63"/>
  <c r="R54" i="63" s="1"/>
  <c r="S54" i="63" s="1"/>
  <c r="O58" i="63"/>
  <c r="K58" i="63"/>
  <c r="L53" i="63" s="1"/>
  <c r="H58" i="63"/>
  <c r="D58" i="63"/>
  <c r="C58" i="63"/>
  <c r="V57" i="63"/>
  <c r="L57" i="63"/>
  <c r="M57" i="63" s="1"/>
  <c r="E57" i="63"/>
  <c r="F57" i="63" s="1"/>
  <c r="V56" i="63"/>
  <c r="R56" i="63"/>
  <c r="S56" i="63" s="1"/>
  <c r="L56" i="63"/>
  <c r="M56" i="63" s="1"/>
  <c r="F56" i="63"/>
  <c r="E56" i="63"/>
  <c r="V55" i="63"/>
  <c r="L55" i="63"/>
  <c r="M55" i="63" s="1"/>
  <c r="E55" i="63"/>
  <c r="F55" i="63" s="1"/>
  <c r="V54" i="63"/>
  <c r="L54" i="63"/>
  <c r="M54" i="63" s="1"/>
  <c r="E54" i="63"/>
  <c r="F54" i="63" s="1"/>
  <c r="V53" i="63"/>
  <c r="M53" i="63"/>
  <c r="I53" i="63"/>
  <c r="J53" i="63" s="1"/>
  <c r="E53" i="63"/>
  <c r="F53" i="63" s="1"/>
  <c r="V52" i="63"/>
  <c r="L52" i="63"/>
  <c r="M52" i="63" s="1"/>
  <c r="E52" i="63"/>
  <c r="F52" i="63" s="1"/>
  <c r="V51" i="63"/>
  <c r="L51" i="63"/>
  <c r="M51" i="63" s="1"/>
  <c r="E51" i="63"/>
  <c r="F51" i="63" s="1"/>
  <c r="V50" i="63"/>
  <c r="R50" i="63"/>
  <c r="S50" i="63" s="1"/>
  <c r="L50" i="63"/>
  <c r="M50" i="63" s="1"/>
  <c r="E50" i="63"/>
  <c r="F50" i="63" s="1"/>
  <c r="V49" i="63"/>
  <c r="L49" i="63"/>
  <c r="M49" i="63" s="1"/>
  <c r="E49" i="63"/>
  <c r="F49" i="63" s="1"/>
  <c r="V48" i="63"/>
  <c r="L48" i="63"/>
  <c r="M48" i="63" s="1"/>
  <c r="E48" i="63"/>
  <c r="F48" i="63" s="1"/>
  <c r="V47" i="63"/>
  <c r="E47" i="63"/>
  <c r="F47" i="63" s="1"/>
  <c r="V46" i="63"/>
  <c r="R46" i="63"/>
  <c r="S46" i="63" s="1"/>
  <c r="L46" i="63"/>
  <c r="M46" i="63" s="1"/>
  <c r="E46" i="63"/>
  <c r="F46" i="63" s="1"/>
  <c r="V45" i="63"/>
  <c r="R45" i="63"/>
  <c r="S45" i="63" s="1"/>
  <c r="L45" i="63"/>
  <c r="M45" i="63" s="1"/>
  <c r="E45" i="63"/>
  <c r="F45" i="63" s="1"/>
  <c r="V44" i="63"/>
  <c r="R44" i="63"/>
  <c r="S44" i="63" s="1"/>
  <c r="L44" i="63"/>
  <c r="M44" i="63" s="1"/>
  <c r="I44" i="63"/>
  <c r="J44" i="63" s="1"/>
  <c r="E44" i="63"/>
  <c r="F44" i="63" s="1"/>
  <c r="V43" i="63"/>
  <c r="L43" i="63"/>
  <c r="M43" i="63" s="1"/>
  <c r="I43" i="63"/>
  <c r="J43" i="63" s="1"/>
  <c r="E43" i="63"/>
  <c r="F43" i="63" s="1"/>
  <c r="V42" i="63"/>
  <c r="R42" i="63"/>
  <c r="S42" i="63" s="1"/>
  <c r="L42" i="63"/>
  <c r="M42" i="63" s="1"/>
  <c r="E42" i="63"/>
  <c r="F42" i="63" s="1"/>
  <c r="V41" i="63"/>
  <c r="E41" i="63"/>
  <c r="F41" i="63" s="1"/>
  <c r="V40" i="63"/>
  <c r="L40" i="63"/>
  <c r="M40" i="63" s="1"/>
  <c r="E40" i="63"/>
  <c r="F40" i="63" s="1"/>
  <c r="V39" i="63"/>
  <c r="R39" i="63"/>
  <c r="S39" i="63" s="1"/>
  <c r="M39" i="63"/>
  <c r="L39" i="63"/>
  <c r="E39" i="63"/>
  <c r="F39" i="63" s="1"/>
  <c r="V38" i="63"/>
  <c r="M38" i="63"/>
  <c r="L38" i="63"/>
  <c r="I38" i="63"/>
  <c r="J38" i="63" s="1"/>
  <c r="E38" i="63"/>
  <c r="F38" i="63" s="1"/>
  <c r="V37" i="63"/>
  <c r="L37" i="63"/>
  <c r="M37" i="63" s="1"/>
  <c r="E37" i="63"/>
  <c r="F37" i="63" s="1"/>
  <c r="V36" i="63"/>
  <c r="L36" i="63"/>
  <c r="M36" i="63" s="1"/>
  <c r="E36" i="63"/>
  <c r="F36" i="63" s="1"/>
  <c r="V35" i="63"/>
  <c r="I35" i="63"/>
  <c r="J35" i="63" s="1"/>
  <c r="E35" i="63"/>
  <c r="F35" i="63" s="1"/>
  <c r="V34" i="63"/>
  <c r="R34" i="63"/>
  <c r="S34" i="63" s="1"/>
  <c r="L34" i="63"/>
  <c r="M34" i="63" s="1"/>
  <c r="E34" i="63"/>
  <c r="F34" i="63" s="1"/>
  <c r="V33" i="63"/>
  <c r="R33" i="63"/>
  <c r="S33" i="63" s="1"/>
  <c r="L33" i="63"/>
  <c r="M33" i="63" s="1"/>
  <c r="E33" i="63"/>
  <c r="F33" i="63" s="1"/>
  <c r="V32" i="63"/>
  <c r="R32" i="63"/>
  <c r="S32" i="63" s="1"/>
  <c r="L32" i="63"/>
  <c r="M32" i="63" s="1"/>
  <c r="E32" i="63"/>
  <c r="F32" i="63" s="1"/>
  <c r="V31" i="63"/>
  <c r="R31" i="63"/>
  <c r="S31" i="63" s="1"/>
  <c r="M31" i="63"/>
  <c r="L31" i="63"/>
  <c r="I31" i="63"/>
  <c r="J31" i="63" s="1"/>
  <c r="E31" i="63"/>
  <c r="F31" i="63" s="1"/>
  <c r="V30" i="63"/>
  <c r="L30" i="63"/>
  <c r="M30" i="63" s="1"/>
  <c r="N30" i="63" s="1"/>
  <c r="I30" i="63"/>
  <c r="J30" i="63" s="1"/>
  <c r="E30" i="63"/>
  <c r="F30" i="63" s="1"/>
  <c r="V29" i="63"/>
  <c r="J29" i="63"/>
  <c r="I29" i="63"/>
  <c r="E29" i="63"/>
  <c r="F29" i="63" s="1"/>
  <c r="V28" i="63"/>
  <c r="R28" i="63"/>
  <c r="S28" i="63" s="1"/>
  <c r="L28" i="63"/>
  <c r="M28" i="63" s="1"/>
  <c r="E28" i="63"/>
  <c r="F28" i="63" s="1"/>
  <c r="V27" i="63"/>
  <c r="L27" i="63"/>
  <c r="M27" i="63" s="1"/>
  <c r="N27" i="63" s="1"/>
  <c r="I27" i="63"/>
  <c r="J27" i="63" s="1"/>
  <c r="E27" i="63"/>
  <c r="F27" i="63" s="1"/>
  <c r="V26" i="63"/>
  <c r="R26" i="63"/>
  <c r="S26" i="63" s="1"/>
  <c r="L26" i="63"/>
  <c r="M26" i="63" s="1"/>
  <c r="N26" i="63" s="1"/>
  <c r="I26" i="63"/>
  <c r="J26" i="63" s="1"/>
  <c r="F26" i="63"/>
  <c r="E26" i="63"/>
  <c r="V25" i="63"/>
  <c r="L25" i="63"/>
  <c r="M25" i="63" s="1"/>
  <c r="I25" i="63"/>
  <c r="J25" i="63" s="1"/>
  <c r="E25" i="63"/>
  <c r="F25" i="63" s="1"/>
  <c r="V24" i="63"/>
  <c r="S24" i="63"/>
  <c r="R24" i="63"/>
  <c r="L24" i="63"/>
  <c r="M24" i="63" s="1"/>
  <c r="E24" i="63"/>
  <c r="F24" i="63" s="1"/>
  <c r="V23" i="63"/>
  <c r="E23" i="63"/>
  <c r="F23" i="63" s="1"/>
  <c r="V22" i="63"/>
  <c r="L22" i="63"/>
  <c r="M22" i="63" s="1"/>
  <c r="E22" i="63"/>
  <c r="F22" i="63" s="1"/>
  <c r="V21" i="63"/>
  <c r="S21" i="63"/>
  <c r="R21" i="63"/>
  <c r="M21" i="63"/>
  <c r="N21" i="63" s="1"/>
  <c r="L21" i="63"/>
  <c r="I21" i="63"/>
  <c r="J21" i="63" s="1"/>
  <c r="E21" i="63"/>
  <c r="F21" i="63" s="1"/>
  <c r="V20" i="63"/>
  <c r="L20" i="63"/>
  <c r="M20" i="63" s="1"/>
  <c r="I20" i="63"/>
  <c r="J20" i="63" s="1"/>
  <c r="E20" i="63"/>
  <c r="F20" i="63" s="1"/>
  <c r="V19" i="63"/>
  <c r="L19" i="63"/>
  <c r="M19" i="63" s="1"/>
  <c r="E19" i="63"/>
  <c r="F19" i="63" s="1"/>
  <c r="V18" i="63"/>
  <c r="R18" i="63"/>
  <c r="S18" i="63" s="1"/>
  <c r="L18" i="63"/>
  <c r="M18" i="63" s="1"/>
  <c r="I18" i="63"/>
  <c r="J18" i="63" s="1"/>
  <c r="E18" i="63"/>
  <c r="F18" i="63" s="1"/>
  <c r="V17" i="63"/>
  <c r="L17" i="63"/>
  <c r="M17" i="63" s="1"/>
  <c r="I17" i="63"/>
  <c r="J17" i="63" s="1"/>
  <c r="E17" i="63"/>
  <c r="F17" i="63" s="1"/>
  <c r="V16" i="63"/>
  <c r="M16" i="63"/>
  <c r="L16" i="63"/>
  <c r="E16" i="63"/>
  <c r="F16" i="63" s="1"/>
  <c r="V15" i="63"/>
  <c r="R15" i="63"/>
  <c r="S15" i="63" s="1"/>
  <c r="L15" i="63"/>
  <c r="M15" i="63" s="1"/>
  <c r="N15" i="63" s="1"/>
  <c r="I15" i="63"/>
  <c r="J15" i="63" s="1"/>
  <c r="E15" i="63"/>
  <c r="F15" i="63" s="1"/>
  <c r="V14" i="63"/>
  <c r="R14" i="63"/>
  <c r="S14" i="63" s="1"/>
  <c r="L14" i="63"/>
  <c r="M14" i="63" s="1"/>
  <c r="I14" i="63"/>
  <c r="J14" i="63" s="1"/>
  <c r="E14" i="63"/>
  <c r="F14" i="63" s="1"/>
  <c r="V13" i="63"/>
  <c r="M13" i="63"/>
  <c r="L13" i="63"/>
  <c r="E13" i="63"/>
  <c r="F13" i="63" s="1"/>
  <c r="V12" i="63"/>
  <c r="R12" i="63"/>
  <c r="S12" i="63" s="1"/>
  <c r="L12" i="63"/>
  <c r="M12" i="63" s="1"/>
  <c r="N12" i="63" s="1"/>
  <c r="I12" i="63"/>
  <c r="J12" i="63" s="1"/>
  <c r="E12" i="63"/>
  <c r="F12" i="63" s="1"/>
  <c r="V11" i="63"/>
  <c r="R11" i="63"/>
  <c r="S11" i="63" s="1"/>
  <c r="M11" i="63"/>
  <c r="L11" i="63"/>
  <c r="E11" i="63"/>
  <c r="F11" i="63" s="1"/>
  <c r="V10" i="63"/>
  <c r="L10" i="63"/>
  <c r="M10" i="63" s="1"/>
  <c r="E10" i="63"/>
  <c r="F10" i="63" s="1"/>
  <c r="V9" i="63"/>
  <c r="R9" i="63"/>
  <c r="S9" i="63" s="1"/>
  <c r="L9" i="63"/>
  <c r="M9" i="63" s="1"/>
  <c r="I9" i="63"/>
  <c r="J9" i="63" s="1"/>
  <c r="E9" i="63"/>
  <c r="F9" i="63" s="1"/>
  <c r="V8" i="63"/>
  <c r="R8" i="63"/>
  <c r="S8" i="63" s="1"/>
  <c r="L8" i="63"/>
  <c r="M8" i="63" s="1"/>
  <c r="F8" i="63"/>
  <c r="E8" i="63"/>
  <c r="V7" i="63"/>
  <c r="R7" i="63"/>
  <c r="M7" i="63"/>
  <c r="L7" i="63"/>
  <c r="I7" i="63"/>
  <c r="E7" i="63"/>
  <c r="F7" i="63" s="1"/>
  <c r="N18" i="63" l="1"/>
  <c r="N20" i="63"/>
  <c r="N25" i="63"/>
  <c r="E58" i="63"/>
  <c r="N31" i="63"/>
  <c r="N38" i="63"/>
  <c r="N9" i="63"/>
  <c r="N17" i="63"/>
  <c r="N10" i="63"/>
  <c r="W16" i="63"/>
  <c r="N14" i="63"/>
  <c r="N49" i="63"/>
  <c r="N44" i="63"/>
  <c r="W28" i="63"/>
  <c r="N52" i="63"/>
  <c r="W14" i="63"/>
  <c r="N43" i="63"/>
  <c r="F58" i="63"/>
  <c r="G36" i="63" s="1"/>
  <c r="W10" i="63"/>
  <c r="I52" i="63"/>
  <c r="J52" i="63" s="1"/>
  <c r="I46" i="63"/>
  <c r="J46" i="63" s="1"/>
  <c r="N46" i="63" s="1"/>
  <c r="I40" i="63"/>
  <c r="J40" i="63" s="1"/>
  <c r="N40" i="63" s="1"/>
  <c r="I34" i="63"/>
  <c r="J34" i="63" s="1"/>
  <c r="N34" i="63" s="1"/>
  <c r="I28" i="63"/>
  <c r="J28" i="63" s="1"/>
  <c r="N28" i="63" s="1"/>
  <c r="I22" i="63"/>
  <c r="J22" i="63" s="1"/>
  <c r="N22" i="63" s="1"/>
  <c r="I16" i="63"/>
  <c r="J16" i="63" s="1"/>
  <c r="N16" i="63" s="1"/>
  <c r="I55" i="63"/>
  <c r="J55" i="63" s="1"/>
  <c r="N55" i="63" s="1"/>
  <c r="I49" i="63"/>
  <c r="J49" i="63" s="1"/>
  <c r="I41" i="63"/>
  <c r="J41" i="63" s="1"/>
  <c r="I32" i="63"/>
  <c r="J32" i="63" s="1"/>
  <c r="N32" i="63" s="1"/>
  <c r="I23" i="63"/>
  <c r="J23" i="63" s="1"/>
  <c r="I11" i="63"/>
  <c r="J11" i="63" s="1"/>
  <c r="N11" i="63" s="1"/>
  <c r="I54" i="63"/>
  <c r="J54" i="63" s="1"/>
  <c r="I48" i="63"/>
  <c r="J48" i="63" s="1"/>
  <c r="I39" i="63"/>
  <c r="J39" i="63" s="1"/>
  <c r="N39" i="63" s="1"/>
  <c r="I37" i="63"/>
  <c r="J37" i="63" s="1"/>
  <c r="N37" i="63" s="1"/>
  <c r="I19" i="63"/>
  <c r="J19" i="63" s="1"/>
  <c r="N19" i="63" s="1"/>
  <c r="I57" i="63"/>
  <c r="J57" i="63" s="1"/>
  <c r="N57" i="63" s="1"/>
  <c r="I51" i="63"/>
  <c r="J51" i="63" s="1"/>
  <c r="N51" i="63" s="1"/>
  <c r="I33" i="63"/>
  <c r="J33" i="63" s="1"/>
  <c r="N33" i="63" s="1"/>
  <c r="I13" i="63"/>
  <c r="J13" i="63" s="1"/>
  <c r="N13" i="63" s="1"/>
  <c r="I42" i="63"/>
  <c r="J42" i="63" s="1"/>
  <c r="N42" i="63" s="1"/>
  <c r="I24" i="63"/>
  <c r="J24" i="63" s="1"/>
  <c r="N24" i="63" s="1"/>
  <c r="I8" i="63"/>
  <c r="J8" i="63" s="1"/>
  <c r="N8" i="63" s="1"/>
  <c r="I56" i="63"/>
  <c r="J56" i="63" s="1"/>
  <c r="N56" i="63" s="1"/>
  <c r="I50" i="63"/>
  <c r="J50" i="63" s="1"/>
  <c r="N50" i="63" s="1"/>
  <c r="I45" i="63"/>
  <c r="J45" i="63" s="1"/>
  <c r="N45" i="63" s="1"/>
  <c r="I36" i="63"/>
  <c r="J36" i="63" s="1"/>
  <c r="N36" i="63" s="1"/>
  <c r="I10" i="63"/>
  <c r="J10" i="63" s="1"/>
  <c r="J7" i="63"/>
  <c r="N7" i="63" s="1"/>
  <c r="W17" i="63"/>
  <c r="W42" i="63"/>
  <c r="S7" i="63"/>
  <c r="I47" i="63"/>
  <c r="J47" i="63" s="1"/>
  <c r="N53" i="63"/>
  <c r="V58" i="63"/>
  <c r="W29" i="63" s="1"/>
  <c r="R19" i="63"/>
  <c r="S19" i="63" s="1"/>
  <c r="R30" i="63"/>
  <c r="S30" i="63" s="1"/>
  <c r="R37" i="63"/>
  <c r="S37" i="63" s="1"/>
  <c r="R48" i="63"/>
  <c r="S48" i="63" s="1"/>
  <c r="R55" i="63"/>
  <c r="S55" i="63" s="1"/>
  <c r="R49" i="63"/>
  <c r="S49" i="63" s="1"/>
  <c r="R52" i="63"/>
  <c r="S52" i="63" s="1"/>
  <c r="R53" i="63"/>
  <c r="S53" i="63" s="1"/>
  <c r="R47" i="63"/>
  <c r="S47" i="63" s="1"/>
  <c r="R41" i="63"/>
  <c r="S41" i="63" s="1"/>
  <c r="R35" i="63"/>
  <c r="S35" i="63" s="1"/>
  <c r="R29" i="63"/>
  <c r="S29" i="63" s="1"/>
  <c r="R23" i="63"/>
  <c r="S23" i="63" s="1"/>
  <c r="W54" i="63"/>
  <c r="R25" i="63"/>
  <c r="S25" i="63" s="1"/>
  <c r="R36" i="63"/>
  <c r="S36" i="63" s="1"/>
  <c r="R43" i="63"/>
  <c r="S43" i="63" s="1"/>
  <c r="R10" i="63"/>
  <c r="S10" i="63" s="1"/>
  <c r="W21" i="63"/>
  <c r="R27" i="63"/>
  <c r="S27" i="63" s="1"/>
  <c r="R17" i="63"/>
  <c r="S17" i="63" s="1"/>
  <c r="R20" i="63"/>
  <c r="S20" i="63" s="1"/>
  <c r="R22" i="63"/>
  <c r="S22" i="63" s="1"/>
  <c r="R38" i="63"/>
  <c r="S38" i="63" s="1"/>
  <c r="R40" i="63"/>
  <c r="S40" i="63" s="1"/>
  <c r="W45" i="63"/>
  <c r="R51" i="63"/>
  <c r="S51" i="63" s="1"/>
  <c r="R57" i="63"/>
  <c r="S57" i="63" s="1"/>
  <c r="R13" i="63"/>
  <c r="S13" i="63" s="1"/>
  <c r="R16" i="63"/>
  <c r="S16" i="63" s="1"/>
  <c r="N48" i="63"/>
  <c r="W51" i="63"/>
  <c r="N54" i="63"/>
  <c r="L58" i="63"/>
  <c r="L23" i="63"/>
  <c r="M23" i="63" s="1"/>
  <c r="N23" i="63" s="1"/>
  <c r="L29" i="63"/>
  <c r="M29" i="63" s="1"/>
  <c r="N29" i="63" s="1"/>
  <c r="L35" i="63"/>
  <c r="M35" i="63" s="1"/>
  <c r="N35" i="63" s="1"/>
  <c r="L41" i="63"/>
  <c r="M41" i="63" s="1"/>
  <c r="N41" i="63" s="1"/>
  <c r="L47" i="63"/>
  <c r="M47" i="63" s="1"/>
  <c r="W32" i="63" l="1"/>
  <c r="W50" i="63"/>
  <c r="W44" i="63"/>
  <c r="W22" i="63"/>
  <c r="W7" i="63"/>
  <c r="W13" i="63"/>
  <c r="W39" i="63"/>
  <c r="W48" i="63"/>
  <c r="W46" i="63"/>
  <c r="W40" i="63"/>
  <c r="W56" i="63"/>
  <c r="G28" i="63"/>
  <c r="G57" i="63"/>
  <c r="G43" i="63"/>
  <c r="G26" i="63"/>
  <c r="G47" i="63"/>
  <c r="G16" i="63"/>
  <c r="G55" i="63"/>
  <c r="I58" i="63"/>
  <c r="G50" i="63"/>
  <c r="G35" i="63"/>
  <c r="G22" i="63"/>
  <c r="T17" i="63"/>
  <c r="T23" i="63"/>
  <c r="T19" i="63"/>
  <c r="S58" i="63"/>
  <c r="T37" i="63" s="1"/>
  <c r="T7" i="63"/>
  <c r="G27" i="63"/>
  <c r="G7" i="63"/>
  <c r="G32" i="63"/>
  <c r="G24" i="63"/>
  <c r="G44" i="63"/>
  <c r="G41" i="63"/>
  <c r="R58" i="63"/>
  <c r="T20" i="63"/>
  <c r="G15" i="63"/>
  <c r="G11" i="63"/>
  <c r="G45" i="63"/>
  <c r="G31" i="63"/>
  <c r="G29" i="63"/>
  <c r="G21" i="63"/>
  <c r="G54" i="63"/>
  <c r="G48" i="63"/>
  <c r="G19" i="63"/>
  <c r="G39" i="63"/>
  <c r="G37" i="63"/>
  <c r="G10" i="63"/>
  <c r="G23" i="63"/>
  <c r="T35" i="63"/>
  <c r="G14" i="63"/>
  <c r="G53" i="63"/>
  <c r="G12" i="63"/>
  <c r="G20" i="63"/>
  <c r="T30" i="63"/>
  <c r="G49" i="63"/>
  <c r="N47" i="63"/>
  <c r="T16" i="63"/>
  <c r="T27" i="63"/>
  <c r="T41" i="63"/>
  <c r="W55" i="63"/>
  <c r="W49" i="63"/>
  <c r="W37" i="63"/>
  <c r="W19" i="63"/>
  <c r="W31" i="63"/>
  <c r="W11" i="63"/>
  <c r="W34" i="63"/>
  <c r="W8" i="63"/>
  <c r="W25" i="63"/>
  <c r="W18" i="63"/>
  <c r="W52" i="63"/>
  <c r="W43" i="63"/>
  <c r="W38" i="63"/>
  <c r="W12" i="63"/>
  <c r="W41" i="63"/>
  <c r="W36" i="63"/>
  <c r="W23" i="63"/>
  <c r="W53" i="63"/>
  <c r="W47" i="63"/>
  <c r="W20" i="63"/>
  <c r="G51" i="63"/>
  <c r="W9" i="63"/>
  <c r="W15" i="63"/>
  <c r="G46" i="63"/>
  <c r="W24" i="63"/>
  <c r="W35" i="63"/>
  <c r="T13" i="63"/>
  <c r="T47" i="63"/>
  <c r="M58" i="63"/>
  <c r="G34" i="63"/>
  <c r="G33" i="63"/>
  <c r="T57" i="63"/>
  <c r="T53" i="63"/>
  <c r="W33" i="63"/>
  <c r="W27" i="63"/>
  <c r="W26" i="63"/>
  <c r="T51" i="63"/>
  <c r="T10" i="63"/>
  <c r="T52" i="63"/>
  <c r="G25" i="63"/>
  <c r="G18" i="63"/>
  <c r="T43" i="63"/>
  <c r="T49" i="63"/>
  <c r="G56" i="63"/>
  <c r="G13" i="63"/>
  <c r="T40" i="63"/>
  <c r="T36" i="63"/>
  <c r="T55" i="63"/>
  <c r="G30" i="63"/>
  <c r="G40" i="63"/>
  <c r="G9" i="63"/>
  <c r="G8" i="63"/>
  <c r="W57" i="63"/>
  <c r="T38" i="63"/>
  <c r="T25" i="63"/>
  <c r="T48" i="63"/>
  <c r="G38" i="63"/>
  <c r="J58" i="63"/>
  <c r="G52" i="63"/>
  <c r="W30" i="63"/>
  <c r="G42" i="63"/>
  <c r="G17" i="63"/>
  <c r="N58" i="63" l="1"/>
  <c r="G58" i="63"/>
  <c r="T26" i="63"/>
  <c r="T14" i="63"/>
  <c r="T28" i="63"/>
  <c r="T8" i="63"/>
  <c r="T42" i="63"/>
  <c r="T34" i="63"/>
  <c r="T54" i="63"/>
  <c r="T11" i="63"/>
  <c r="T32" i="63"/>
  <c r="T21" i="63"/>
  <c r="T33" i="63"/>
  <c r="T46" i="63"/>
  <c r="T56" i="63"/>
  <c r="T44" i="63"/>
  <c r="T45" i="63"/>
  <c r="T15" i="63"/>
  <c r="T39" i="63"/>
  <c r="T50" i="63"/>
  <c r="T31" i="63"/>
  <c r="T18" i="63"/>
  <c r="T24" i="63"/>
  <c r="T12" i="63"/>
  <c r="T9" i="63"/>
  <c r="T22" i="63"/>
  <c r="T29" i="63"/>
  <c r="W58" i="63"/>
  <c r="T58" i="63" l="1"/>
  <c r="W47" i="61" l="1"/>
  <c r="B14" i="41"/>
  <c r="B10" i="41"/>
  <c r="F11" i="41"/>
  <c r="P3" i="55" s="1"/>
  <c r="F12" i="41"/>
  <c r="I27" i="46" l="1"/>
  <c r="R27" i="46" s="1"/>
  <c r="I50" i="46"/>
  <c r="R50" i="46" s="1"/>
  <c r="I51" i="46"/>
  <c r="R51" i="46" s="1"/>
  <c r="I15" i="46"/>
  <c r="R15" i="46" s="1"/>
  <c r="I32" i="46"/>
  <c r="R32" i="46" s="1"/>
  <c r="I25" i="46"/>
  <c r="R25" i="46" s="1"/>
  <c r="I28" i="46"/>
  <c r="R28" i="46" s="1"/>
  <c r="I22" i="46"/>
  <c r="R22" i="46" s="1"/>
  <c r="I29" i="46"/>
  <c r="R29" i="46" s="1"/>
  <c r="I31" i="46"/>
  <c r="R31" i="46" s="1"/>
  <c r="I12" i="46"/>
  <c r="R12" i="46" s="1"/>
  <c r="I56" i="46"/>
  <c r="R56" i="46" s="1"/>
  <c r="I24" i="46"/>
  <c r="R24" i="46" s="1"/>
  <c r="I37" i="46"/>
  <c r="R37" i="46" s="1"/>
  <c r="I54" i="46"/>
  <c r="R54" i="46" s="1"/>
  <c r="I17" i="46"/>
  <c r="R17" i="46" s="1"/>
  <c r="I33" i="46"/>
  <c r="R33" i="46" s="1"/>
  <c r="I40" i="46"/>
  <c r="R40" i="46" s="1"/>
  <c r="I46" i="46"/>
  <c r="R46" i="46" s="1"/>
  <c r="I7" i="46"/>
  <c r="R7" i="46" s="1"/>
  <c r="I43" i="46"/>
  <c r="R43" i="46" s="1"/>
  <c r="I48" i="46"/>
  <c r="R48" i="46" s="1"/>
  <c r="I35" i="46"/>
  <c r="R35" i="46" s="1"/>
  <c r="I57" i="46"/>
  <c r="R57" i="46" s="1"/>
  <c r="I14" i="46"/>
  <c r="R14" i="46" s="1"/>
  <c r="I20" i="46"/>
  <c r="R20" i="46" s="1"/>
  <c r="I8" i="46"/>
  <c r="R8" i="46" s="1"/>
  <c r="I47" i="46"/>
  <c r="R47" i="46" s="1"/>
  <c r="I18" i="46"/>
  <c r="R18" i="46" s="1"/>
  <c r="I34" i="46"/>
  <c r="R34" i="46" s="1"/>
  <c r="I41" i="46"/>
  <c r="R41" i="46" s="1"/>
  <c r="I45" i="46"/>
  <c r="R45" i="46" s="1"/>
  <c r="I19" i="46"/>
  <c r="R19" i="46" s="1"/>
  <c r="I23" i="46"/>
  <c r="R23" i="46" s="1"/>
  <c r="I53" i="46"/>
  <c r="R53" i="46" s="1"/>
  <c r="I13" i="46"/>
  <c r="R13" i="46" s="1"/>
  <c r="I38" i="46"/>
  <c r="R38" i="46" s="1"/>
  <c r="I30" i="46"/>
  <c r="R30" i="46" s="1"/>
  <c r="I9" i="46"/>
  <c r="R9" i="46" s="1"/>
  <c r="I55" i="46"/>
  <c r="R55" i="46" s="1"/>
  <c r="I49" i="46"/>
  <c r="R49" i="46" s="1"/>
  <c r="I21" i="46"/>
  <c r="R21" i="46" s="1"/>
  <c r="I11" i="46"/>
  <c r="R11" i="46" s="1"/>
  <c r="I10" i="46"/>
  <c r="R10" i="46" s="1"/>
  <c r="I44" i="46"/>
  <c r="R44" i="46" s="1"/>
  <c r="I36" i="46"/>
  <c r="R36" i="46" s="1"/>
  <c r="I39" i="46"/>
  <c r="R39" i="46" s="1"/>
  <c r="I52" i="46"/>
  <c r="R52" i="46" s="1"/>
  <c r="I26" i="46"/>
  <c r="R26" i="46" s="1"/>
  <c r="I16" i="46"/>
  <c r="R16" i="46" s="1"/>
  <c r="I42" i="46"/>
  <c r="R42" i="46" s="1"/>
  <c r="W51" i="61"/>
  <c r="W16" i="61"/>
  <c r="W12" i="61"/>
  <c r="W24" i="61"/>
  <c r="W36" i="61"/>
  <c r="W48" i="61"/>
  <c r="W13" i="61"/>
  <c r="W25" i="61"/>
  <c r="W37" i="61"/>
  <c r="W49" i="61"/>
  <c r="W14" i="61"/>
  <c r="W26" i="61"/>
  <c r="W38" i="61"/>
  <c r="W50" i="61"/>
  <c r="W39" i="61"/>
  <c r="W40" i="61"/>
  <c r="W17" i="61"/>
  <c r="W41" i="61"/>
  <c r="W53" i="61"/>
  <c r="W6" i="61"/>
  <c r="W18" i="61"/>
  <c r="W30" i="61"/>
  <c r="W42" i="61"/>
  <c r="W54" i="61"/>
  <c r="W15" i="61"/>
  <c r="W52" i="61"/>
  <c r="W31" i="61"/>
  <c r="W55" i="61"/>
  <c r="W8" i="61"/>
  <c r="W20" i="61"/>
  <c r="W32" i="61"/>
  <c r="W44" i="61"/>
  <c r="W56" i="61"/>
  <c r="W27" i="61"/>
  <c r="W28" i="61"/>
  <c r="W19" i="61"/>
  <c r="W43" i="61"/>
  <c r="W9" i="61"/>
  <c r="W21" i="61"/>
  <c r="W33" i="61"/>
  <c r="W45" i="61"/>
  <c r="W29" i="61"/>
  <c r="W7" i="61"/>
  <c r="W10" i="61"/>
  <c r="W22" i="61"/>
  <c r="W34" i="61"/>
  <c r="W46" i="61"/>
  <c r="W11" i="61"/>
  <c r="W23" i="61"/>
  <c r="W35" i="61"/>
  <c r="B15" i="41"/>
  <c r="W57" i="61" l="1"/>
  <c r="C22" i="62"/>
  <c r="B22" i="62"/>
  <c r="B23" i="62" s="1"/>
  <c r="B14" i="62"/>
  <c r="D13" i="62"/>
  <c r="D12" i="62"/>
  <c r="D11" i="62"/>
  <c r="E10" i="62"/>
  <c r="B10" i="62"/>
  <c r="D9" i="62"/>
  <c r="F9" i="62" s="1"/>
  <c r="D8" i="62"/>
  <c r="F8" i="62" s="1"/>
  <c r="D7" i="62"/>
  <c r="F7" i="62" s="1"/>
  <c r="D6" i="62"/>
  <c r="F6" i="62" s="1"/>
  <c r="D5" i="62"/>
  <c r="F5" i="62" s="1"/>
  <c r="D4" i="62"/>
  <c r="F4" i="62" s="1"/>
  <c r="K57" i="61"/>
  <c r="J57" i="61"/>
  <c r="I57" i="61"/>
  <c r="G57" i="61"/>
  <c r="E57" i="61"/>
  <c r="C57" i="61"/>
  <c r="D45" i="61" l="1"/>
  <c r="D17" i="61"/>
  <c r="D48" i="61"/>
  <c r="D32" i="61"/>
  <c r="D16" i="61"/>
  <c r="D55" i="61"/>
  <c r="D51" i="61"/>
  <c r="D47" i="61"/>
  <c r="L47" i="61" s="1"/>
  <c r="D43" i="61"/>
  <c r="D39" i="61"/>
  <c r="D35" i="61"/>
  <c r="D31" i="61"/>
  <c r="L31" i="61" s="1"/>
  <c r="D27" i="61"/>
  <c r="D23" i="61"/>
  <c r="D19" i="61"/>
  <c r="D15" i="61"/>
  <c r="L15" i="61" s="1"/>
  <c r="D11" i="61"/>
  <c r="D7" i="61"/>
  <c r="D49" i="61"/>
  <c r="D37" i="61"/>
  <c r="D29" i="61"/>
  <c r="D21" i="61"/>
  <c r="D9" i="61"/>
  <c r="D56" i="61"/>
  <c r="D44" i="61"/>
  <c r="D36" i="61"/>
  <c r="D24" i="61"/>
  <c r="D12" i="61"/>
  <c r="D54" i="61"/>
  <c r="D50" i="61"/>
  <c r="D46" i="61"/>
  <c r="D42" i="61"/>
  <c r="D38" i="61"/>
  <c r="D34" i="61"/>
  <c r="D30" i="61"/>
  <c r="D26" i="61"/>
  <c r="D22" i="61"/>
  <c r="D18" i="61"/>
  <c r="D14" i="61"/>
  <c r="D10" i="61"/>
  <c r="D6" i="61"/>
  <c r="D53" i="61"/>
  <c r="D41" i="61"/>
  <c r="D33" i="61"/>
  <c r="L33" i="61" s="1"/>
  <c r="D25" i="61"/>
  <c r="D13" i="61"/>
  <c r="D52" i="61"/>
  <c r="D40" i="61"/>
  <c r="D28" i="61"/>
  <c r="D20" i="61"/>
  <c r="D8" i="61"/>
  <c r="F53" i="61"/>
  <c r="F49" i="61"/>
  <c r="F45" i="61"/>
  <c r="F41" i="61"/>
  <c r="F37" i="61"/>
  <c r="F33" i="61"/>
  <c r="F29" i="61"/>
  <c r="F25" i="61"/>
  <c r="F21" i="61"/>
  <c r="F17" i="61"/>
  <c r="F13" i="61"/>
  <c r="F9" i="61"/>
  <c r="F56" i="61"/>
  <c r="F48" i="61"/>
  <c r="F36" i="61"/>
  <c r="F28" i="61"/>
  <c r="F12" i="61"/>
  <c r="F55" i="61"/>
  <c r="F51" i="61"/>
  <c r="F47" i="61"/>
  <c r="F43" i="61"/>
  <c r="F39" i="61"/>
  <c r="F35" i="61"/>
  <c r="F31" i="61"/>
  <c r="F27" i="61"/>
  <c r="F23" i="61"/>
  <c r="F19" i="61"/>
  <c r="F15" i="61"/>
  <c r="F11" i="61"/>
  <c r="F7" i="61"/>
  <c r="F52" i="61"/>
  <c r="F44" i="61"/>
  <c r="F32" i="61"/>
  <c r="F20" i="61"/>
  <c r="F16" i="61"/>
  <c r="F54" i="61"/>
  <c r="F50" i="61"/>
  <c r="F46" i="61"/>
  <c r="F42" i="61"/>
  <c r="F38" i="61"/>
  <c r="F34" i="61"/>
  <c r="F30" i="61"/>
  <c r="F26" i="61"/>
  <c r="F22" i="61"/>
  <c r="F18" i="61"/>
  <c r="F14" i="61"/>
  <c r="F10" i="61"/>
  <c r="F6" i="61"/>
  <c r="F40" i="61"/>
  <c r="F24" i="61"/>
  <c r="F8" i="61"/>
  <c r="F10" i="62"/>
  <c r="D14" i="62"/>
  <c r="B45" i="61"/>
  <c r="B29" i="61"/>
  <c r="B48" i="61"/>
  <c r="B28" i="61"/>
  <c r="B55" i="61"/>
  <c r="B51" i="61"/>
  <c r="B47" i="61"/>
  <c r="B43" i="61"/>
  <c r="B39" i="61"/>
  <c r="B35" i="61"/>
  <c r="B31" i="61"/>
  <c r="B27" i="61"/>
  <c r="B23" i="61"/>
  <c r="B19" i="61"/>
  <c r="B15" i="61"/>
  <c r="B11" i="61"/>
  <c r="B7" i="61"/>
  <c r="B53" i="61"/>
  <c r="B49" i="61"/>
  <c r="B41" i="61"/>
  <c r="B37" i="61"/>
  <c r="B33" i="61"/>
  <c r="B25" i="61"/>
  <c r="B17" i="61"/>
  <c r="B9" i="61"/>
  <c r="B56" i="61"/>
  <c r="B44" i="61"/>
  <c r="B36" i="61"/>
  <c r="B54" i="61"/>
  <c r="B50" i="61"/>
  <c r="B46" i="61"/>
  <c r="B42" i="61"/>
  <c r="B38" i="61"/>
  <c r="B34" i="61"/>
  <c r="B30" i="61"/>
  <c r="B26" i="61"/>
  <c r="B22" i="61"/>
  <c r="B18" i="61"/>
  <c r="B14" i="61"/>
  <c r="B10" i="61"/>
  <c r="B6" i="61"/>
  <c r="B21" i="61"/>
  <c r="B13" i="61"/>
  <c r="B52" i="61"/>
  <c r="B40" i="61"/>
  <c r="B32" i="61"/>
  <c r="B24" i="61"/>
  <c r="B8" i="61"/>
  <c r="B20" i="61"/>
  <c r="B12" i="61"/>
  <c r="B16" i="61"/>
  <c r="H53" i="61"/>
  <c r="H49" i="61"/>
  <c r="H45" i="61"/>
  <c r="H41" i="61"/>
  <c r="H37" i="61"/>
  <c r="H33" i="61"/>
  <c r="H29" i="61"/>
  <c r="H25" i="61"/>
  <c r="H21" i="61"/>
  <c r="H17" i="61"/>
  <c r="H13" i="61"/>
  <c r="H9" i="61"/>
  <c r="H48" i="61"/>
  <c r="H36" i="61"/>
  <c r="H28" i="61"/>
  <c r="H16" i="61"/>
  <c r="H56" i="61"/>
  <c r="H55" i="61"/>
  <c r="H51" i="61"/>
  <c r="H47" i="61"/>
  <c r="H43" i="61"/>
  <c r="H39" i="61"/>
  <c r="H35" i="61"/>
  <c r="H31" i="61"/>
  <c r="H27" i="61"/>
  <c r="H23" i="61"/>
  <c r="H19" i="61"/>
  <c r="H15" i="61"/>
  <c r="H11" i="61"/>
  <c r="H7" i="61"/>
  <c r="H52" i="61"/>
  <c r="H44" i="61"/>
  <c r="H40" i="61"/>
  <c r="H32" i="61"/>
  <c r="H24" i="61"/>
  <c r="H20" i="61"/>
  <c r="H12" i="61"/>
  <c r="H54" i="61"/>
  <c r="H50" i="61"/>
  <c r="H46" i="61"/>
  <c r="H42" i="61"/>
  <c r="H38" i="61"/>
  <c r="H34" i="61"/>
  <c r="H30" i="61"/>
  <c r="H26" i="61"/>
  <c r="H22" i="61"/>
  <c r="H18" i="61"/>
  <c r="H14" i="61"/>
  <c r="H10" i="61"/>
  <c r="H6" i="61"/>
  <c r="H8" i="61"/>
  <c r="B15" i="62"/>
  <c r="D10" i="62"/>
  <c r="L42" i="61" l="1"/>
  <c r="L37" i="61"/>
  <c r="F15" i="62"/>
  <c r="AE5" i="63"/>
  <c r="F57" i="61"/>
  <c r="L8" i="61"/>
  <c r="L52" i="61"/>
  <c r="L41" i="61"/>
  <c r="L14" i="61"/>
  <c r="L30" i="61"/>
  <c r="L46" i="61"/>
  <c r="L24" i="61"/>
  <c r="L9" i="61"/>
  <c r="L49" i="61"/>
  <c r="L19" i="61"/>
  <c r="L35" i="61"/>
  <c r="L51" i="61"/>
  <c r="L48" i="61"/>
  <c r="L40" i="61"/>
  <c r="L26" i="61"/>
  <c r="L12" i="61"/>
  <c r="L56" i="61"/>
  <c r="L32" i="61"/>
  <c r="L20" i="61"/>
  <c r="L13" i="61"/>
  <c r="L53" i="61"/>
  <c r="L18" i="61"/>
  <c r="L34" i="61"/>
  <c r="L50" i="61"/>
  <c r="L36" i="61"/>
  <c r="L21" i="61"/>
  <c r="L7" i="61"/>
  <c r="L23" i="61"/>
  <c r="L39" i="61"/>
  <c r="L55" i="61"/>
  <c r="L17" i="61"/>
  <c r="L10" i="61"/>
  <c r="D15" i="62"/>
  <c r="H57" i="61"/>
  <c r="B57" i="61"/>
  <c r="L28" i="61"/>
  <c r="L25" i="61"/>
  <c r="D57" i="61"/>
  <c r="L6" i="61"/>
  <c r="L22" i="61"/>
  <c r="L38" i="61"/>
  <c r="L54" i="61"/>
  <c r="L44" i="61"/>
  <c r="L29" i="61"/>
  <c r="L11" i="61"/>
  <c r="L27" i="61"/>
  <c r="L43" i="61"/>
  <c r="L16" i="61"/>
  <c r="L45" i="61"/>
  <c r="D14" i="41"/>
  <c r="L57" i="61" l="1"/>
  <c r="AD5" i="63"/>
  <c r="AC5" i="63"/>
  <c r="AB5" i="63"/>
  <c r="D15" i="41"/>
  <c r="AC15" i="63" l="1"/>
  <c r="AC12" i="63"/>
  <c r="AC31" i="63"/>
  <c r="AC30" i="63"/>
  <c r="AC25" i="63"/>
  <c r="AC38" i="63"/>
  <c r="AC20" i="63"/>
  <c r="AC18" i="63"/>
  <c r="AC21" i="63"/>
  <c r="AC27" i="63"/>
  <c r="AC26" i="63"/>
  <c r="AC33" i="63"/>
  <c r="AC39" i="63"/>
  <c r="AC41" i="63"/>
  <c r="AC57" i="63"/>
  <c r="AC45" i="63"/>
  <c r="AC13" i="63"/>
  <c r="AC43" i="63"/>
  <c r="AC29" i="63"/>
  <c r="AC28" i="63"/>
  <c r="AC48" i="63"/>
  <c r="AC17" i="63"/>
  <c r="AC8" i="63"/>
  <c r="AC34" i="63"/>
  <c r="AC32" i="63"/>
  <c r="AC49" i="63"/>
  <c r="AC19" i="63"/>
  <c r="AC52" i="63"/>
  <c r="AC23" i="63"/>
  <c r="AC35" i="63"/>
  <c r="AC36" i="63"/>
  <c r="AC9" i="63"/>
  <c r="AC42" i="63"/>
  <c r="AC44" i="63"/>
  <c r="AC46" i="63"/>
  <c r="AC55" i="63"/>
  <c r="AC51" i="63"/>
  <c r="AC50" i="63"/>
  <c r="AC16" i="63"/>
  <c r="AC54" i="63"/>
  <c r="AC22" i="63"/>
  <c r="AC24" i="63"/>
  <c r="AC37" i="63"/>
  <c r="AC7" i="63"/>
  <c r="AC10" i="63"/>
  <c r="AC40" i="63"/>
  <c r="AC56" i="63"/>
  <c r="AC14" i="63"/>
  <c r="AC53" i="63"/>
  <c r="AC11" i="63"/>
  <c r="AC47" i="63"/>
  <c r="AB36" i="63"/>
  <c r="AB55" i="63"/>
  <c r="AB19" i="63"/>
  <c r="AB27" i="63"/>
  <c r="AB20" i="63"/>
  <c r="AB47" i="63"/>
  <c r="AB8" i="63"/>
  <c r="AB10" i="63"/>
  <c r="AB24" i="63"/>
  <c r="AB21" i="63"/>
  <c r="AB9" i="63"/>
  <c r="AB37" i="63"/>
  <c r="AB22" i="63"/>
  <c r="AB38" i="63"/>
  <c r="AB28" i="63"/>
  <c r="AB30" i="63"/>
  <c r="AB29" i="63"/>
  <c r="AB34" i="63"/>
  <c r="AB39" i="63"/>
  <c r="AB48" i="63"/>
  <c r="AB33" i="63"/>
  <c r="AB54" i="63"/>
  <c r="AB16" i="63"/>
  <c r="AB7" i="63"/>
  <c r="AB11" i="63"/>
  <c r="AB18" i="63"/>
  <c r="AB44" i="63"/>
  <c r="AB35" i="63"/>
  <c r="AB25" i="63"/>
  <c r="AB40" i="63"/>
  <c r="AB32" i="63"/>
  <c r="AB42" i="63"/>
  <c r="AB13" i="63"/>
  <c r="AB12" i="63"/>
  <c r="AB15" i="63"/>
  <c r="AB50" i="63"/>
  <c r="AB41" i="63"/>
  <c r="AB56" i="63"/>
  <c r="AB49" i="63"/>
  <c r="AB31" i="63"/>
  <c r="AB17" i="63"/>
  <c r="AB52" i="63"/>
  <c r="AB45" i="63"/>
  <c r="AB57" i="63"/>
  <c r="AB51" i="63"/>
  <c r="AB23" i="63"/>
  <c r="AB26" i="63"/>
  <c r="AB46" i="63"/>
  <c r="AB53" i="63"/>
  <c r="AB43" i="63"/>
  <c r="AB14" i="63"/>
  <c r="X50" i="63"/>
  <c r="X17" i="63"/>
  <c r="X28" i="63"/>
  <c r="X56" i="63"/>
  <c r="X42" i="63"/>
  <c r="X16" i="63"/>
  <c r="X45" i="63"/>
  <c r="X51" i="63"/>
  <c r="X10" i="63"/>
  <c r="X14" i="63"/>
  <c r="X21" i="63"/>
  <c r="X54" i="63"/>
  <c r="X29" i="63"/>
  <c r="U37" i="63"/>
  <c r="X12" i="63"/>
  <c r="X57" i="63"/>
  <c r="U51" i="63"/>
  <c r="Y51" i="63" s="1"/>
  <c r="X23" i="63"/>
  <c r="Y23" i="63" s="1"/>
  <c r="X55" i="63"/>
  <c r="X39" i="63"/>
  <c r="U43" i="63"/>
  <c r="X26" i="63"/>
  <c r="Y26" i="63" s="1"/>
  <c r="X20" i="63"/>
  <c r="X19" i="63"/>
  <c r="X40" i="63"/>
  <c r="U10" i="63"/>
  <c r="Y10" i="63" s="1"/>
  <c r="X27" i="63"/>
  <c r="X47" i="63"/>
  <c r="X37" i="63"/>
  <c r="X13" i="63"/>
  <c r="X15" i="63"/>
  <c r="U40" i="63"/>
  <c r="Y40" i="63" s="1"/>
  <c r="X49" i="63"/>
  <c r="U53" i="63"/>
  <c r="X38" i="63"/>
  <c r="U23" i="63"/>
  <c r="X7" i="63"/>
  <c r="X48" i="63"/>
  <c r="U55" i="63"/>
  <c r="U57" i="63"/>
  <c r="X36" i="63"/>
  <c r="Y36" i="63" s="1"/>
  <c r="U41" i="63"/>
  <c r="U17" i="63"/>
  <c r="X44" i="63"/>
  <c r="X9" i="63"/>
  <c r="U19" i="63"/>
  <c r="U36" i="63"/>
  <c r="X41" i="63"/>
  <c r="U27" i="63"/>
  <c r="X32" i="63"/>
  <c r="X31" i="63"/>
  <c r="U38" i="63"/>
  <c r="X8" i="63"/>
  <c r="U20" i="63"/>
  <c r="U25" i="63"/>
  <c r="X34" i="63"/>
  <c r="U7" i="63"/>
  <c r="X33" i="63"/>
  <c r="U35" i="63"/>
  <c r="X24" i="63"/>
  <c r="X25" i="63"/>
  <c r="Y25" i="63" s="1"/>
  <c r="X22" i="63"/>
  <c r="X53" i="63"/>
  <c r="X30" i="63"/>
  <c r="Y30" i="63" s="1"/>
  <c r="U47" i="63"/>
  <c r="X43" i="63"/>
  <c r="Y43" i="63" s="1"/>
  <c r="X18" i="63"/>
  <c r="U49" i="63"/>
  <c r="U13" i="63"/>
  <c r="X52" i="63"/>
  <c r="Y52" i="63" s="1"/>
  <c r="U30" i="63"/>
  <c r="X35" i="63"/>
  <c r="Y35" i="63" s="1"/>
  <c r="X11" i="63"/>
  <c r="U48" i="63"/>
  <c r="Y48" i="63" s="1"/>
  <c r="U16" i="63"/>
  <c r="U52" i="63"/>
  <c r="X46" i="63"/>
  <c r="U29" i="63"/>
  <c r="Y29" i="63" s="1"/>
  <c r="U11" i="63"/>
  <c r="U18" i="63"/>
  <c r="Y18" i="63" s="1"/>
  <c r="U54" i="63"/>
  <c r="Y54" i="63" s="1"/>
  <c r="U31" i="63"/>
  <c r="Y31" i="63" s="1"/>
  <c r="U50" i="63"/>
  <c r="Y50" i="63" s="1"/>
  <c r="U14" i="63"/>
  <c r="U24" i="63"/>
  <c r="Y24" i="63" s="1"/>
  <c r="U44" i="63"/>
  <c r="Y44" i="63" s="1"/>
  <c r="U56" i="63"/>
  <c r="Y56" i="63" s="1"/>
  <c r="U8" i="63"/>
  <c r="Y8" i="63" s="1"/>
  <c r="U46" i="63"/>
  <c r="Y46" i="63" s="1"/>
  <c r="U33" i="63"/>
  <c r="Y33" i="63" s="1"/>
  <c r="U26" i="63"/>
  <c r="U39" i="63"/>
  <c r="Y39" i="63" s="1"/>
  <c r="U9" i="63"/>
  <c r="Y9" i="63" s="1"/>
  <c r="U42" i="63"/>
  <c r="Y42" i="63" s="1"/>
  <c r="U28" i="63"/>
  <c r="Y28" i="63" s="1"/>
  <c r="U21" i="63"/>
  <c r="Y21" i="63" s="1"/>
  <c r="U15" i="63"/>
  <c r="Y15" i="63" s="1"/>
  <c r="U32" i="63"/>
  <c r="Y32" i="63" s="1"/>
  <c r="U45" i="63"/>
  <c r="Y45" i="63" s="1"/>
  <c r="U22" i="63"/>
  <c r="U12" i="63"/>
  <c r="Y12" i="63" s="1"/>
  <c r="U34" i="63"/>
  <c r="Y34" i="63" s="1"/>
  <c r="AC58" i="63" l="1"/>
  <c r="Y13" i="63"/>
  <c r="U58" i="63"/>
  <c r="X58" i="63"/>
  <c r="Y7" i="63"/>
  <c r="Y49" i="63"/>
  <c r="Y37" i="63"/>
  <c r="AB58" i="63"/>
  <c r="Y22" i="63"/>
  <c r="Y14" i="63"/>
  <c r="Y41" i="63"/>
  <c r="Y47" i="63"/>
  <c r="Y19" i="63"/>
  <c r="Y57" i="63"/>
  <c r="Y11" i="63"/>
  <c r="Y16" i="63"/>
  <c r="Y53" i="63"/>
  <c r="Y17" i="63"/>
  <c r="Y38" i="63"/>
  <c r="Y27" i="63"/>
  <c r="Y20" i="63"/>
  <c r="Y55" i="63"/>
  <c r="Z20" i="63" l="1"/>
  <c r="AD20" i="63" s="1"/>
  <c r="AE20" i="63" s="1"/>
  <c r="Z17" i="63"/>
  <c r="AD17" i="63" s="1"/>
  <c r="AE17" i="63" s="1"/>
  <c r="Z16" i="63"/>
  <c r="AD16" i="63" s="1"/>
  <c r="AE16" i="63" s="1"/>
  <c r="Z22" i="63"/>
  <c r="AD22" i="63" s="1"/>
  <c r="AE22" i="63" s="1"/>
  <c r="Z38" i="63"/>
  <c r="AD38" i="63" s="1"/>
  <c r="AE38" i="63" s="1"/>
  <c r="Y58" i="63"/>
  <c r="Z41" i="63" s="1"/>
  <c r="AD41" i="63" s="1"/>
  <c r="AE41" i="63" s="1"/>
  <c r="Z7" i="63"/>
  <c r="AD7" i="63" l="1"/>
  <c r="Z27" i="63"/>
  <c r="AD27" i="63" s="1"/>
  <c r="AE27" i="63" s="1"/>
  <c r="Z37" i="63"/>
  <c r="AD37" i="63" s="1"/>
  <c r="AE37" i="63" s="1"/>
  <c r="Z42" i="63"/>
  <c r="AD42" i="63" s="1"/>
  <c r="AE42" i="63" s="1"/>
  <c r="Z46" i="63"/>
  <c r="AD46" i="63" s="1"/>
  <c r="AE46" i="63" s="1"/>
  <c r="Z25" i="63"/>
  <c r="AD25" i="63" s="1"/>
  <c r="AE25" i="63" s="1"/>
  <c r="Z29" i="63"/>
  <c r="AD29" i="63" s="1"/>
  <c r="AE29" i="63" s="1"/>
  <c r="Z21" i="63"/>
  <c r="AD21" i="63" s="1"/>
  <c r="AE21" i="63" s="1"/>
  <c r="Z18" i="63"/>
  <c r="AD18" i="63" s="1"/>
  <c r="AE18" i="63" s="1"/>
  <c r="Z40" i="63"/>
  <c r="AD40" i="63" s="1"/>
  <c r="AE40" i="63" s="1"/>
  <c r="Z32" i="63"/>
  <c r="AD32" i="63" s="1"/>
  <c r="AE32" i="63" s="1"/>
  <c r="Z45" i="63"/>
  <c r="AD45" i="63" s="1"/>
  <c r="AE45" i="63" s="1"/>
  <c r="Z50" i="63"/>
  <c r="AD50" i="63" s="1"/>
  <c r="AE50" i="63" s="1"/>
  <c r="Z31" i="63"/>
  <c r="AD31" i="63" s="1"/>
  <c r="AE31" i="63" s="1"/>
  <c r="Z12" i="63"/>
  <c r="AD12" i="63" s="1"/>
  <c r="AE12" i="63" s="1"/>
  <c r="Z24" i="63"/>
  <c r="AD24" i="63" s="1"/>
  <c r="AE24" i="63" s="1"/>
  <c r="Z43" i="63"/>
  <c r="AD43" i="63" s="1"/>
  <c r="AE43" i="63" s="1"/>
  <c r="Z39" i="63"/>
  <c r="AD39" i="63" s="1"/>
  <c r="AE39" i="63" s="1"/>
  <c r="Z35" i="63"/>
  <c r="AD35" i="63" s="1"/>
  <c r="AE35" i="63" s="1"/>
  <c r="Z44" i="63"/>
  <c r="AD44" i="63" s="1"/>
  <c r="AE44" i="63" s="1"/>
  <c r="Z28" i="63"/>
  <c r="AD28" i="63" s="1"/>
  <c r="AE28" i="63" s="1"/>
  <c r="Z51" i="63"/>
  <c r="AD51" i="63" s="1"/>
  <c r="AE51" i="63" s="1"/>
  <c r="Z33" i="63"/>
  <c r="AD33" i="63" s="1"/>
  <c r="AE33" i="63" s="1"/>
  <c r="Z10" i="63"/>
  <c r="AD10" i="63" s="1"/>
  <c r="AE10" i="63" s="1"/>
  <c r="Z52" i="63"/>
  <c r="AD52" i="63" s="1"/>
  <c r="AE52" i="63" s="1"/>
  <c r="Z15" i="63"/>
  <c r="AD15" i="63" s="1"/>
  <c r="AE15" i="63" s="1"/>
  <c r="Z54" i="63"/>
  <c r="AD54" i="63" s="1"/>
  <c r="AE54" i="63" s="1"/>
  <c r="Z36" i="63"/>
  <c r="AD36" i="63" s="1"/>
  <c r="AE36" i="63" s="1"/>
  <c r="Z34" i="63"/>
  <c r="AD34" i="63" s="1"/>
  <c r="AE34" i="63" s="1"/>
  <c r="Z26" i="63"/>
  <c r="AD26" i="63" s="1"/>
  <c r="AE26" i="63" s="1"/>
  <c r="Z8" i="63"/>
  <c r="AD8" i="63" s="1"/>
  <c r="AE8" i="63" s="1"/>
  <c r="Z30" i="63"/>
  <c r="AD30" i="63" s="1"/>
  <c r="AE30" i="63" s="1"/>
  <c r="Z48" i="63"/>
  <c r="AD48" i="63" s="1"/>
  <c r="AE48" i="63" s="1"/>
  <c r="Z56" i="63"/>
  <c r="AD56" i="63" s="1"/>
  <c r="AE56" i="63" s="1"/>
  <c r="Z23" i="63"/>
  <c r="AD23" i="63" s="1"/>
  <c r="AE23" i="63" s="1"/>
  <c r="Z9" i="63"/>
  <c r="AD9" i="63" s="1"/>
  <c r="AE9" i="63" s="1"/>
  <c r="Z49" i="63"/>
  <c r="AD49" i="63" s="1"/>
  <c r="AE49" i="63" s="1"/>
  <c r="Z13" i="63"/>
  <c r="AD13" i="63" s="1"/>
  <c r="AE13" i="63" s="1"/>
  <c r="Z19" i="63"/>
  <c r="AD19" i="63" s="1"/>
  <c r="AE19" i="63" s="1"/>
  <c r="Z57" i="63"/>
  <c r="AD57" i="63" s="1"/>
  <c r="AE57" i="63" s="1"/>
  <c r="Z11" i="63"/>
  <c r="AD11" i="63" s="1"/>
  <c r="AE11" i="63" s="1"/>
  <c r="Z47" i="63"/>
  <c r="AD47" i="63" s="1"/>
  <c r="AE47" i="63" s="1"/>
  <c r="Z14" i="63"/>
  <c r="AD14" i="63" s="1"/>
  <c r="AE14" i="63" s="1"/>
  <c r="Z53" i="63"/>
  <c r="AD53" i="63" s="1"/>
  <c r="AE53" i="63" s="1"/>
  <c r="Z55" i="63"/>
  <c r="AD55" i="63" s="1"/>
  <c r="AE55" i="63" s="1"/>
  <c r="J47" i="46"/>
  <c r="J46" i="46"/>
  <c r="J35" i="46"/>
  <c r="J34" i="46"/>
  <c r="J23" i="46"/>
  <c r="J22" i="46"/>
  <c r="J11" i="46"/>
  <c r="J10" i="46"/>
  <c r="J57" i="46"/>
  <c r="J56" i="46"/>
  <c r="J55" i="46"/>
  <c r="J54" i="46"/>
  <c r="J53" i="46"/>
  <c r="J52" i="46"/>
  <c r="J51" i="46"/>
  <c r="J50" i="46"/>
  <c r="J49" i="46"/>
  <c r="J48" i="46"/>
  <c r="J45" i="46"/>
  <c r="J44" i="46"/>
  <c r="J43" i="46"/>
  <c r="J42" i="46"/>
  <c r="J41" i="46"/>
  <c r="J40" i="46"/>
  <c r="J39" i="46"/>
  <c r="J38" i="46"/>
  <c r="J37" i="46"/>
  <c r="J36" i="46"/>
  <c r="J33" i="46"/>
  <c r="J32" i="46"/>
  <c r="J31" i="46"/>
  <c r="J30" i="46"/>
  <c r="J29" i="46"/>
  <c r="J28" i="46"/>
  <c r="J27" i="46"/>
  <c r="J26" i="46"/>
  <c r="J25" i="46"/>
  <c r="J24" i="46"/>
  <c r="J21" i="46"/>
  <c r="J20" i="46"/>
  <c r="J19" i="46"/>
  <c r="J18" i="46"/>
  <c r="J17" i="46"/>
  <c r="J16" i="46"/>
  <c r="J15" i="46"/>
  <c r="J14" i="46"/>
  <c r="J13" i="46"/>
  <c r="J12" i="46"/>
  <c r="J9" i="46"/>
  <c r="J8" i="46"/>
  <c r="J7" i="46"/>
  <c r="AD58" i="63" l="1"/>
  <c r="AE7" i="63"/>
  <c r="AE58" i="63" s="1"/>
  <c r="AF56" i="63" s="1"/>
  <c r="Z58" i="63"/>
  <c r="F5" i="41"/>
  <c r="F4" i="41"/>
  <c r="AF8" i="63" l="1"/>
  <c r="AF45" i="63"/>
  <c r="AF27" i="63"/>
  <c r="AF48" i="63"/>
  <c r="AF30" i="63"/>
  <c r="AF51" i="63"/>
  <c r="AF12" i="63"/>
  <c r="AF26" i="63"/>
  <c r="AF14" i="63"/>
  <c r="AF43" i="63"/>
  <c r="AF35" i="63"/>
  <c r="N34" i="61" s="1"/>
  <c r="C35" i="46" s="1"/>
  <c r="AF23" i="63"/>
  <c r="AF11" i="63"/>
  <c r="AF24" i="63"/>
  <c r="AF25" i="63"/>
  <c r="AF46" i="63"/>
  <c r="AF28" i="63"/>
  <c r="AF49" i="63"/>
  <c r="AF29" i="63"/>
  <c r="AF33" i="63"/>
  <c r="AF19" i="63"/>
  <c r="AF40" i="63"/>
  <c r="AF42" i="63"/>
  <c r="N41" i="61" s="1"/>
  <c r="C42" i="46" s="1"/>
  <c r="AF44" i="63"/>
  <c r="AF9" i="63"/>
  <c r="AF15" i="63"/>
  <c r="AF18" i="63"/>
  <c r="AF52" i="63"/>
  <c r="AF53" i="63"/>
  <c r="AF7" i="63"/>
  <c r="N6" i="61" s="1"/>
  <c r="C7" i="46" s="1"/>
  <c r="AF41" i="63"/>
  <c r="AF20" i="63"/>
  <c r="AF38" i="63"/>
  <c r="AF22" i="63"/>
  <c r="AF17" i="63"/>
  <c r="AF16" i="63"/>
  <c r="AF36" i="63"/>
  <c r="AF31" i="63"/>
  <c r="AF32" i="63"/>
  <c r="AF54" i="63"/>
  <c r="AF47" i="63"/>
  <c r="AF39" i="63"/>
  <c r="AF21" i="63"/>
  <c r="AF10" i="63"/>
  <c r="AF57" i="63"/>
  <c r="AF13" i="63"/>
  <c r="AF50" i="63"/>
  <c r="AF34" i="63"/>
  <c r="AF37" i="63"/>
  <c r="AF55" i="63"/>
  <c r="J5" i="41"/>
  <c r="J4" i="41"/>
  <c r="F56" i="55"/>
  <c r="C56" i="55"/>
  <c r="J49" i="55" s="1"/>
  <c r="B56" i="55"/>
  <c r="G55" i="55"/>
  <c r="H55" i="55" s="1"/>
  <c r="D55" i="55"/>
  <c r="G54" i="55"/>
  <c r="H54" i="55" s="1"/>
  <c r="D54" i="55"/>
  <c r="G53" i="55"/>
  <c r="H53" i="55" s="1"/>
  <c r="D53" i="55"/>
  <c r="G52" i="55"/>
  <c r="H52" i="55" s="1"/>
  <c r="D52" i="55"/>
  <c r="G51" i="55"/>
  <c r="H51" i="55" s="1"/>
  <c r="D51" i="55"/>
  <c r="G50" i="55"/>
  <c r="H50" i="55" s="1"/>
  <c r="D50" i="55"/>
  <c r="G49" i="55"/>
  <c r="H49" i="55" s="1"/>
  <c r="D49" i="55"/>
  <c r="G48" i="55"/>
  <c r="H48" i="55" s="1"/>
  <c r="D48" i="55"/>
  <c r="G47" i="55"/>
  <c r="H47" i="55" s="1"/>
  <c r="D47" i="55"/>
  <c r="G46" i="55"/>
  <c r="H46" i="55" s="1"/>
  <c r="D46" i="55"/>
  <c r="G45" i="55"/>
  <c r="H45" i="55" s="1"/>
  <c r="D45" i="55"/>
  <c r="G44" i="55"/>
  <c r="H44" i="55" s="1"/>
  <c r="D44" i="55"/>
  <c r="G43" i="55"/>
  <c r="H43" i="55" s="1"/>
  <c r="D43" i="55"/>
  <c r="G42" i="55"/>
  <c r="H42" i="55" s="1"/>
  <c r="D42" i="55"/>
  <c r="G41" i="55"/>
  <c r="H41" i="55" s="1"/>
  <c r="D41" i="55"/>
  <c r="G40" i="55"/>
  <c r="H40" i="55" s="1"/>
  <c r="D40" i="55"/>
  <c r="G39" i="55"/>
  <c r="H39" i="55" s="1"/>
  <c r="D39" i="55"/>
  <c r="G38" i="55"/>
  <c r="H38" i="55" s="1"/>
  <c r="D38" i="55"/>
  <c r="G37" i="55"/>
  <c r="H37" i="55" s="1"/>
  <c r="D37" i="55"/>
  <c r="G36" i="55"/>
  <c r="H36" i="55" s="1"/>
  <c r="D36" i="55"/>
  <c r="G35" i="55"/>
  <c r="H35" i="55" s="1"/>
  <c r="D35" i="55"/>
  <c r="G34" i="55"/>
  <c r="H34" i="55" s="1"/>
  <c r="D34" i="55"/>
  <c r="G33" i="55"/>
  <c r="H33" i="55" s="1"/>
  <c r="D33" i="55"/>
  <c r="G32" i="55"/>
  <c r="H32" i="55" s="1"/>
  <c r="D32" i="55"/>
  <c r="G31" i="55"/>
  <c r="H31" i="55" s="1"/>
  <c r="D31" i="55"/>
  <c r="G30" i="55"/>
  <c r="H30" i="55" s="1"/>
  <c r="D30" i="55"/>
  <c r="G29" i="55"/>
  <c r="H29" i="55" s="1"/>
  <c r="D29" i="55"/>
  <c r="G28" i="55"/>
  <c r="H28" i="55" s="1"/>
  <c r="D28" i="55"/>
  <c r="G27" i="55"/>
  <c r="H27" i="55" s="1"/>
  <c r="D27" i="55"/>
  <c r="G26" i="55"/>
  <c r="H26" i="55" s="1"/>
  <c r="D26" i="55"/>
  <c r="H25" i="55"/>
  <c r="G25" i="55"/>
  <c r="D25" i="55"/>
  <c r="G24" i="55"/>
  <c r="H24" i="55" s="1"/>
  <c r="D24" i="55"/>
  <c r="G23" i="55"/>
  <c r="H23" i="55" s="1"/>
  <c r="D23" i="55"/>
  <c r="G22" i="55"/>
  <c r="H22" i="55" s="1"/>
  <c r="D22" i="55"/>
  <c r="G21" i="55"/>
  <c r="H21" i="55" s="1"/>
  <c r="D21" i="55"/>
  <c r="G20" i="55"/>
  <c r="H20" i="55" s="1"/>
  <c r="D20" i="55"/>
  <c r="G19" i="55"/>
  <c r="H19" i="55" s="1"/>
  <c r="D19" i="55"/>
  <c r="G18" i="55"/>
  <c r="H18" i="55" s="1"/>
  <c r="D18" i="55"/>
  <c r="G17" i="55"/>
  <c r="H17" i="55" s="1"/>
  <c r="D17" i="55"/>
  <c r="G16" i="55"/>
  <c r="H16" i="55" s="1"/>
  <c r="D16" i="55"/>
  <c r="G15" i="55"/>
  <c r="H15" i="55" s="1"/>
  <c r="D15" i="55"/>
  <c r="G14" i="55"/>
  <c r="H14" i="55" s="1"/>
  <c r="D14" i="55"/>
  <c r="G13" i="55"/>
  <c r="H13" i="55" s="1"/>
  <c r="D13" i="55"/>
  <c r="G12" i="55"/>
  <c r="H12" i="55" s="1"/>
  <c r="D12" i="55"/>
  <c r="G11" i="55"/>
  <c r="H11" i="55" s="1"/>
  <c r="D11" i="55"/>
  <c r="G10" i="55"/>
  <c r="H10" i="55" s="1"/>
  <c r="D10" i="55"/>
  <c r="G9" i="55"/>
  <c r="H9" i="55" s="1"/>
  <c r="D9" i="55"/>
  <c r="G8" i="55"/>
  <c r="H8" i="55" s="1"/>
  <c r="D8" i="55"/>
  <c r="G7" i="55"/>
  <c r="H7" i="55" s="1"/>
  <c r="D7" i="55"/>
  <c r="G6" i="55"/>
  <c r="H6" i="55" s="1"/>
  <c r="D6" i="55"/>
  <c r="G5" i="55"/>
  <c r="H5" i="55" s="1"/>
  <c r="D5" i="55"/>
  <c r="N35" i="61" l="1"/>
  <c r="C36" i="46" s="1"/>
  <c r="J12" i="55"/>
  <c r="J13" i="55"/>
  <c r="N20" i="61"/>
  <c r="C21" i="46" s="1"/>
  <c r="N17" i="61"/>
  <c r="C18" i="46" s="1"/>
  <c r="N30" i="61"/>
  <c r="C31" i="46" s="1"/>
  <c r="N45" i="61"/>
  <c r="C46" i="46" s="1"/>
  <c r="N9" i="61"/>
  <c r="C10" i="46" s="1"/>
  <c r="N33" i="61"/>
  <c r="C34" i="46" s="1"/>
  <c r="N42" i="61"/>
  <c r="C43" i="46" s="1"/>
  <c r="N29" i="61"/>
  <c r="C30" i="46" s="1"/>
  <c r="N12" i="61"/>
  <c r="C13" i="46" s="1"/>
  <c r="N11" i="61"/>
  <c r="C12" i="46" s="1"/>
  <c r="N37" i="61"/>
  <c r="C38" i="46" s="1"/>
  <c r="N46" i="61"/>
  <c r="C47" i="46" s="1"/>
  <c r="N32" i="61"/>
  <c r="C33" i="46" s="1"/>
  <c r="N50" i="61"/>
  <c r="C51" i="46" s="1"/>
  <c r="N7" i="61"/>
  <c r="C8" i="46" s="1"/>
  <c r="N38" i="61"/>
  <c r="C39" i="46" s="1"/>
  <c r="N36" i="61"/>
  <c r="C37" i="46" s="1"/>
  <c r="N56" i="61"/>
  <c r="C57" i="46" s="1"/>
  <c r="N22" i="61"/>
  <c r="C23" i="46" s="1"/>
  <c r="N39" i="61"/>
  <c r="C40" i="46" s="1"/>
  <c r="N49" i="61"/>
  <c r="C50" i="46" s="1"/>
  <c r="N24" i="61"/>
  <c r="C25" i="46" s="1"/>
  <c r="N10" i="61"/>
  <c r="C11" i="46" s="1"/>
  <c r="N27" i="61"/>
  <c r="C28" i="46" s="1"/>
  <c r="N47" i="61"/>
  <c r="C48" i="46" s="1"/>
  <c r="N55" i="61"/>
  <c r="C56" i="46" s="1"/>
  <c r="N53" i="61"/>
  <c r="C54" i="46" s="1"/>
  <c r="N40" i="61"/>
  <c r="C41" i="46" s="1"/>
  <c r="N18" i="61"/>
  <c r="C19" i="46" s="1"/>
  <c r="N14" i="61"/>
  <c r="C15" i="46" s="1"/>
  <c r="N25" i="61"/>
  <c r="C26" i="46" s="1"/>
  <c r="N15" i="61"/>
  <c r="C16" i="46" s="1"/>
  <c r="N48" i="61"/>
  <c r="C49" i="46" s="1"/>
  <c r="N43" i="61"/>
  <c r="C44" i="46" s="1"/>
  <c r="N52" i="61"/>
  <c r="C53" i="46" s="1"/>
  <c r="N28" i="61"/>
  <c r="C29" i="46" s="1"/>
  <c r="N19" i="61"/>
  <c r="C20" i="46" s="1"/>
  <c r="N16" i="61"/>
  <c r="C17" i="46" s="1"/>
  <c r="N44" i="61"/>
  <c r="C45" i="46" s="1"/>
  <c r="N26" i="61"/>
  <c r="C27" i="46" s="1"/>
  <c r="N8" i="61"/>
  <c r="C9" i="46" s="1"/>
  <c r="N21" i="61"/>
  <c r="C22" i="46" s="1"/>
  <c r="N54" i="61"/>
  <c r="C55" i="46" s="1"/>
  <c r="N13" i="61"/>
  <c r="C14" i="46" s="1"/>
  <c r="N23" i="61"/>
  <c r="C24" i="46" s="1"/>
  <c r="N51" i="61"/>
  <c r="C52" i="46" s="1"/>
  <c r="N31" i="61"/>
  <c r="C32" i="46" s="1"/>
  <c r="AF58" i="63"/>
  <c r="J24" i="55"/>
  <c r="J48" i="55"/>
  <c r="M6" i="61"/>
  <c r="B7" i="46" s="1"/>
  <c r="M51" i="61"/>
  <c r="B52" i="46" s="1"/>
  <c r="M30" i="61"/>
  <c r="B31" i="46" s="1"/>
  <c r="M32" i="61"/>
  <c r="B33" i="46" s="1"/>
  <c r="M23" i="61"/>
  <c r="B24" i="46" s="1"/>
  <c r="M55" i="61"/>
  <c r="B56" i="46" s="1"/>
  <c r="M37" i="61"/>
  <c r="B38" i="46" s="1"/>
  <c r="M38" i="61"/>
  <c r="B39" i="46" s="1"/>
  <c r="M22" i="61"/>
  <c r="B23" i="46" s="1"/>
  <c r="M18" i="61"/>
  <c r="B19" i="46" s="1"/>
  <c r="M11" i="61"/>
  <c r="B12" i="46" s="1"/>
  <c r="M12" i="61"/>
  <c r="B13" i="46" s="1"/>
  <c r="M49" i="61"/>
  <c r="B50" i="46" s="1"/>
  <c r="M50" i="61"/>
  <c r="B51" i="46" s="1"/>
  <c r="M40" i="61"/>
  <c r="B41" i="46" s="1"/>
  <c r="M42" i="61"/>
  <c r="B43" i="46" s="1"/>
  <c r="M24" i="61"/>
  <c r="B25" i="46" s="1"/>
  <c r="M13" i="61"/>
  <c r="B14" i="46" s="1"/>
  <c r="M46" i="61"/>
  <c r="B47" i="46" s="1"/>
  <c r="M56" i="61"/>
  <c r="B57" i="46" s="1"/>
  <c r="M16" i="61"/>
  <c r="B17" i="46" s="1"/>
  <c r="M36" i="61"/>
  <c r="B37" i="46" s="1"/>
  <c r="M9" i="61"/>
  <c r="B10" i="46" s="1"/>
  <c r="M26" i="61"/>
  <c r="B27" i="46" s="1"/>
  <c r="M35" i="61"/>
  <c r="B36" i="46" s="1"/>
  <c r="M33" i="61"/>
  <c r="B34" i="46" s="1"/>
  <c r="M52" i="61"/>
  <c r="B53" i="46" s="1"/>
  <c r="M17" i="61"/>
  <c r="B18" i="46" s="1"/>
  <c r="M20" i="61"/>
  <c r="B21" i="46" s="1"/>
  <c r="M15" i="61"/>
  <c r="B16" i="46" s="1"/>
  <c r="M54" i="61"/>
  <c r="B55" i="46" s="1"/>
  <c r="M8" i="61"/>
  <c r="B9" i="46" s="1"/>
  <c r="M48" i="61"/>
  <c r="B49" i="46" s="1"/>
  <c r="M7" i="61"/>
  <c r="B8" i="46" s="1"/>
  <c r="M19" i="61"/>
  <c r="B20" i="46" s="1"/>
  <c r="M21" i="61"/>
  <c r="B22" i="46" s="1"/>
  <c r="M47" i="61"/>
  <c r="B48" i="46" s="1"/>
  <c r="M41" i="61"/>
  <c r="B42" i="46" s="1"/>
  <c r="M25" i="61"/>
  <c r="B26" i="46" s="1"/>
  <c r="M14" i="61"/>
  <c r="B15" i="46" s="1"/>
  <c r="M44" i="61"/>
  <c r="B45" i="46" s="1"/>
  <c r="M28" i="61"/>
  <c r="B29" i="46" s="1"/>
  <c r="M34" i="61"/>
  <c r="B35" i="46" s="1"/>
  <c r="M45" i="61"/>
  <c r="B46" i="46" s="1"/>
  <c r="M31" i="61"/>
  <c r="B32" i="46" s="1"/>
  <c r="M53" i="61"/>
  <c r="B54" i="46" s="1"/>
  <c r="M10" i="61"/>
  <c r="B11" i="46" s="1"/>
  <c r="M39" i="61"/>
  <c r="B40" i="46" s="1"/>
  <c r="M43" i="61"/>
  <c r="B44" i="46" s="1"/>
  <c r="M27" i="61"/>
  <c r="B28" i="46" s="1"/>
  <c r="M29" i="61"/>
  <c r="B30" i="46" s="1"/>
  <c r="J36" i="55"/>
  <c r="H56" i="55"/>
  <c r="I5" i="55" s="1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18" i="55" l="1"/>
  <c r="I9" i="55"/>
  <c r="I49" i="55"/>
  <c r="E54" i="55"/>
  <c r="I46" i="55"/>
  <c r="I16" i="55"/>
  <c r="I39" i="55"/>
  <c r="I41" i="55"/>
  <c r="I21" i="55"/>
  <c r="I30" i="55"/>
  <c r="I32" i="55"/>
  <c r="I15" i="55"/>
  <c r="I27" i="55"/>
  <c r="I54" i="55"/>
  <c r="I13" i="55"/>
  <c r="I24" i="55"/>
  <c r="E12" i="55"/>
  <c r="I55" i="55"/>
  <c r="E40" i="55"/>
  <c r="E43" i="55"/>
  <c r="I17" i="55"/>
  <c r="I25" i="55"/>
  <c r="E34" i="55"/>
  <c r="I8" i="55"/>
  <c r="I53" i="55"/>
  <c r="I33" i="55"/>
  <c r="I31" i="55"/>
  <c r="I6" i="55"/>
  <c r="I26" i="55"/>
  <c r="I34" i="55"/>
  <c r="I50" i="55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F13" i="41" l="1"/>
  <c r="F14" i="41" s="1"/>
  <c r="F9" i="41"/>
  <c r="J9" i="41" s="1"/>
  <c r="F8" i="41"/>
  <c r="J8" i="41" s="1"/>
  <c r="F7" i="41"/>
  <c r="F6" i="41"/>
  <c r="F51" i="46" l="1"/>
  <c r="F27" i="46"/>
  <c r="F50" i="46"/>
  <c r="F38" i="46"/>
  <c r="F26" i="46"/>
  <c r="F14" i="46"/>
  <c r="F13" i="46"/>
  <c r="F49" i="46"/>
  <c r="F37" i="46"/>
  <c r="F25" i="46"/>
  <c r="F48" i="46"/>
  <c r="F36" i="46"/>
  <c r="F24" i="46"/>
  <c r="F12" i="46"/>
  <c r="F10" i="46"/>
  <c r="F17" i="46"/>
  <c r="F47" i="46"/>
  <c r="F35" i="46"/>
  <c r="F23" i="46"/>
  <c r="F11" i="46"/>
  <c r="F46" i="46"/>
  <c r="F34" i="46"/>
  <c r="F22" i="46"/>
  <c r="F57" i="46"/>
  <c r="F45" i="46"/>
  <c r="F33" i="46"/>
  <c r="F21" i="46"/>
  <c r="F9" i="46"/>
  <c r="F41" i="46"/>
  <c r="F56" i="46"/>
  <c r="F44" i="46"/>
  <c r="F32" i="46"/>
  <c r="F20" i="46"/>
  <c r="F8" i="46"/>
  <c r="F55" i="46"/>
  <c r="F43" i="46"/>
  <c r="F31" i="46"/>
  <c r="F19" i="46"/>
  <c r="F7" i="46"/>
  <c r="F29" i="46"/>
  <c r="F54" i="46"/>
  <c r="F42" i="46"/>
  <c r="F30" i="46"/>
  <c r="F18" i="46"/>
  <c r="F53" i="46"/>
  <c r="F52" i="46"/>
  <c r="F40" i="46"/>
  <c r="F28" i="46"/>
  <c r="F16" i="46"/>
  <c r="F39" i="46"/>
  <c r="F15" i="46"/>
  <c r="E57" i="46"/>
  <c r="E45" i="46"/>
  <c r="E33" i="46"/>
  <c r="E21" i="46"/>
  <c r="E9" i="46"/>
  <c r="E56" i="46"/>
  <c r="E44" i="46"/>
  <c r="E32" i="46"/>
  <c r="E20" i="46"/>
  <c r="E8" i="46"/>
  <c r="E15" i="46"/>
  <c r="E14" i="46"/>
  <c r="E13" i="46"/>
  <c r="E47" i="46"/>
  <c r="E34" i="46"/>
  <c r="E55" i="46"/>
  <c r="E43" i="46"/>
  <c r="E31" i="46"/>
  <c r="E19" i="46"/>
  <c r="E7" i="46"/>
  <c r="E18" i="46"/>
  <c r="E41" i="46"/>
  <c r="E40" i="46"/>
  <c r="E28" i="46"/>
  <c r="E27" i="46"/>
  <c r="E38" i="46"/>
  <c r="E48" i="46"/>
  <c r="E12" i="46"/>
  <c r="E46" i="46"/>
  <c r="E54" i="46"/>
  <c r="E42" i="46"/>
  <c r="E30" i="46"/>
  <c r="E17" i="46"/>
  <c r="E52" i="46"/>
  <c r="E16" i="46"/>
  <c r="E39" i="46"/>
  <c r="E50" i="46"/>
  <c r="E49" i="46"/>
  <c r="E36" i="46"/>
  <c r="E35" i="46"/>
  <c r="E11" i="46"/>
  <c r="E22" i="46"/>
  <c r="E53" i="46"/>
  <c r="E29" i="46"/>
  <c r="E51" i="46"/>
  <c r="E26" i="46"/>
  <c r="E37" i="46"/>
  <c r="E24" i="46"/>
  <c r="E23" i="46"/>
  <c r="E10" i="46"/>
  <c r="E25" i="46"/>
  <c r="R6" i="61"/>
  <c r="H7" i="46" s="1"/>
  <c r="R24" i="61"/>
  <c r="H25" i="46" s="1"/>
  <c r="R55" i="61"/>
  <c r="H56" i="46" s="1"/>
  <c r="R13" i="61"/>
  <c r="H14" i="46" s="1"/>
  <c r="R52" i="61"/>
  <c r="H53" i="46" s="1"/>
  <c r="R30" i="61"/>
  <c r="H31" i="46" s="1"/>
  <c r="R10" i="61"/>
  <c r="H11" i="46" s="1"/>
  <c r="R26" i="61"/>
  <c r="H27" i="46" s="1"/>
  <c r="R32" i="61"/>
  <c r="H33" i="46" s="1"/>
  <c r="R35" i="61"/>
  <c r="H36" i="46" s="1"/>
  <c r="R22" i="61"/>
  <c r="H23" i="46" s="1"/>
  <c r="R15" i="61"/>
  <c r="H16" i="46" s="1"/>
  <c r="R51" i="61"/>
  <c r="H52" i="46" s="1"/>
  <c r="R42" i="61"/>
  <c r="H43" i="46" s="1"/>
  <c r="R18" i="61"/>
  <c r="H19" i="46" s="1"/>
  <c r="R53" i="61"/>
  <c r="H54" i="46" s="1"/>
  <c r="R27" i="61"/>
  <c r="H28" i="46" s="1"/>
  <c r="R19" i="61"/>
  <c r="H20" i="46" s="1"/>
  <c r="R25" i="61"/>
  <c r="H26" i="46" s="1"/>
  <c r="R47" i="61"/>
  <c r="H48" i="46" s="1"/>
  <c r="R38" i="61"/>
  <c r="H39" i="46" s="1"/>
  <c r="R54" i="61"/>
  <c r="H55" i="46" s="1"/>
  <c r="R49" i="61"/>
  <c r="H50" i="46" s="1"/>
  <c r="R37" i="61"/>
  <c r="H38" i="46" s="1"/>
  <c r="R43" i="61"/>
  <c r="H44" i="46" s="1"/>
  <c r="R45" i="61"/>
  <c r="H46" i="46" s="1"/>
  <c r="R40" i="61"/>
  <c r="H41" i="46" s="1"/>
  <c r="R31" i="61"/>
  <c r="H32" i="46" s="1"/>
  <c r="R46" i="61"/>
  <c r="H47" i="46" s="1"/>
  <c r="R48" i="61"/>
  <c r="H49" i="46" s="1"/>
  <c r="R39" i="61"/>
  <c r="H40" i="46" s="1"/>
  <c r="R41" i="61"/>
  <c r="H42" i="46" s="1"/>
  <c r="R20" i="61"/>
  <c r="H21" i="46" s="1"/>
  <c r="R21" i="61"/>
  <c r="H22" i="46" s="1"/>
  <c r="R33" i="61"/>
  <c r="H34" i="46" s="1"/>
  <c r="R50" i="61"/>
  <c r="H51" i="46" s="1"/>
  <c r="R7" i="61"/>
  <c r="H8" i="46" s="1"/>
  <c r="R14" i="61"/>
  <c r="H15" i="46" s="1"/>
  <c r="R17" i="61"/>
  <c r="H18" i="46" s="1"/>
  <c r="R28" i="61"/>
  <c r="H29" i="46" s="1"/>
  <c r="R8" i="61"/>
  <c r="H9" i="46" s="1"/>
  <c r="R23" i="61"/>
  <c r="H24" i="46" s="1"/>
  <c r="R12" i="61"/>
  <c r="H13" i="46" s="1"/>
  <c r="R16" i="61"/>
  <c r="H17" i="46" s="1"/>
  <c r="R44" i="61"/>
  <c r="H45" i="46" s="1"/>
  <c r="R56" i="61"/>
  <c r="H57" i="46" s="1"/>
  <c r="R34" i="61"/>
  <c r="H35" i="46" s="1"/>
  <c r="R29" i="61"/>
  <c r="H30" i="46" s="1"/>
  <c r="R11" i="61"/>
  <c r="H12" i="46" s="1"/>
  <c r="R9" i="61"/>
  <c r="H10" i="46" s="1"/>
  <c r="R36" i="61"/>
  <c r="H37" i="46" s="1"/>
  <c r="J7" i="41"/>
  <c r="P29" i="61" s="1"/>
  <c r="Q6" i="61"/>
  <c r="G7" i="46" s="1"/>
  <c r="Q51" i="61"/>
  <c r="G52" i="46" s="1"/>
  <c r="Q21" i="61"/>
  <c r="G22" i="46" s="1"/>
  <c r="Q17" i="61"/>
  <c r="G18" i="46" s="1"/>
  <c r="Q48" i="61"/>
  <c r="G49" i="46" s="1"/>
  <c r="Q11" i="61"/>
  <c r="G12" i="46" s="1"/>
  <c r="Q55" i="61"/>
  <c r="G56" i="46" s="1"/>
  <c r="Q31" i="61"/>
  <c r="G32" i="46" s="1"/>
  <c r="Q24" i="61"/>
  <c r="G25" i="46" s="1"/>
  <c r="Q32" i="61"/>
  <c r="G33" i="46" s="1"/>
  <c r="Q43" i="61"/>
  <c r="G44" i="46" s="1"/>
  <c r="Q40" i="61"/>
  <c r="G41" i="46" s="1"/>
  <c r="Q42" i="61"/>
  <c r="G43" i="46" s="1"/>
  <c r="Q14" i="61"/>
  <c r="G15" i="46" s="1"/>
  <c r="Q23" i="61"/>
  <c r="G24" i="46" s="1"/>
  <c r="Q19" i="61"/>
  <c r="G20" i="46" s="1"/>
  <c r="Q13" i="61"/>
  <c r="G14" i="46" s="1"/>
  <c r="Q7" i="61"/>
  <c r="G8" i="46" s="1"/>
  <c r="Q49" i="61"/>
  <c r="G50" i="46" s="1"/>
  <c r="Q52" i="61"/>
  <c r="G53" i="46" s="1"/>
  <c r="Q45" i="61"/>
  <c r="G46" i="46" s="1"/>
  <c r="Q54" i="61"/>
  <c r="G55" i="46" s="1"/>
  <c r="Q22" i="61"/>
  <c r="G23" i="46" s="1"/>
  <c r="Q28" i="61"/>
  <c r="G29" i="46" s="1"/>
  <c r="Q29" i="61"/>
  <c r="G30" i="46" s="1"/>
  <c r="Q20" i="61"/>
  <c r="G21" i="46" s="1"/>
  <c r="Q10" i="61"/>
  <c r="G11" i="46" s="1"/>
  <c r="Q16" i="61"/>
  <c r="G17" i="46" s="1"/>
  <c r="Q27" i="61"/>
  <c r="G28" i="46" s="1"/>
  <c r="Q38" i="61"/>
  <c r="G39" i="46" s="1"/>
  <c r="Q18" i="61"/>
  <c r="G19" i="46" s="1"/>
  <c r="Q36" i="61"/>
  <c r="G37" i="46" s="1"/>
  <c r="Q30" i="61"/>
  <c r="G31" i="46" s="1"/>
  <c r="Q47" i="61"/>
  <c r="G48" i="46" s="1"/>
  <c r="Q56" i="61"/>
  <c r="G57" i="46" s="1"/>
  <c r="Q37" i="61"/>
  <c r="G38" i="46" s="1"/>
  <c r="Q35" i="61"/>
  <c r="G36" i="46" s="1"/>
  <c r="Q41" i="61"/>
  <c r="G42" i="46" s="1"/>
  <c r="Q50" i="61"/>
  <c r="G51" i="46" s="1"/>
  <c r="Q15" i="61"/>
  <c r="G16" i="46" s="1"/>
  <c r="Q9" i="61"/>
  <c r="G10" i="46" s="1"/>
  <c r="Q12" i="61"/>
  <c r="G13" i="46" s="1"/>
  <c r="Q53" i="61"/>
  <c r="G54" i="46" s="1"/>
  <c r="Q39" i="61"/>
  <c r="G40" i="46" s="1"/>
  <c r="Q26" i="61"/>
  <c r="G27" i="46" s="1"/>
  <c r="Q25" i="61"/>
  <c r="G26" i="46" s="1"/>
  <c r="Q44" i="61"/>
  <c r="G45" i="46" s="1"/>
  <c r="Q46" i="61"/>
  <c r="G47" i="46" s="1"/>
  <c r="Q34" i="61"/>
  <c r="G35" i="46" s="1"/>
  <c r="Q33" i="61"/>
  <c r="G34" i="46" s="1"/>
  <c r="Q8" i="61"/>
  <c r="G9" i="46" s="1"/>
  <c r="J6" i="41"/>
  <c r="F10" i="41"/>
  <c r="F15" i="41" s="1"/>
  <c r="C57" i="54"/>
  <c r="B57" i="54"/>
  <c r="P15" i="61" l="1"/>
  <c r="P38" i="61"/>
  <c r="P39" i="61"/>
  <c r="P42" i="61"/>
  <c r="P18" i="61"/>
  <c r="P49" i="61"/>
  <c r="P25" i="61"/>
  <c r="P43" i="61"/>
  <c r="P30" i="61"/>
  <c r="P26" i="61"/>
  <c r="P22" i="61"/>
  <c r="P44" i="61"/>
  <c r="P50" i="61"/>
  <c r="P14" i="61"/>
  <c r="P23" i="61"/>
  <c r="P37" i="61"/>
  <c r="P51" i="61"/>
  <c r="P33" i="61"/>
  <c r="P13" i="61"/>
  <c r="P41" i="61"/>
  <c r="P27" i="61"/>
  <c r="P53" i="61"/>
  <c r="P35" i="61"/>
  <c r="P6" i="61"/>
  <c r="P56" i="61"/>
  <c r="P32" i="61"/>
  <c r="P20" i="61"/>
  <c r="P34" i="61"/>
  <c r="P10" i="61"/>
  <c r="P46" i="61"/>
  <c r="P24" i="61"/>
  <c r="P54" i="61"/>
  <c r="P19" i="61"/>
  <c r="P21" i="61"/>
  <c r="P47" i="61"/>
  <c r="P16" i="61"/>
  <c r="P48" i="61"/>
  <c r="P7" i="61"/>
  <c r="P28" i="61"/>
  <c r="P17" i="61"/>
  <c r="P11" i="61"/>
  <c r="P36" i="61"/>
  <c r="P55" i="61"/>
  <c r="P40" i="61"/>
  <c r="P9" i="61"/>
  <c r="P31" i="61"/>
  <c r="P12" i="61"/>
  <c r="P8" i="61"/>
  <c r="P45" i="61"/>
  <c r="P52" i="61"/>
  <c r="O6" i="61"/>
  <c r="O24" i="61"/>
  <c r="O41" i="61"/>
  <c r="O14" i="61"/>
  <c r="O53" i="61"/>
  <c r="O20" i="61"/>
  <c r="O21" i="61"/>
  <c r="O22" i="61"/>
  <c r="O10" i="61"/>
  <c r="O39" i="61"/>
  <c r="O27" i="61"/>
  <c r="O17" i="61"/>
  <c r="O35" i="61"/>
  <c r="O49" i="61"/>
  <c r="O32" i="61"/>
  <c r="O44" i="61"/>
  <c r="O8" i="61"/>
  <c r="O52" i="61"/>
  <c r="O37" i="61"/>
  <c r="O48" i="61"/>
  <c r="O56" i="61"/>
  <c r="O33" i="61"/>
  <c r="O51" i="61"/>
  <c r="O12" i="61"/>
  <c r="O30" i="61"/>
  <c r="O47" i="61"/>
  <c r="O25" i="61"/>
  <c r="O16" i="61"/>
  <c r="O36" i="61"/>
  <c r="O11" i="61"/>
  <c r="O19" i="61"/>
  <c r="O29" i="61"/>
  <c r="O7" i="61"/>
  <c r="O46" i="61"/>
  <c r="O34" i="61"/>
  <c r="O45" i="61"/>
  <c r="O18" i="61"/>
  <c r="O9" i="61"/>
  <c r="O31" i="61"/>
  <c r="O42" i="61"/>
  <c r="O54" i="61"/>
  <c r="O43" i="61"/>
  <c r="O40" i="61"/>
  <c r="O38" i="61"/>
  <c r="O15" i="61"/>
  <c r="O55" i="61"/>
  <c r="O13" i="61"/>
  <c r="O26" i="61"/>
  <c r="O28" i="61"/>
  <c r="O50" i="61"/>
  <c r="O23" i="61"/>
  <c r="J10" i="41"/>
  <c r="J15" i="41" s="1"/>
  <c r="O3" i="55" l="1"/>
  <c r="M3" i="55"/>
  <c r="N3" i="55"/>
  <c r="O38" i="55" l="1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M45" i="55"/>
  <c r="M42" i="55"/>
  <c r="M49" i="55"/>
  <c r="M30" i="55"/>
  <c r="M51" i="55"/>
  <c r="M37" i="55"/>
  <c r="M48" i="55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M21" i="55"/>
  <c r="M15" i="55"/>
  <c r="M17" i="55"/>
  <c r="M31" i="55"/>
  <c r="M27" i="55"/>
  <c r="M24" i="55"/>
  <c r="M55" i="55"/>
  <c r="M46" i="55"/>
  <c r="M32" i="55"/>
  <c r="M53" i="55"/>
  <c r="M25" i="55"/>
  <c r="P22" i="55" l="1"/>
  <c r="D24" i="46" s="1"/>
  <c r="P48" i="55"/>
  <c r="D50" i="46" s="1"/>
  <c r="P52" i="55"/>
  <c r="D54" i="46" s="1"/>
  <c r="P15" i="55"/>
  <c r="D17" i="46" s="1"/>
  <c r="P30" i="55"/>
  <c r="D32" i="46" s="1"/>
  <c r="P53" i="55"/>
  <c r="D55" i="46" s="1"/>
  <c r="P39" i="55"/>
  <c r="D41" i="46" s="1"/>
  <c r="P35" i="55"/>
  <c r="D37" i="46" s="1"/>
  <c r="P19" i="55"/>
  <c r="D21" i="46" s="1"/>
  <c r="P14" i="55"/>
  <c r="D16" i="46" s="1"/>
  <c r="P43" i="55"/>
  <c r="D45" i="46" s="1"/>
  <c r="P24" i="55"/>
  <c r="D26" i="46" s="1"/>
  <c r="P28" i="55"/>
  <c r="D30" i="46" s="1"/>
  <c r="P54" i="55"/>
  <c r="D56" i="46" s="1"/>
  <c r="P26" i="55"/>
  <c r="D28" i="46" s="1"/>
  <c r="P36" i="55"/>
  <c r="D38" i="46" s="1"/>
  <c r="P16" i="55"/>
  <c r="D18" i="46" s="1"/>
  <c r="P50" i="55"/>
  <c r="D52" i="46" s="1"/>
  <c r="P13" i="55"/>
  <c r="D15" i="46" s="1"/>
  <c r="P27" i="55"/>
  <c r="D29" i="46" s="1"/>
  <c r="P38" i="55"/>
  <c r="D40" i="46" s="1"/>
  <c r="P17" i="55"/>
  <c r="D19" i="46" s="1"/>
  <c r="P21" i="55"/>
  <c r="D23" i="46" s="1"/>
  <c r="P7" i="55"/>
  <c r="D9" i="46" s="1"/>
  <c r="P10" i="55"/>
  <c r="D12" i="46" s="1"/>
  <c r="P34" i="55"/>
  <c r="D36" i="46" s="1"/>
  <c r="P41" i="55"/>
  <c r="D43" i="46" s="1"/>
  <c r="O56" i="55"/>
  <c r="P5" i="55"/>
  <c r="D7" i="46" s="1"/>
  <c r="M56" i="55"/>
  <c r="P44" i="55"/>
  <c r="D46" i="46" s="1"/>
  <c r="P8" i="55"/>
  <c r="D10" i="46" s="1"/>
  <c r="P46" i="55"/>
  <c r="D48" i="46" s="1"/>
  <c r="P9" i="55"/>
  <c r="D11" i="46" s="1"/>
  <c r="P37" i="55"/>
  <c r="D39" i="46" s="1"/>
  <c r="P33" i="55"/>
  <c r="D35" i="46" s="1"/>
  <c r="N56" i="55"/>
  <c r="P25" i="55"/>
  <c r="D27" i="46" s="1"/>
  <c r="P32" i="55"/>
  <c r="D34" i="46" s="1"/>
  <c r="P55" i="55"/>
  <c r="D57" i="46" s="1"/>
  <c r="P20" i="55"/>
  <c r="D22" i="46" s="1"/>
  <c r="P51" i="55"/>
  <c r="D53" i="46" s="1"/>
  <c r="P11" i="55"/>
  <c r="D13" i="46" s="1"/>
  <c r="P12" i="55"/>
  <c r="D14" i="46" s="1"/>
  <c r="P49" i="55"/>
  <c r="D51" i="46" s="1"/>
  <c r="P42" i="55"/>
  <c r="D44" i="46" s="1"/>
  <c r="P31" i="55"/>
  <c r="D33" i="46" s="1"/>
  <c r="P18" i="55"/>
  <c r="D20" i="46" s="1"/>
  <c r="P6" i="55"/>
  <c r="D8" i="46" s="1"/>
  <c r="P29" i="55"/>
  <c r="D31" i="46" s="1"/>
  <c r="P40" i="55"/>
  <c r="D42" i="46" s="1"/>
  <c r="P47" i="55"/>
  <c r="D49" i="46" s="1"/>
  <c r="P45" i="55"/>
  <c r="D47" i="46" s="1"/>
  <c r="P23" i="55"/>
  <c r="D25" i="46" s="1"/>
  <c r="B57" i="47"/>
  <c r="B58" i="47" s="1"/>
  <c r="B55" i="47"/>
  <c r="C50" i="47" s="1"/>
  <c r="P56" i="55" l="1"/>
  <c r="Q10" i="55" s="1"/>
  <c r="C54" i="47"/>
  <c r="D54" i="47" s="1"/>
  <c r="K57" i="46" s="1"/>
  <c r="C16" i="47"/>
  <c r="D16" i="47" s="1"/>
  <c r="K19" i="46" s="1"/>
  <c r="C33" i="47"/>
  <c r="D33" i="47" s="1"/>
  <c r="K36" i="46" s="1"/>
  <c r="C4" i="47"/>
  <c r="D4" i="47" s="1"/>
  <c r="K7" i="46" s="1"/>
  <c r="C24" i="47"/>
  <c r="D24" i="47" s="1"/>
  <c r="K27" i="46" s="1"/>
  <c r="C37" i="47"/>
  <c r="D37" i="47" s="1"/>
  <c r="K40" i="46" s="1"/>
  <c r="C12" i="47"/>
  <c r="D12" i="47" s="1"/>
  <c r="K15" i="46" s="1"/>
  <c r="C32" i="47"/>
  <c r="D32" i="47" s="1"/>
  <c r="K35" i="46" s="1"/>
  <c r="C41" i="47"/>
  <c r="D41" i="47" s="1"/>
  <c r="K44" i="46" s="1"/>
  <c r="C20" i="47"/>
  <c r="D20" i="47" s="1"/>
  <c r="K23" i="46" s="1"/>
  <c r="C40" i="47"/>
  <c r="D40" i="47" s="1"/>
  <c r="K43" i="46" s="1"/>
  <c r="C45" i="47"/>
  <c r="D45" i="47" s="1"/>
  <c r="K48" i="46" s="1"/>
  <c r="C28" i="47"/>
  <c r="D28" i="47" s="1"/>
  <c r="K31" i="46" s="1"/>
  <c r="C52" i="47"/>
  <c r="D52" i="47" s="1"/>
  <c r="K55" i="46" s="1"/>
  <c r="C49" i="47"/>
  <c r="D49" i="47" s="1"/>
  <c r="K52" i="46" s="1"/>
  <c r="C36" i="47"/>
  <c r="D36" i="47" s="1"/>
  <c r="K39" i="46" s="1"/>
  <c r="C7" i="47"/>
  <c r="D7" i="47" s="1"/>
  <c r="K10" i="46" s="1"/>
  <c r="C5" i="47"/>
  <c r="D5" i="47" s="1"/>
  <c r="K8" i="46" s="1"/>
  <c r="C53" i="47"/>
  <c r="D53" i="47" s="1"/>
  <c r="K56" i="46" s="1"/>
  <c r="C44" i="47"/>
  <c r="D44" i="47" s="1"/>
  <c r="K47" i="46" s="1"/>
  <c r="C15" i="47"/>
  <c r="D15" i="47" s="1"/>
  <c r="K18" i="46" s="1"/>
  <c r="C9" i="47"/>
  <c r="D9" i="47" s="1"/>
  <c r="K12" i="46" s="1"/>
  <c r="C11" i="47"/>
  <c r="D11" i="47" s="1"/>
  <c r="K14" i="46" s="1"/>
  <c r="C6" i="47"/>
  <c r="D6" i="47" s="1"/>
  <c r="K9" i="46" s="1"/>
  <c r="C10" i="47"/>
  <c r="D10" i="47" s="1"/>
  <c r="K13" i="46" s="1"/>
  <c r="C23" i="47"/>
  <c r="D23" i="47" s="1"/>
  <c r="K26" i="46" s="1"/>
  <c r="C31" i="47"/>
  <c r="D31" i="47" s="1"/>
  <c r="K34" i="46" s="1"/>
  <c r="C17" i="47"/>
  <c r="D17" i="47" s="1"/>
  <c r="K20" i="46" s="1"/>
  <c r="C27" i="47"/>
  <c r="D27" i="47" s="1"/>
  <c r="K30" i="46" s="1"/>
  <c r="C22" i="47"/>
  <c r="D22" i="47" s="1"/>
  <c r="K25" i="46" s="1"/>
  <c r="C19" i="47"/>
  <c r="D19" i="47" s="1"/>
  <c r="K22" i="46" s="1"/>
  <c r="C43" i="47"/>
  <c r="D43" i="47" s="1"/>
  <c r="K46" i="46" s="1"/>
  <c r="C21" i="47"/>
  <c r="D21" i="47" s="1"/>
  <c r="K24" i="46" s="1"/>
  <c r="C35" i="47"/>
  <c r="D35" i="47" s="1"/>
  <c r="K38" i="46" s="1"/>
  <c r="C26" i="47"/>
  <c r="D26" i="47" s="1"/>
  <c r="K29" i="46" s="1"/>
  <c r="C51" i="47"/>
  <c r="D51" i="47" s="1"/>
  <c r="K54" i="46" s="1"/>
  <c r="C25" i="47"/>
  <c r="D25" i="47" s="1"/>
  <c r="K28" i="46" s="1"/>
  <c r="C39" i="47"/>
  <c r="D39" i="47" s="1"/>
  <c r="K42" i="46" s="1"/>
  <c r="C38" i="47"/>
  <c r="D38" i="47" s="1"/>
  <c r="K41" i="46" s="1"/>
  <c r="C13" i="47"/>
  <c r="D13" i="47" s="1"/>
  <c r="K16" i="46" s="1"/>
  <c r="C8" i="47"/>
  <c r="D8" i="47" s="1"/>
  <c r="K11" i="46" s="1"/>
  <c r="C29" i="47"/>
  <c r="D29" i="47" s="1"/>
  <c r="K32" i="46" s="1"/>
  <c r="C47" i="47"/>
  <c r="D47" i="47" s="1"/>
  <c r="K50" i="46" s="1"/>
  <c r="C42" i="47"/>
  <c r="D42" i="47" s="1"/>
  <c r="K45" i="46" s="1"/>
  <c r="C14" i="47"/>
  <c r="D14" i="47" s="1"/>
  <c r="K17" i="46" s="1"/>
  <c r="C30" i="47"/>
  <c r="D30" i="47" s="1"/>
  <c r="K33" i="46" s="1"/>
  <c r="C46" i="47"/>
  <c r="D46" i="47" s="1"/>
  <c r="K49" i="46" s="1"/>
  <c r="C48" i="47"/>
  <c r="D48" i="47" s="1"/>
  <c r="K51" i="46" s="1"/>
  <c r="C18" i="47"/>
  <c r="D18" i="47" s="1"/>
  <c r="K21" i="46" s="1"/>
  <c r="C34" i="47"/>
  <c r="D34" i="47" s="1"/>
  <c r="K37" i="46" s="1"/>
  <c r="J58" i="46"/>
  <c r="D50" i="47"/>
  <c r="K53" i="46" s="1"/>
  <c r="K58" i="46" l="1"/>
  <c r="Q34" i="55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C55" i="47"/>
  <c r="D55" i="47"/>
  <c r="Q56" i="55" l="1"/>
  <c r="S6" i="61" l="1"/>
  <c r="O57" i="61" l="1"/>
  <c r="P57" i="61"/>
  <c r="S47" i="61"/>
  <c r="T47" i="61" s="1"/>
  <c r="S9" i="61"/>
  <c r="T9" i="61" s="1"/>
  <c r="S22" i="61"/>
  <c r="T22" i="61" s="1"/>
  <c r="S43" i="61"/>
  <c r="T43" i="61" s="1"/>
  <c r="S11" i="61"/>
  <c r="T11" i="61" s="1"/>
  <c r="S24" i="61"/>
  <c r="T24" i="61" s="1"/>
  <c r="S8" i="61"/>
  <c r="T8" i="61" s="1"/>
  <c r="Q57" i="61"/>
  <c r="T6" i="61"/>
  <c r="S53" i="61"/>
  <c r="T53" i="61" s="1"/>
  <c r="S42" i="61"/>
  <c r="T42" i="61" s="1"/>
  <c r="S46" i="61"/>
  <c r="T46" i="61" s="1"/>
  <c r="S41" i="61"/>
  <c r="T41" i="61" s="1"/>
  <c r="S30" i="61"/>
  <c r="T30" i="61" s="1"/>
  <c r="S51" i="61"/>
  <c r="T51" i="61" s="1"/>
  <c r="S40" i="61"/>
  <c r="T40" i="61" s="1"/>
  <c r="S26" i="61"/>
  <c r="T26" i="61" s="1"/>
  <c r="S49" i="61"/>
  <c r="T49" i="61" s="1"/>
  <c r="M57" i="61"/>
  <c r="S38" i="61"/>
  <c r="T38" i="61" s="1"/>
  <c r="S16" i="61"/>
  <c r="T16" i="61" s="1"/>
  <c r="S19" i="61"/>
  <c r="T19" i="61" s="1"/>
  <c r="S36" i="61"/>
  <c r="T36" i="61" s="1"/>
  <c r="S17" i="61"/>
  <c r="T17" i="61" s="1"/>
  <c r="S48" i="61"/>
  <c r="T48" i="61" s="1"/>
  <c r="S13" i="61"/>
  <c r="T13" i="61" s="1"/>
  <c r="S56" i="61"/>
  <c r="T56" i="61" s="1"/>
  <c r="S25" i="61"/>
  <c r="T25" i="61" s="1"/>
  <c r="S14" i="61"/>
  <c r="T14" i="61" s="1"/>
  <c r="S52" i="61"/>
  <c r="T52" i="61" s="1"/>
  <c r="N57" i="61"/>
  <c r="S54" i="61"/>
  <c r="T54" i="61" s="1"/>
  <c r="S55" i="61"/>
  <c r="T55" i="61" s="1"/>
  <c r="S28" i="61"/>
  <c r="T28" i="61" s="1"/>
  <c r="S21" i="61"/>
  <c r="T21" i="61" s="1"/>
  <c r="S45" i="61"/>
  <c r="T45" i="61" s="1"/>
  <c r="S27" i="61"/>
  <c r="T27" i="61" s="1"/>
  <c r="S18" i="61"/>
  <c r="T18" i="61" s="1"/>
  <c r="S32" i="61"/>
  <c r="T32" i="61" s="1"/>
  <c r="S15" i="61"/>
  <c r="T15" i="61" s="1"/>
  <c r="S7" i="61"/>
  <c r="T7" i="61" s="1"/>
  <c r="S12" i="61"/>
  <c r="T12" i="61" s="1"/>
  <c r="S29" i="61"/>
  <c r="T29" i="61" s="1"/>
  <c r="S44" i="61"/>
  <c r="T44" i="61" s="1"/>
  <c r="S31" i="61"/>
  <c r="T31" i="61" s="1"/>
  <c r="S10" i="61"/>
  <c r="T10" i="61" s="1"/>
  <c r="S33" i="61"/>
  <c r="T33" i="61" s="1"/>
  <c r="S23" i="61"/>
  <c r="T23" i="61" s="1"/>
  <c r="S39" i="61"/>
  <c r="T39" i="61" s="1"/>
  <c r="S37" i="61"/>
  <c r="T37" i="61" s="1"/>
  <c r="R57" i="61"/>
  <c r="S20" i="61"/>
  <c r="T20" i="61" s="1"/>
  <c r="S35" i="61"/>
  <c r="T35" i="61" s="1"/>
  <c r="S34" i="61"/>
  <c r="T34" i="61" s="1"/>
  <c r="S50" i="61"/>
  <c r="T50" i="61" s="1"/>
  <c r="T57" i="61" l="1"/>
  <c r="S57" i="61"/>
  <c r="I58" i="46" l="1"/>
  <c r="G58" i="46" l="1"/>
  <c r="E58" i="46"/>
  <c r="H58" i="46"/>
  <c r="F58" i="46"/>
  <c r="C58" i="46"/>
  <c r="B58" i="46"/>
  <c r="R58" i="46" l="1"/>
  <c r="D58" i="46"/>
</calcChain>
</file>

<file path=xl/sharedStrings.xml><?xml version="1.0" encoding="utf-8"?>
<sst xmlns="http://schemas.openxmlformats.org/spreadsheetml/2006/main" count="864" uniqueCount="349">
  <si>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</si>
  <si>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</si>
  <si>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</si>
  <si>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</si>
  <si>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</si>
  <si>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</si>
  <si>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</si>
  <si>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</si>
  <si>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</si>
  <si>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</si>
  <si>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</si>
  <si>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</si>
  <si>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</si>
  <si>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</si>
  <si>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</si>
  <si>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</si>
  <si>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</si>
  <si>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</si>
  <si>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</si>
  <si>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</si>
  <si>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</si>
  <si>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</si>
  <si>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</si>
  <si>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</si>
  <si>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</si>
  <si>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</si>
  <si>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</si>
  <si>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</si>
  <si>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</si>
  <si>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</si>
  <si>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</si>
  <si>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</si>
  <si>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</si>
  <si>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</si>
  <si>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</si>
  <si>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</si>
  <si>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</si>
  <si>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</si>
  <si>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</si>
  <si>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</si>
  <si>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</si>
  <si>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</si>
  <si>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</si>
  <si>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</si>
  <si>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</si>
  <si>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</si>
  <si>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</si>
  <si>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</si>
  <si>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</si>
  <si>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</si>
  <si>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</si>
  <si>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</si>
  <si>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</si>
  <si>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</si>
  <si>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</si>
  <si>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</si>
  <si>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</si>
  <si>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</si>
  <si>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</si>
  <si>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</si>
  <si>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</si>
  <si>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</si>
  <si>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</si>
  <si>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</si>
  <si>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</si>
  <si>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</si>
  <si>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</si>
  <si>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</si>
  <si>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</si>
  <si>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</si>
  <si>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</si>
  <si>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</si>
  <si>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</si>
  <si>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</si>
  <si>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</si>
  <si>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</si>
  <si>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</si>
  <si>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</si>
  <si>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</si>
  <si>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</si>
  <si>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</si>
  <si>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</si>
  <si>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</si>
  <si>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</si>
  <si>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</si>
  <si>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</si>
  <si>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</si>
  <si>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</si>
  <si>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</si>
  <si>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</si>
  <si>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</si>
  <si>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</si>
  <si>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</si>
  <si>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</si>
  <si>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</si>
  <si>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</si>
  <si>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</si>
  <si>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</si>
  <si>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</si>
  <si>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</si>
  <si>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</si>
  <si>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</si>
  <si>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</si>
  <si>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</si>
  <si>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</si>
  <si>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</si>
  <si>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</si>
  <si>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</si>
  <si>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</si>
  <si>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</si>
  <si>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</si>
  <si>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</si>
  <si>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</si>
  <si>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</si>
  <si>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</si>
  <si>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</si>
  <si>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</si>
  <si>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</si>
  <si>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</si>
  <si>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</si>
  <si>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</si>
  <si>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</si>
  <si>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ISAN</t>
  </si>
  <si>
    <t>COMP ISAN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</si>
  <si>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</si>
  <si>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</si>
  <si>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</si>
  <si>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</si>
  <si>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</si>
  <si>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</si>
  <si>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</si>
  <si>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</si>
  <si>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</si>
  <si>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</si>
  <si>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</si>
  <si>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</si>
  <si>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</si>
  <si>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</si>
  <si>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</si>
  <si>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</si>
  <si>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</si>
  <si>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</si>
  <si>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</si>
  <si>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</si>
  <si>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</si>
  <si>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</si>
  <si>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</si>
  <si>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</si>
  <si>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</si>
  <si>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</si>
  <si>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</si>
  <si>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</si>
  <si>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</si>
  <si>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</si>
  <si>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Mes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</si>
  <si>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</si>
  <si>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</si>
  <si>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</si>
  <si>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</si>
  <si>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</si>
  <si>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</si>
  <si>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</si>
  <si>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</si>
  <si>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</si>
  <si>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</si>
  <si>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</si>
  <si>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</si>
  <si>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</si>
  <si>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</si>
  <si>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</si>
  <si>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</si>
  <si>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</si>
  <si>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</si>
  <si>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</si>
  <si>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</si>
  <si>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</si>
  <si>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</si>
  <si>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</si>
  <si>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</si>
  <si>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</si>
  <si>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</si>
  <si>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</si>
  <si>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</si>
  <si>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</si>
  <si>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</si>
  <si>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</si>
  <si>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</si>
  <si>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</si>
  <si>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</si>
  <si>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</si>
  <si>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</si>
  <si>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</si>
  <si>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</si>
  <si>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</si>
  <si>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</si>
  <si>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</si>
  <si>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</si>
  <si>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</si>
  <si>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</si>
  <si>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</si>
  <si>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</si>
  <si>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</si>
  <si>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</si>
  <si>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</si>
  <si>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</si>
  <si>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</si>
  <si>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</si>
  <si>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</si>
  <si>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</si>
  <si>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</si>
  <si>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</si>
  <si>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</si>
  <si>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</si>
  <si>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</si>
  <si>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</si>
  <si>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</si>
  <si>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</si>
  <si>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</si>
  <si>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</si>
  <si>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POBLACIÓN 2020</t>
  </si>
  <si>
    <t>(PESOS)</t>
  </si>
  <si>
    <t>POBLACIÓN  2020</t>
  </si>
  <si>
    <t xml:space="preserve">  Población 2020, CENSO POBLACION Y VIVIENDA, INEGI</t>
  </si>
  <si>
    <t>COEFICIENTE CRECIMIENTO RECAUDACION</t>
  </si>
  <si>
    <t>RECAUDACIÓN 2020</t>
  </si>
  <si>
    <t>SUBTOTAL</t>
  </si>
  <si>
    <t>ORGANISMOS</t>
  </si>
  <si>
    <t>CERRALVO</t>
  </si>
  <si>
    <t>PROYECCIÓN DE POBLACIÓN 2021</t>
  </si>
  <si>
    <t>FFM 70%</t>
  </si>
  <si>
    <t>%</t>
  </si>
  <si>
    <t>CÁLCULO DE DISTRIBUCIÓN SEGÚN ART. DECIMO TRANSITORIO DE LA LEY DE EGRESOS DEL ESTADO 2022</t>
  </si>
  <si>
    <t>Cálculo de Distribución 2021 con ajuste anual 2021</t>
  </si>
  <si>
    <t>Cálculo de Distribución 2022</t>
  </si>
  <si>
    <t>PARTICIPACIONES AÑO ANTERIOR
FGP, FFM 70%, FOFIR, IEPS, ISAN, FEXHI</t>
  </si>
  <si>
    <t>PARTICIPACIONES AÑO ACTUAL
FGP, FFM 70%, FOFIR, IEPS, ISAN, FEXHI</t>
  </si>
  <si>
    <t>ANÁHUAC</t>
  </si>
  <si>
    <t>CADEREYTA JIMÉNEZ</t>
  </si>
  <si>
    <t>EL CARMEN</t>
  </si>
  <si>
    <t>CIÉNEGA DE FLORES</t>
  </si>
  <si>
    <t>DOCTOR GONZÁLEZ</t>
  </si>
  <si>
    <t>GARCÍA</t>
  </si>
  <si>
    <t>GENERAL TERÁN</t>
  </si>
  <si>
    <t>JUÁREZ</t>
  </si>
  <si>
    <t>MARÍN</t>
  </si>
  <si>
    <t>PARÁS</t>
  </si>
  <si>
    <t>PESQUERÍA</t>
  </si>
  <si>
    <t>SAN NICOLÁS DE LOS GARZA</t>
  </si>
  <si>
    <t>SAN PEDRO GARZA GARCÍA</t>
  </si>
  <si>
    <t>Participaciones 2022</t>
  </si>
  <si>
    <t>Monto Distribuido 2021</t>
  </si>
  <si>
    <t>Diferencia</t>
  </si>
  <si>
    <t>Impuesto sobre la Renta de Enajenación de Bienes Inmuebles (ISR BI)</t>
  </si>
  <si>
    <t>Fondo de Fomento Municipal (FFM)</t>
  </si>
  <si>
    <t>parte fija 2013</t>
  </si>
  <si>
    <t>SUBSECRETARÍA DE POLITICA DE INGRESOS, COORDINACIÓN DE PLANEACIÓN HACENDARIA</t>
  </si>
  <si>
    <t>PERSONAS EN POBREZA 2015</t>
  </si>
  <si>
    <t>PERSONAS EN POBREZA 2020</t>
  </si>
  <si>
    <t>CARENCIAS PROMEDIO EN SITUACION DE POBREZA 2015</t>
  </si>
  <si>
    <t>INCIDENCIA DE LA POBREZA 2015</t>
  </si>
  <si>
    <t>IP/∑IP</t>
  </si>
  <si>
    <t>EP/∑EP</t>
  </si>
  <si>
    <t>15</t>
  </si>
  <si>
    <t>11</t>
  </si>
  <si>
    <t>12</t>
  </si>
  <si>
    <t>13</t>
  </si>
  <si>
    <t>14</t>
  </si>
  <si>
    <t>17</t>
  </si>
  <si>
    <t>16</t>
  </si>
  <si>
    <t>18</t>
  </si>
  <si>
    <t>19</t>
  </si>
  <si>
    <t>20</t>
  </si>
  <si>
    <t>23</t>
  </si>
  <si>
    <t>21</t>
  </si>
  <si>
    <t>22</t>
  </si>
  <si>
    <t>25</t>
  </si>
  <si>
    <t>27</t>
  </si>
  <si>
    <t>26</t>
  </si>
  <si>
    <t>29</t>
  </si>
  <si>
    <t>30</t>
  </si>
  <si>
    <t>32</t>
  </si>
  <si>
    <t>33</t>
  </si>
  <si>
    <t>34</t>
  </si>
  <si>
    <t>35</t>
  </si>
  <si>
    <t>61</t>
  </si>
  <si>
    <t>36</t>
  </si>
  <si>
    <t>28</t>
  </si>
  <si>
    <t>37</t>
  </si>
  <si>
    <t>39</t>
  </si>
  <si>
    <t>38</t>
  </si>
  <si>
    <t>40</t>
  </si>
  <si>
    <t>41</t>
  </si>
  <si>
    <t>42</t>
  </si>
  <si>
    <t>43</t>
  </si>
  <si>
    <t>44</t>
  </si>
  <si>
    <t>46</t>
  </si>
  <si>
    <t>49</t>
  </si>
  <si>
    <t>48</t>
  </si>
  <si>
    <t>47</t>
  </si>
  <si>
    <t>45</t>
  </si>
  <si>
    <t>70</t>
  </si>
  <si>
    <t>50</t>
  </si>
  <si>
    <t>51</t>
  </si>
  <si>
    <t>52</t>
  </si>
  <si>
    <t>53</t>
  </si>
  <si>
    <t>54</t>
  </si>
  <si>
    <t>55</t>
  </si>
  <si>
    <t>58</t>
  </si>
  <si>
    <t>31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</si>
  <si>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</si>
  <si>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</si>
  <si>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</si>
  <si>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</si>
  <si>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</si>
  <si>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</si>
  <si>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</si>
  <si>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</si>
  <si>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</si>
  <si>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</si>
  <si>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</si>
  <si>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</si>
  <si>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</si>
  <si>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CPP1i</t>
  </si>
  <si>
    <t>ICPi=(PP1i/∑PP1i)</t>
  </si>
  <si>
    <t>IP=(ICPi*CPP!i)</t>
  </si>
  <si>
    <t>(0.85*IP/∑IP)(Monto)</t>
  </si>
  <si>
    <t>EP=PP2i/PP1i</t>
  </si>
  <si>
    <t>(0.15*(EP/∑EP)(Monto)</t>
  </si>
  <si>
    <t>DIPi</t>
  </si>
  <si>
    <t>CDPEi</t>
  </si>
  <si>
    <t>Los sumas totales puden no coincidir debido al redondeo</t>
  </si>
  <si>
    <t>Participaciones</t>
  </si>
  <si>
    <t>FACTURACIÓN  2020
(2016-2020)</t>
  </si>
  <si>
    <t>RECAUDACIÓN 2021</t>
  </si>
  <si>
    <t>FACTURACIÓN 2021
(2011-2021)</t>
  </si>
  <si>
    <t>ISAI 2021</t>
  </si>
  <si>
    <t>Total de Distrbución Marzo 2022</t>
  </si>
  <si>
    <t>PROPORCION</t>
  </si>
  <si>
    <t>Participaciones Abril 2022</t>
  </si>
  <si>
    <t>* EL COEFICIENTE DE PARTICIPACION DE LA REGLA I CORRESPONDE Al MES INMEDIATO ANTERIOR</t>
  </si>
  <si>
    <t>CÁLCULO DE DISTRIBUCIÓN DE PARTICIPACIONES MAYO 2022</t>
  </si>
  <si>
    <t>CORRESPONDIENTE AL PERIODO MAYO</t>
  </si>
  <si>
    <t>CÁLCULO  DE PARTICIPACIONES DE ISR MES DE MAYO 2022</t>
  </si>
  <si>
    <t>DISTRIBUCIÓN MAYO</t>
  </si>
  <si>
    <t>Ajuste DEFINITIVO</t>
  </si>
  <si>
    <t>Ajuste Definitivo</t>
  </si>
  <si>
    <t>AJUSTE DEFINTIVO</t>
  </si>
  <si>
    <t>RETENCION FEIEF FGP</t>
  </si>
  <si>
    <t>Retención FEIEF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</si>
</sst>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#,##0\ &quot;$&quot;;[Red]\-#,##0\ &quot;$&quot;"/>
    <numFmt numFmtId="169" formatCode="&quot;$&quot;\ #,##0.00"/>
    <numFmt numFmtId="170" formatCode="\U\ #,##0.00"/>
    <numFmt numFmtId="171" formatCode="_(* #,##0.000000_);_(* \(#,##0.000000\);_(* &quot;-&quot;??_);_(@_)"/>
    <numFmt numFmtId="172" formatCode="0.000000"/>
    <numFmt numFmtId="173" formatCode="0.00000000"/>
    <numFmt numFmtId="174" formatCode="General_)"/>
    <numFmt numFmtId="175" formatCode="_-[$€-2]* #,##0.00_-;\-[$€-2]* #,##0.00_-;_-[$€-2]* &quot;-&quot;??_-"/>
    <numFmt numFmtId="176" formatCode="_-* #,##0_-;\-* #,##0_-;_-* &quot;-&quot;??_-;_-@_-"/>
    <numFmt numFmtId="177" formatCode="_-* #,##0.0000_-;\-* #,##0.0000_-;_-* &quot;-&quot;????_-;_-@_-"/>
    <numFmt numFmtId="178" formatCode="_-* #,##0.0000_-;\-* #,##0.0000_-;_-* &quot;-&quot;_-;_-@_-"/>
    <numFmt numFmtId="179" formatCode="_-* #,##0.0000_-;\-* #,##0.0000_-;_-* &quot;-&quot;??_-;_-@_-"/>
    <numFmt numFmtId="180" formatCode="_-* #,##0.00000_-;\-* #,##0.00000_-;_-* &quot;-&quot;??_-;_-@_-"/>
    <numFmt numFmtId="181" formatCode="#,##0.00_ ;[Red]\-#,##0.00\ "/>
    <numFmt numFmtId="182" formatCode="#,##0_ ;[Red]\-#,##0\ "/>
    <numFmt numFmtId="183" formatCode="#,##0.0000;[Red]\-#,##0.0000"/>
    <numFmt numFmtId="184" formatCode="_-* #,##0.000000_-;\-* #,##0.000000_-;_-* &quot;-&quot;????_-;_-@_-"/>
    <numFmt numFmtId="185" formatCode="#,##0.0000000_ ;[Red]\-#,##0.0000000\ "/>
    <numFmt numFmtId="186" formatCode="#,##0;[Red]\-#,##0;_-* &quot;-&quot;_-;_-@_-"/>
    <numFmt numFmtId="187" formatCode="0.00000000%"/>
    <numFmt numFmtId="188" formatCode="0.0000%"/>
    <numFmt numFmtId="189" formatCode="#,##0.00000000000;\-#,##0.00000000000"/>
    <numFmt numFmtId="190" formatCode="#,##0.0000;\-#,##0.0000"/>
    <numFmt numFmtId="191" formatCode="0.00000000000"/>
    <numFmt numFmtId="192" formatCode="0.000000000"/>
    <numFmt numFmtId="193" formatCode="_-* #,##0.000000_-;\-* #,##0.000000_-;_-* &quot;-&quot;??_-;_-@_-"/>
    <numFmt numFmtId="194" formatCode="0.0000000"/>
    <numFmt numFmtId="195" formatCode="#,##0.000000;\-#,##0.000000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indexed="62"/>
      <name val="Arial"/>
      <family val="2"/>
    </font>
    <font>
      <vertAlign val="subscript"/>
      <sz val="8"/>
      <color rgb="FFFF000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8"/>
      <name val="Arial"/>
      <family val="2"/>
    </font>
    <font>
      <b/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8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auto="1"/>
      </top>
      <bottom/>
      <diagonal/>
    </border>
  </borders>
  <cellStyleXfs count="123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68" fontId="10" fillId="0" borderId="0" applyFont="0" applyFill="0" applyBorder="0" applyAlignment="0" applyProtection="0"/>
    <xf numFmtId="0" fontId="23" fillId="3" borderId="0" applyNumberFormat="0" applyBorder="0" applyAlignment="0" applyProtection="0"/>
    <xf numFmtId="164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32" fillId="0" borderId="0"/>
    <xf numFmtId="0" fontId="12" fillId="0" borderId="0"/>
    <xf numFmtId="37" fontId="11" fillId="0" borderId="0"/>
    <xf numFmtId="0" fontId="15" fillId="23" borderId="4" applyNumberFormat="0" applyFont="0" applyAlignment="0" applyProtection="0"/>
    <xf numFmtId="169" fontId="12" fillId="0" borderId="0" applyFont="0" applyFill="0" applyBorder="0" applyAlignment="0" applyProtection="0">
      <alignment horizontal="right"/>
    </xf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170" fontId="13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4" fontId="1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75" fontId="10" fillId="0" borderId="0" applyFont="0" applyFill="0" applyBorder="0" applyAlignment="0" applyProtection="0"/>
    <xf numFmtId="0" fontId="23" fillId="3" borderId="0" applyNumberFormat="0" applyBorder="0" applyAlignment="0" applyProtection="0"/>
    <xf numFmtId="41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10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9" fillId="0" borderId="0"/>
    <xf numFmtId="43" fontId="10" fillId="0" borderId="0" applyFont="0" applyFill="0" applyBorder="0" applyAlignment="0" applyProtection="0"/>
    <xf numFmtId="0" fontId="44" fillId="0" borderId="0"/>
    <xf numFmtId="0" fontId="8" fillId="0" borderId="0"/>
    <xf numFmtId="43" fontId="45" fillId="0" borderId="0" applyFont="0" applyFill="0" applyBorder="0" applyAlignment="0" applyProtection="0"/>
    <xf numFmtId="0" fontId="10" fillId="0" borderId="0"/>
    <xf numFmtId="9" fontId="7" fillId="0" borderId="0" applyFont="0" applyFill="0" applyBorder="0" applyAlignment="0" applyProtection="0"/>
    <xf numFmtId="0" fontId="48" fillId="25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169" fontId="10" fillId="0" borderId="0" applyFont="0" applyFill="0" applyBorder="0" applyAlignment="0" applyProtection="0">
      <alignment horizontal="right"/>
    </xf>
    <xf numFmtId="0" fontId="4" fillId="0" borderId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0" fontId="69" fillId="0" borderId="0"/>
    <xf numFmtId="0" fontId="1" fillId="28" borderId="0" applyNumberFormat="0" applyBorder="0" applyAlignment="0" applyProtection="0"/>
    <xf numFmtId="0" fontId="1" fillId="0" borderId="0"/>
    <xf numFmtId="0" fontId="70" fillId="29" borderId="0" applyNumberFormat="0" applyBorder="0" applyAlignment="0" applyProtection="0"/>
  </cellStyleXfs>
  <cellXfs count="443">
    <xf numFmtId="0" fontId="0" fillId="0" borderId="0" xfId="0"/>
    <xf numFmtId="37" fontId="10" fillId="0" borderId="0" xfId="37" applyFont="1" applyFill="1" applyProtection="1">
      <protection hidden="1"/>
    </xf>
    <xf numFmtId="37" fontId="10" fillId="0" borderId="0" xfId="37" applyFont="1" applyProtection="1">
      <protection hidden="1"/>
    </xf>
    <xf numFmtId="37" fontId="34" fillId="0" borderId="0" xfId="37" applyFont="1" applyProtection="1">
      <protection hidden="1"/>
    </xf>
    <xf numFmtId="37" fontId="39" fillId="0" borderId="0" xfId="37" applyFont="1" applyProtection="1">
      <protection hidden="1"/>
    </xf>
    <xf numFmtId="172" fontId="10" fillId="0" borderId="0" xfId="37" applyNumberFormat="1" applyFont="1" applyProtection="1">
      <protection hidden="1"/>
    </xf>
    <xf numFmtId="173" fontId="10" fillId="0" borderId="0" xfId="37" applyNumberFormat="1" applyFont="1" applyProtection="1">
      <protection hidden="1"/>
    </xf>
    <xf numFmtId="37" fontId="43" fillId="0" borderId="0" xfId="37" applyFont="1" applyAlignment="1" applyProtection="1">
      <alignment horizontal="center"/>
      <protection hidden="1"/>
    </xf>
    <xf numFmtId="37" fontId="10" fillId="0" borderId="0" xfId="37" applyFont="1" applyAlignment="1" applyProtection="1">
      <alignment wrapText="1"/>
      <protection hidden="1"/>
    </xf>
    <xf numFmtId="37" fontId="43" fillId="0" borderId="0" xfId="37" applyFont="1" applyAlignment="1" applyProtection="1">
      <protection hidden="1"/>
    </xf>
    <xf numFmtId="0" fontId="0" fillId="0" borderId="26" xfId="0" applyBorder="1" applyAlignment="1"/>
    <xf numFmtId="0" fontId="10" fillId="0" borderId="0" xfId="53"/>
    <xf numFmtId="0" fontId="10" fillId="0" borderId="0" xfId="53" applyFont="1" applyBorder="1" applyAlignment="1">
      <alignment vertical="center"/>
    </xf>
    <xf numFmtId="3" fontId="10" fillId="0" borderId="0" xfId="53" applyNumberFormat="1" applyBorder="1" applyAlignment="1">
      <alignment horizontal="center" vertical="center"/>
    </xf>
    <xf numFmtId="0" fontId="10" fillId="0" borderId="0" xfId="53" applyBorder="1" applyAlignment="1">
      <alignment horizontal="center" vertical="center"/>
    </xf>
    <xf numFmtId="0" fontId="10" fillId="0" borderId="0" xfId="53" applyFont="1"/>
    <xf numFmtId="176" fontId="0" fillId="0" borderId="0" xfId="51" applyNumberFormat="1" applyFont="1"/>
    <xf numFmtId="176" fontId="10" fillId="0" borderId="0" xfId="51" applyNumberFormat="1" applyFont="1"/>
    <xf numFmtId="0" fontId="10" fillId="24" borderId="0" xfId="106" applyFill="1"/>
    <xf numFmtId="176" fontId="0" fillId="24" borderId="0" xfId="51" applyNumberFormat="1" applyFont="1" applyFill="1"/>
    <xf numFmtId="177" fontId="10" fillId="24" borderId="34" xfId="106" applyNumberFormat="1" applyFill="1" applyBorder="1"/>
    <xf numFmtId="176" fontId="0" fillId="24" borderId="37" xfId="51" applyNumberFormat="1" applyFont="1" applyFill="1" applyBorder="1"/>
    <xf numFmtId="176" fontId="0" fillId="24" borderId="0" xfId="51" applyNumberFormat="1" applyFont="1" applyFill="1" applyBorder="1"/>
    <xf numFmtId="176" fontId="0" fillId="24" borderId="38" xfId="51" applyNumberFormat="1" applyFont="1" applyFill="1" applyBorder="1"/>
    <xf numFmtId="0" fontId="14" fillId="24" borderId="33" xfId="106" applyFont="1" applyFill="1" applyBorder="1"/>
    <xf numFmtId="178" fontId="10" fillId="24" borderId="36" xfId="106" applyNumberFormat="1" applyFill="1" applyBorder="1"/>
    <xf numFmtId="179" fontId="0" fillId="24" borderId="0" xfId="51" applyNumberFormat="1" applyFont="1" applyFill="1" applyBorder="1"/>
    <xf numFmtId="179" fontId="10" fillId="24" borderId="0" xfId="106" applyNumberFormat="1" applyFill="1" applyBorder="1"/>
    <xf numFmtId="179" fontId="0" fillId="24" borderId="37" xfId="51" applyNumberFormat="1" applyFont="1" applyFill="1" applyBorder="1"/>
    <xf numFmtId="177" fontId="10" fillId="24" borderId="39" xfId="106" applyNumberFormat="1" applyFill="1" applyBorder="1"/>
    <xf numFmtId="41" fontId="0" fillId="24" borderId="40" xfId="51" applyNumberFormat="1" applyFont="1" applyFill="1" applyBorder="1"/>
    <xf numFmtId="176" fontId="0" fillId="24" borderId="41" xfId="51" applyNumberFormat="1" applyFont="1" applyFill="1" applyBorder="1"/>
    <xf numFmtId="176" fontId="0" fillId="24" borderId="42" xfId="51" applyNumberFormat="1" applyFont="1" applyFill="1" applyBorder="1"/>
    <xf numFmtId="176" fontId="0" fillId="24" borderId="43" xfId="51" applyNumberFormat="1" applyFont="1" applyFill="1" applyBorder="1"/>
    <xf numFmtId="0" fontId="14" fillId="24" borderId="44" xfId="106" applyFont="1" applyFill="1" applyBorder="1"/>
    <xf numFmtId="178" fontId="10" fillId="24" borderId="40" xfId="106" applyNumberFormat="1" applyFill="1" applyBorder="1"/>
    <xf numFmtId="179" fontId="0" fillId="24" borderId="42" xfId="51" applyNumberFormat="1" applyFont="1" applyFill="1" applyBorder="1"/>
    <xf numFmtId="179" fontId="0" fillId="24" borderId="41" xfId="51" applyNumberFormat="1" applyFont="1" applyFill="1" applyBorder="1"/>
    <xf numFmtId="0" fontId="46" fillId="24" borderId="0" xfId="106" applyFont="1" applyFill="1"/>
    <xf numFmtId="0" fontId="14" fillId="24" borderId="0" xfId="106" applyFont="1" applyFill="1"/>
    <xf numFmtId="0" fontId="14" fillId="0" borderId="0" xfId="106" applyFont="1"/>
    <xf numFmtId="176" fontId="46" fillId="24" borderId="0" xfId="51" applyNumberFormat="1" applyFont="1" applyFill="1" applyAlignment="1">
      <alignment horizontal="center" vertical="center"/>
    </xf>
    <xf numFmtId="0" fontId="34" fillId="24" borderId="0" xfId="106" applyFont="1" applyFill="1" applyAlignment="1">
      <alignment horizontal="center" vertical="center" wrapText="1"/>
    </xf>
    <xf numFmtId="0" fontId="14" fillId="24" borderId="32" xfId="106" applyFont="1" applyFill="1" applyBorder="1" applyAlignment="1">
      <alignment horizontal="center" vertical="center" wrapText="1"/>
    </xf>
    <xf numFmtId="0" fontId="14" fillId="24" borderId="45" xfId="106" applyFont="1" applyFill="1" applyBorder="1" applyAlignment="1">
      <alignment horizontal="center" vertical="center" wrapText="1"/>
    </xf>
    <xf numFmtId="0" fontId="14" fillId="24" borderId="46" xfId="106" applyFont="1" applyFill="1" applyBorder="1" applyAlignment="1">
      <alignment horizontal="center" vertical="center" wrapText="1"/>
    </xf>
    <xf numFmtId="0" fontId="14" fillId="24" borderId="31" xfId="106" applyFont="1" applyFill="1" applyBorder="1" applyAlignment="1">
      <alignment horizontal="center" vertical="center" wrapText="1"/>
    </xf>
    <xf numFmtId="0" fontId="14" fillId="24" borderId="47" xfId="106" applyFont="1" applyFill="1" applyBorder="1" applyAlignment="1">
      <alignment horizontal="center" vertical="center" wrapText="1"/>
    </xf>
    <xf numFmtId="0" fontId="14" fillId="24" borderId="30" xfId="106" applyFont="1" applyFill="1" applyBorder="1" applyAlignment="1">
      <alignment horizontal="center" vertical="center"/>
    </xf>
    <xf numFmtId="0" fontId="14" fillId="24" borderId="0" xfId="106" applyFont="1" applyFill="1" applyAlignment="1"/>
    <xf numFmtId="0" fontId="14" fillId="24" borderId="0" xfId="106" applyFont="1" applyFill="1" applyAlignment="1">
      <alignment horizontal="center" vertical="center" wrapText="1"/>
    </xf>
    <xf numFmtId="43" fontId="14" fillId="0" borderId="0" xfId="51" applyNumberFormat="1" applyFont="1" applyFill="1" applyBorder="1"/>
    <xf numFmtId="43" fontId="10" fillId="0" borderId="0" xfId="53" applyNumberFormat="1" applyFont="1"/>
    <xf numFmtId="43" fontId="0" fillId="0" borderId="0" xfId="51" applyNumberFormat="1" applyFont="1"/>
    <xf numFmtId="0" fontId="33" fillId="0" borderId="0" xfId="109" applyFont="1"/>
    <xf numFmtId="43" fontId="33" fillId="0" borderId="0" xfId="110" applyFon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10" fillId="24" borderId="11" xfId="37" applyFont="1" applyFill="1" applyBorder="1" applyAlignment="1" applyProtection="1">
      <alignment horizontal="left"/>
      <protection hidden="1"/>
    </xf>
    <xf numFmtId="37" fontId="10" fillId="24" borderId="12" xfId="37" applyFont="1" applyFill="1" applyBorder="1" applyAlignment="1" applyProtection="1">
      <alignment horizontal="left"/>
      <protection hidden="1"/>
    </xf>
    <xf numFmtId="37" fontId="10" fillId="24" borderId="0" xfId="37" applyFont="1" applyFill="1" applyProtection="1">
      <protection hidden="1"/>
    </xf>
    <xf numFmtId="37" fontId="14" fillId="24" borderId="13" xfId="37" applyFont="1" applyFill="1" applyBorder="1" applyAlignment="1" applyProtection="1">
      <alignment horizontal="left"/>
      <protection hidden="1"/>
    </xf>
    <xf numFmtId="37" fontId="10" fillId="24" borderId="0" xfId="37" applyFont="1" applyFill="1" applyBorder="1" applyProtection="1">
      <protection hidden="1"/>
    </xf>
    <xf numFmtId="173" fontId="10" fillId="24" borderId="0" xfId="37" applyNumberFormat="1" applyFont="1" applyFill="1" applyProtection="1">
      <protection hidden="1"/>
    </xf>
    <xf numFmtId="37" fontId="14" fillId="24" borderId="1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37" fontId="39" fillId="24" borderId="0" xfId="37" applyFont="1" applyFill="1" applyBorder="1" applyAlignment="1" applyProtection="1">
      <alignment horizontal="center" vertical="center" wrapText="1"/>
      <protection hidden="1"/>
    </xf>
    <xf numFmtId="37" fontId="39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37" fontId="10" fillId="24" borderId="11" xfId="37" applyFont="1" applyFill="1" applyBorder="1" applyProtection="1">
      <protection hidden="1"/>
    </xf>
    <xf numFmtId="37" fontId="10" fillId="24" borderId="12" xfId="37" applyFont="1" applyFill="1" applyBorder="1" applyProtection="1">
      <protection hidden="1"/>
    </xf>
    <xf numFmtId="37" fontId="10" fillId="24" borderId="21" xfId="37" applyFont="1" applyFill="1" applyBorder="1" applyProtection="1">
      <protection hidden="1"/>
    </xf>
    <xf numFmtId="37" fontId="14" fillId="24" borderId="13" xfId="37" applyFont="1" applyFill="1" applyBorder="1" applyProtection="1">
      <protection hidden="1"/>
    </xf>
    <xf numFmtId="37" fontId="14" fillId="24" borderId="14" xfId="37" applyFont="1" applyFill="1" applyBorder="1" applyProtection="1">
      <protection hidden="1"/>
    </xf>
    <xf numFmtId="0" fontId="10" fillId="24" borderId="0" xfId="106" applyFill="1" applyBorder="1"/>
    <xf numFmtId="0" fontId="14" fillId="24" borderId="0" xfId="106" applyFont="1" applyFill="1" applyBorder="1"/>
    <xf numFmtId="0" fontId="14" fillId="24" borderId="0" xfId="106" applyFont="1" applyFill="1" applyBorder="1" applyAlignment="1">
      <alignment horizontal="center" vertical="center" wrapText="1"/>
    </xf>
    <xf numFmtId="0" fontId="34" fillId="24" borderId="0" xfId="106" applyFont="1" applyFill="1" applyBorder="1" applyAlignment="1">
      <alignment horizontal="center" vertical="center" wrapText="1"/>
    </xf>
    <xf numFmtId="176" fontId="46" fillId="24" borderId="0" xfId="51" applyNumberFormat="1" applyFont="1" applyFill="1" applyBorder="1" applyAlignment="1">
      <alignment horizontal="center" vertical="center"/>
    </xf>
    <xf numFmtId="0" fontId="14" fillId="0" borderId="0" xfId="106" applyFont="1" applyBorder="1"/>
    <xf numFmtId="0" fontId="46" fillId="24" borderId="0" xfId="106" applyFont="1" applyFill="1" applyBorder="1"/>
    <xf numFmtId="177" fontId="10" fillId="24" borderId="0" xfId="106" applyNumberFormat="1" applyFill="1" applyBorder="1"/>
    <xf numFmtId="178" fontId="10" fillId="24" borderId="0" xfId="106" applyNumberFormat="1" applyFill="1" applyBorder="1"/>
    <xf numFmtId="38" fontId="10" fillId="24" borderId="0" xfId="106" applyNumberFormat="1" applyFill="1" applyBorder="1"/>
    <xf numFmtId="176" fontId="14" fillId="24" borderId="0" xfId="51" applyNumberFormat="1" applyFont="1" applyFill="1" applyBorder="1"/>
    <xf numFmtId="179" fontId="14" fillId="24" borderId="0" xfId="51" applyNumberFormat="1" applyFont="1" applyFill="1" applyBorder="1"/>
    <xf numFmtId="176" fontId="14" fillId="24" borderId="0" xfId="106" applyNumberFormat="1" applyFont="1" applyFill="1" applyBorder="1"/>
    <xf numFmtId="179" fontId="14" fillId="24" borderId="0" xfId="106" applyNumberFormat="1" applyFont="1" applyFill="1" applyBorder="1"/>
    <xf numFmtId="177" fontId="14" fillId="24" borderId="0" xfId="106" applyNumberFormat="1" applyFont="1" applyFill="1" applyBorder="1"/>
    <xf numFmtId="178" fontId="14" fillId="24" borderId="0" xfId="106" applyNumberFormat="1" applyFont="1" applyFill="1" applyBorder="1"/>
    <xf numFmtId="38" fontId="14" fillId="24" borderId="0" xfId="106" applyNumberFormat="1" applyFont="1" applyFill="1" applyBorder="1"/>
    <xf numFmtId="38" fontId="14" fillId="24" borderId="0" xfId="51" applyNumberFormat="1" applyFont="1" applyFill="1" applyBorder="1"/>
    <xf numFmtId="181" fontId="0" fillId="24" borderId="0" xfId="51" applyNumberFormat="1" applyFont="1" applyFill="1" applyBorder="1"/>
    <xf numFmtId="176" fontId="0" fillId="24" borderId="0" xfId="102" applyNumberFormat="1" applyFont="1" applyFill="1"/>
    <xf numFmtId="176" fontId="0" fillId="0" borderId="0" xfId="102" applyNumberFormat="1" applyFont="1"/>
    <xf numFmtId="176" fontId="50" fillId="24" borderId="47" xfId="102" applyNumberFormat="1" applyFont="1" applyFill="1" applyBorder="1" applyAlignment="1">
      <alignment horizontal="center" vertical="center" wrapText="1"/>
    </xf>
    <xf numFmtId="176" fontId="50" fillId="24" borderId="46" xfId="102" applyNumberFormat="1" applyFont="1" applyFill="1" applyBorder="1" applyAlignment="1">
      <alignment horizontal="center" vertical="center" wrapText="1"/>
    </xf>
    <xf numFmtId="38" fontId="50" fillId="24" borderId="57" xfId="102" applyNumberFormat="1" applyFont="1" applyFill="1" applyBorder="1"/>
    <xf numFmtId="176" fontId="50" fillId="24" borderId="47" xfId="102" applyNumberFormat="1" applyFont="1" applyFill="1" applyBorder="1"/>
    <xf numFmtId="38" fontId="53" fillId="24" borderId="46" xfId="102" applyNumberFormat="1" applyFont="1" applyFill="1" applyBorder="1"/>
    <xf numFmtId="176" fontId="50" fillId="24" borderId="0" xfId="102" applyNumberFormat="1" applyFont="1" applyFill="1" applyBorder="1"/>
    <xf numFmtId="14" fontId="54" fillId="24" borderId="0" xfId="102" applyNumberFormat="1" applyFont="1" applyFill="1" applyAlignment="1">
      <alignment horizontal="left"/>
    </xf>
    <xf numFmtId="176" fontId="54" fillId="24" borderId="0" xfId="102" applyNumberFormat="1" applyFont="1" applyFill="1"/>
    <xf numFmtId="176" fontId="52" fillId="24" borderId="0" xfId="102" applyNumberFormat="1" applyFont="1" applyFill="1"/>
    <xf numFmtId="37" fontId="10" fillId="24" borderId="0" xfId="37" applyFont="1" applyFill="1" applyAlignment="1" applyProtection="1">
      <alignment wrapText="1"/>
      <protection hidden="1"/>
    </xf>
    <xf numFmtId="173" fontId="42" fillId="24" borderId="0" xfId="37" applyNumberFormat="1" applyFont="1" applyFill="1" applyAlignment="1" applyProtection="1">
      <alignment horizontal="center" vertical="center"/>
      <protection hidden="1"/>
    </xf>
    <xf numFmtId="39" fontId="14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4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6" fillId="24" borderId="0" xfId="37" applyFont="1" applyFill="1" applyBorder="1" applyAlignment="1" applyProtection="1">
      <alignment horizontal="center" vertical="center" wrapText="1"/>
      <protection hidden="1"/>
    </xf>
    <xf numFmtId="39" fontId="34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112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Protection="1">
      <protection hidden="1"/>
    </xf>
    <xf numFmtId="173" fontId="39" fillId="24" borderId="0" xfId="37" applyNumberFormat="1" applyFont="1" applyFill="1" applyProtection="1">
      <protection hidden="1"/>
    </xf>
    <xf numFmtId="39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Alignment="1" applyProtection="1">
      <alignment horizontal="center" vertical="center" wrapText="1"/>
      <protection hidden="1"/>
    </xf>
    <xf numFmtId="37" fontId="10" fillId="24" borderId="11" xfId="37" applyNumberFormat="1" applyFont="1" applyFill="1" applyBorder="1" applyProtection="1">
      <protection hidden="1"/>
    </xf>
    <xf numFmtId="37" fontId="10" fillId="24" borderId="69" xfId="37" applyFont="1" applyFill="1" applyBorder="1" applyProtection="1">
      <protection hidden="1"/>
    </xf>
    <xf numFmtId="37" fontId="10" fillId="24" borderId="12" xfId="37" applyNumberFormat="1" applyFont="1" applyFill="1" applyBorder="1" applyProtection="1">
      <protection hidden="1"/>
    </xf>
    <xf numFmtId="37" fontId="14" fillId="24" borderId="13" xfId="37" applyNumberFormat="1" applyFont="1" applyFill="1" applyBorder="1" applyProtection="1">
      <protection hidden="1"/>
    </xf>
    <xf numFmtId="37" fontId="14" fillId="24" borderId="25" xfId="37" applyFont="1" applyFill="1" applyBorder="1" applyAlignment="1" applyProtection="1">
      <alignment horizontal="center" vertical="center" wrapText="1"/>
      <protection hidden="1"/>
    </xf>
    <xf numFmtId="37" fontId="14" fillId="24" borderId="0" xfId="37" applyFont="1" applyFill="1" applyBorder="1" applyAlignment="1" applyProtection="1">
      <alignment horizontal="center" vertical="center" wrapText="1"/>
      <protection hidden="1"/>
    </xf>
    <xf numFmtId="0" fontId="53" fillId="26" borderId="49" xfId="109" applyFont="1" applyFill="1" applyBorder="1"/>
    <xf numFmtId="43" fontId="53" fillId="26" borderId="49" xfId="110" applyFont="1" applyFill="1" applyBorder="1" applyAlignment="1">
      <alignment horizontal="center" vertical="center"/>
    </xf>
    <xf numFmtId="0" fontId="53" fillId="26" borderId="49" xfId="109" applyFont="1" applyFill="1" applyBorder="1" applyAlignment="1">
      <alignment horizontal="center"/>
    </xf>
    <xf numFmtId="0" fontId="54" fillId="0" borderId="65" xfId="109" applyFont="1" applyBorder="1"/>
    <xf numFmtId="43" fontId="54" fillId="0" borderId="61" xfId="110" applyFont="1" applyBorder="1" applyAlignment="1">
      <alignment horizontal="center"/>
    </xf>
    <xf numFmtId="180" fontId="54" fillId="0" borderId="51" xfId="109" applyNumberFormat="1" applyFont="1" applyBorder="1" applyAlignment="1">
      <alignment horizontal="center"/>
    </xf>
    <xf numFmtId="3" fontId="54" fillId="0" borderId="56" xfId="109" applyNumberFormat="1" applyFont="1" applyBorder="1" applyAlignment="1"/>
    <xf numFmtId="0" fontId="54" fillId="0" borderId="66" xfId="109" applyFont="1" applyBorder="1"/>
    <xf numFmtId="43" fontId="54" fillId="0" borderId="62" xfId="110" applyFont="1" applyBorder="1"/>
    <xf numFmtId="180" fontId="54" fillId="0" borderId="50" xfId="109" applyNumberFormat="1" applyFont="1" applyBorder="1" applyAlignment="1">
      <alignment horizontal="center"/>
    </xf>
    <xf numFmtId="3" fontId="54" fillId="0" borderId="57" xfId="109" applyNumberFormat="1" applyFont="1" applyBorder="1"/>
    <xf numFmtId="0" fontId="54" fillId="0" borderId="66" xfId="109" applyFont="1" applyFill="1" applyBorder="1"/>
    <xf numFmtId="43" fontId="54" fillId="0" borderId="62" xfId="110" applyFont="1" applyFill="1" applyBorder="1" applyAlignment="1" applyProtection="1"/>
    <xf numFmtId="43" fontId="57" fillId="0" borderId="62" xfId="110" applyFont="1" applyBorder="1" applyAlignment="1">
      <alignment vertical="center"/>
    </xf>
    <xf numFmtId="0" fontId="54" fillId="24" borderId="66" xfId="109" applyFont="1" applyFill="1" applyBorder="1"/>
    <xf numFmtId="43" fontId="54" fillId="24" borderId="62" xfId="110" applyFont="1" applyFill="1" applyBorder="1"/>
    <xf numFmtId="43" fontId="49" fillId="0" borderId="62" xfId="110" applyFont="1" applyBorder="1"/>
    <xf numFmtId="0" fontId="51" fillId="0" borderId="66" xfId="109" applyFont="1" applyFill="1" applyBorder="1"/>
    <xf numFmtId="0" fontId="54" fillId="0" borderId="67" xfId="109" applyFont="1" applyBorder="1"/>
    <xf numFmtId="43" fontId="54" fillId="0" borderId="63" xfId="110" applyFont="1" applyBorder="1"/>
    <xf numFmtId="3" fontId="54" fillId="0" borderId="58" xfId="109" applyNumberFormat="1" applyFont="1" applyBorder="1"/>
    <xf numFmtId="0" fontId="53" fillId="27" borderId="60" xfId="109" applyFont="1" applyFill="1" applyBorder="1"/>
    <xf numFmtId="180" fontId="53" fillId="27" borderId="55" xfId="109" applyNumberFormat="1" applyFont="1" applyFill="1" applyBorder="1"/>
    <xf numFmtId="3" fontId="53" fillId="27" borderId="59" xfId="109" applyNumberFormat="1" applyFont="1" applyFill="1" applyBorder="1"/>
    <xf numFmtId="0" fontId="54" fillId="0" borderId="0" xfId="109" applyFont="1"/>
    <xf numFmtId="43" fontId="54" fillId="0" borderId="0" xfId="110" applyFont="1"/>
    <xf numFmtId="0" fontId="53" fillId="27" borderId="27" xfId="109" applyFont="1" applyFill="1" applyBorder="1"/>
    <xf numFmtId="43" fontId="53" fillId="0" borderId="29" xfId="110" applyFont="1" applyBorder="1"/>
    <xf numFmtId="0" fontId="53" fillId="27" borderId="54" xfId="109" applyFont="1" applyFill="1" applyBorder="1"/>
    <xf numFmtId="43" fontId="53" fillId="0" borderId="54" xfId="110" applyFont="1" applyBorder="1"/>
    <xf numFmtId="44" fontId="54" fillId="24" borderId="0" xfId="114" applyFont="1" applyFill="1" applyAlignment="1">
      <alignment horizontal="left"/>
    </xf>
    <xf numFmtId="176" fontId="14" fillId="0" borderId="72" xfId="51" applyNumberFormat="1" applyFont="1" applyFill="1" applyBorder="1"/>
    <xf numFmtId="176" fontId="14" fillId="0" borderId="73" xfId="51" applyNumberFormat="1" applyFont="1" applyFill="1" applyBorder="1"/>
    <xf numFmtId="38" fontId="14" fillId="0" borderId="73" xfId="51" applyNumberFormat="1" applyFont="1" applyFill="1" applyBorder="1"/>
    <xf numFmtId="176" fontId="14" fillId="0" borderId="74" xfId="51" applyNumberFormat="1" applyFont="1" applyFill="1" applyBorder="1"/>
    <xf numFmtId="176" fontId="14" fillId="0" borderId="27" xfId="51" applyNumberFormat="1" applyFont="1" applyFill="1" applyBorder="1"/>
    <xf numFmtId="176" fontId="14" fillId="0" borderId="75" xfId="51" applyNumberFormat="1" applyFont="1" applyFill="1" applyBorder="1"/>
    <xf numFmtId="176" fontId="14" fillId="0" borderId="28" xfId="51" applyNumberFormat="1" applyFont="1" applyFill="1" applyBorder="1"/>
    <xf numFmtId="38" fontId="0" fillId="24" borderId="42" xfId="51" applyNumberFormat="1" applyFont="1" applyFill="1" applyBorder="1"/>
    <xf numFmtId="183" fontId="10" fillId="24" borderId="42" xfId="106" applyNumberFormat="1" applyFill="1" applyBorder="1"/>
    <xf numFmtId="183" fontId="10" fillId="24" borderId="0" xfId="106" applyNumberFormat="1" applyFill="1" applyBorder="1"/>
    <xf numFmtId="41" fontId="0" fillId="24" borderId="36" xfId="51" applyNumberFormat="1" applyFont="1" applyFill="1" applyBorder="1"/>
    <xf numFmtId="172" fontId="10" fillId="24" borderId="20" xfId="40" applyNumberFormat="1" applyFont="1" applyFill="1" applyBorder="1" applyProtection="1">
      <protection hidden="1"/>
    </xf>
    <xf numFmtId="172" fontId="10" fillId="24" borderId="19" xfId="40" applyNumberFormat="1" applyFont="1" applyFill="1" applyBorder="1" applyProtection="1">
      <protection hidden="1"/>
    </xf>
    <xf numFmtId="172" fontId="14" fillId="24" borderId="15" xfId="40" applyNumberFormat="1" applyFont="1" applyFill="1" applyBorder="1" applyProtection="1">
      <protection hidden="1"/>
    </xf>
    <xf numFmtId="172" fontId="10" fillId="24" borderId="16" xfId="33" applyNumberFormat="1" applyFont="1" applyFill="1" applyBorder="1" applyProtection="1">
      <protection hidden="1"/>
    </xf>
    <xf numFmtId="172" fontId="10" fillId="24" borderId="17" xfId="33" applyNumberFormat="1" applyFont="1" applyFill="1" applyBorder="1" applyProtection="1">
      <protection hidden="1"/>
    </xf>
    <xf numFmtId="172" fontId="14" fillId="24" borderId="18" xfId="40" applyNumberFormat="1" applyFont="1" applyFill="1" applyBorder="1" applyProtection="1">
      <protection hidden="1"/>
    </xf>
    <xf numFmtId="172" fontId="14" fillId="24" borderId="15" xfId="37" applyNumberFormat="1" applyFont="1" applyFill="1" applyBorder="1" applyProtection="1">
      <protection hidden="1"/>
    </xf>
    <xf numFmtId="176" fontId="50" fillId="24" borderId="45" xfId="102" applyNumberFormat="1" applyFont="1" applyFill="1" applyBorder="1" applyAlignment="1">
      <alignment horizontal="center" vertical="center" wrapText="1"/>
    </xf>
    <xf numFmtId="0" fontId="14" fillId="24" borderId="0" xfId="106" applyFont="1" applyFill="1" applyBorder="1" applyAlignment="1">
      <alignment horizontal="center" vertical="center"/>
    </xf>
    <xf numFmtId="9" fontId="46" fillId="24" borderId="0" xfId="115" applyFont="1" applyFill="1" applyAlignment="1">
      <alignment horizontal="center" vertical="center"/>
    </xf>
    <xf numFmtId="179" fontId="0" fillId="24" borderId="42" xfId="115" applyNumberFormat="1" applyFont="1" applyFill="1" applyBorder="1"/>
    <xf numFmtId="179" fontId="0" fillId="24" borderId="0" xfId="115" applyNumberFormat="1" applyFont="1" applyFill="1" applyBorder="1"/>
    <xf numFmtId="0" fontId="14" fillId="24" borderId="76" xfId="106" applyFont="1" applyFill="1" applyBorder="1"/>
    <xf numFmtId="176" fontId="14" fillId="24" borderId="77" xfId="51" applyNumberFormat="1" applyFont="1" applyFill="1" applyBorder="1"/>
    <xf numFmtId="176" fontId="14" fillId="24" borderId="78" xfId="51" applyNumberFormat="1" applyFont="1" applyFill="1" applyBorder="1"/>
    <xf numFmtId="179" fontId="14" fillId="24" borderId="78" xfId="115" applyNumberFormat="1" applyFont="1" applyFill="1" applyBorder="1"/>
    <xf numFmtId="179" fontId="14" fillId="24" borderId="79" xfId="51" applyNumberFormat="1" applyFont="1" applyFill="1" applyBorder="1"/>
    <xf numFmtId="176" fontId="14" fillId="24" borderId="78" xfId="106" applyNumberFormat="1" applyFont="1" applyFill="1" applyBorder="1"/>
    <xf numFmtId="179" fontId="14" fillId="24" borderId="78" xfId="106" applyNumberFormat="1" applyFont="1" applyFill="1" applyBorder="1"/>
    <xf numFmtId="179" fontId="14" fillId="24" borderId="78" xfId="51" applyNumberFormat="1" applyFont="1" applyFill="1" applyBorder="1"/>
    <xf numFmtId="177" fontId="14" fillId="24" borderId="80" xfId="106" applyNumberFormat="1" applyFont="1" applyFill="1" applyBorder="1"/>
    <xf numFmtId="178" fontId="14" fillId="24" borderId="81" xfId="106" applyNumberFormat="1" applyFont="1" applyFill="1" applyBorder="1"/>
    <xf numFmtId="176" fontId="14" fillId="24" borderId="77" xfId="106" applyNumberFormat="1" applyFont="1" applyFill="1" applyBorder="1"/>
    <xf numFmtId="176" fontId="14" fillId="24" borderId="79" xfId="106" applyNumberFormat="1" applyFont="1" applyFill="1" applyBorder="1"/>
    <xf numFmtId="176" fontId="14" fillId="24" borderId="81" xfId="51" applyNumberFormat="1" applyFont="1" applyFill="1" applyBorder="1"/>
    <xf numFmtId="9" fontId="46" fillId="24" borderId="0" xfId="115" applyFont="1" applyFill="1" applyBorder="1" applyAlignment="1">
      <alignment horizontal="center" vertical="center"/>
    </xf>
    <xf numFmtId="179" fontId="14" fillId="24" borderId="0" xfId="115" applyNumberFormat="1" applyFont="1" applyFill="1" applyBorder="1"/>
    <xf numFmtId="172" fontId="14" fillId="24" borderId="20" xfId="37" applyNumberFormat="1" applyFont="1" applyFill="1" applyBorder="1" applyProtection="1">
      <protection hidden="1"/>
    </xf>
    <xf numFmtId="172" fontId="14" fillId="24" borderId="19" xfId="37" applyNumberFormat="1" applyFont="1" applyFill="1" applyBorder="1" applyProtection="1">
      <protection hidden="1"/>
    </xf>
    <xf numFmtId="0" fontId="10" fillId="0" borderId="82" xfId="53" applyFont="1" applyBorder="1" applyAlignment="1">
      <alignment vertical="center" wrapText="1"/>
    </xf>
    <xf numFmtId="184" fontId="14" fillId="24" borderId="39" xfId="106" applyNumberFormat="1" applyFont="1" applyFill="1" applyBorder="1"/>
    <xf numFmtId="184" fontId="14" fillId="24" borderId="34" xfId="106" applyNumberFormat="1" applyFont="1" applyFill="1" applyBorder="1"/>
    <xf numFmtId="184" fontId="14" fillId="24" borderId="80" xfId="106" applyNumberFormat="1" applyFont="1" applyFill="1" applyBorder="1"/>
    <xf numFmtId="38" fontId="14" fillId="0" borderId="35" xfId="51" applyNumberFormat="1" applyFont="1" applyFill="1" applyBorder="1"/>
    <xf numFmtId="185" fontId="10" fillId="0" borderId="0" xfId="53" applyNumberFormat="1"/>
    <xf numFmtId="37" fontId="14" fillId="24" borderId="73" xfId="37" applyFont="1" applyFill="1" applyBorder="1" applyAlignment="1" applyProtection="1">
      <alignment horizontal="center" vertical="center" wrapText="1"/>
      <protection hidden="1"/>
    </xf>
    <xf numFmtId="37" fontId="10" fillId="0" borderId="26" xfId="37" applyFont="1" applyBorder="1" applyAlignment="1" applyProtection="1">
      <alignment wrapText="1"/>
      <protection hidden="1"/>
    </xf>
    <xf numFmtId="167" fontId="61" fillId="0" borderId="0" xfId="40" applyNumberFormat="1" applyFont="1" applyProtection="1">
      <protection hidden="1"/>
    </xf>
    <xf numFmtId="49" fontId="62" fillId="0" borderId="10" xfId="54" applyNumberFormat="1" applyFont="1" applyFill="1" applyBorder="1" applyAlignment="1" applyProtection="1">
      <alignment horizontal="center" vertical="center" wrapText="1"/>
      <protection hidden="1"/>
    </xf>
    <xf numFmtId="37" fontId="14" fillId="0" borderId="10" xfId="37" applyFont="1" applyFill="1" applyBorder="1" applyAlignment="1" applyProtection="1">
      <alignment horizontal="center" vertical="center" wrapText="1"/>
      <protection hidden="1"/>
    </xf>
    <xf numFmtId="37" fontId="60" fillId="0" borderId="0" xfId="37" applyFont="1" applyBorder="1" applyAlignment="1" applyProtection="1">
      <alignment horizontal="center" vertical="center" wrapText="1"/>
      <protection hidden="1"/>
    </xf>
    <xf numFmtId="37" fontId="63" fillId="0" borderId="0" xfId="37" applyFont="1" applyBorder="1" applyAlignment="1" applyProtection="1">
      <alignment horizontal="center" vertical="center" wrapText="1"/>
      <protection hidden="1"/>
    </xf>
    <xf numFmtId="37" fontId="10" fillId="0" borderId="11" xfId="37" applyFont="1" applyFill="1" applyBorder="1" applyAlignment="1" applyProtection="1">
      <alignment horizontal="left"/>
      <protection hidden="1"/>
    </xf>
    <xf numFmtId="37" fontId="10" fillId="0" borderId="69" xfId="37" applyFont="1" applyFill="1" applyBorder="1" applyAlignment="1" applyProtection="1">
      <alignment horizontal="right"/>
      <protection hidden="1"/>
    </xf>
    <xf numFmtId="37" fontId="14" fillId="0" borderId="69" xfId="37" applyFont="1" applyFill="1" applyBorder="1" applyAlignment="1" applyProtection="1">
      <alignment horizontal="right"/>
      <protection hidden="1"/>
    </xf>
    <xf numFmtId="37" fontId="14" fillId="0" borderId="23" xfId="37" applyNumberFormat="1" applyFont="1" applyFill="1" applyBorder="1" applyAlignment="1" applyProtection="1">
      <alignment horizontal="right"/>
      <protection hidden="1"/>
    </xf>
    <xf numFmtId="165" fontId="14" fillId="0" borderId="20" xfId="33" applyNumberFormat="1" applyFont="1" applyFill="1" applyBorder="1" applyProtection="1">
      <protection hidden="1"/>
    </xf>
    <xf numFmtId="37" fontId="10" fillId="0" borderId="12" xfId="37" applyFont="1" applyFill="1" applyBorder="1" applyAlignment="1" applyProtection="1">
      <alignment horizontal="left"/>
      <protection hidden="1"/>
    </xf>
    <xf numFmtId="37" fontId="10" fillId="0" borderId="21" xfId="37" applyFont="1" applyFill="1" applyBorder="1" applyAlignment="1" applyProtection="1">
      <alignment horizontal="right"/>
      <protection hidden="1"/>
    </xf>
    <xf numFmtId="37" fontId="10" fillId="0" borderId="83" xfId="37" applyFont="1" applyFill="1" applyBorder="1" applyAlignment="1" applyProtection="1">
      <protection hidden="1"/>
    </xf>
    <xf numFmtId="37" fontId="14" fillId="0" borderId="21" xfId="37" applyFont="1" applyFill="1" applyBorder="1" applyAlignment="1" applyProtection="1">
      <alignment horizontal="right"/>
      <protection hidden="1"/>
    </xf>
    <xf numFmtId="37" fontId="14" fillId="0" borderId="24" xfId="40" applyNumberFormat="1" applyFont="1" applyFill="1" applyBorder="1" applyProtection="1">
      <protection hidden="1"/>
    </xf>
    <xf numFmtId="165" fontId="14" fillId="0" borderId="19" xfId="33" applyNumberFormat="1" applyFont="1" applyFill="1" applyBorder="1" applyProtection="1">
      <protection hidden="1"/>
    </xf>
    <xf numFmtId="37" fontId="14" fillId="0" borderId="13" xfId="37" applyFont="1" applyFill="1" applyBorder="1" applyAlignment="1" applyProtection="1">
      <alignment horizontal="left"/>
      <protection hidden="1"/>
    </xf>
    <xf numFmtId="37" fontId="14" fillId="0" borderId="14" xfId="37" applyFont="1" applyFill="1" applyBorder="1" applyAlignment="1" applyProtection="1">
      <alignment horizontal="right"/>
      <protection hidden="1"/>
    </xf>
    <xf numFmtId="165" fontId="14" fillId="0" borderId="15" xfId="33" applyNumberFormat="1" applyFont="1" applyFill="1" applyBorder="1" applyProtection="1">
      <protection hidden="1"/>
    </xf>
    <xf numFmtId="37" fontId="14" fillId="0" borderId="0" xfId="37" applyFont="1" applyProtection="1">
      <protection hidden="1"/>
    </xf>
    <xf numFmtId="187" fontId="10" fillId="0" borderId="0" xfId="40" applyNumberFormat="1" applyFont="1" applyProtection="1">
      <protection hidden="1"/>
    </xf>
    <xf numFmtId="37" fontId="10" fillId="0" borderId="0" xfId="37" applyFont="1" applyBorder="1" applyProtection="1">
      <protection hidden="1"/>
    </xf>
    <xf numFmtId="164" fontId="10" fillId="0" borderId="0" xfId="33" applyFont="1" applyBorder="1" applyProtection="1">
      <protection hidden="1"/>
    </xf>
    <xf numFmtId="167" fontId="61" fillId="0" borderId="0" xfId="40" applyNumberFormat="1" applyFont="1" applyBorder="1" applyProtection="1">
      <protection hidden="1"/>
    </xf>
    <xf numFmtId="10" fontId="10" fillId="0" borderId="0" xfId="40" applyNumberFormat="1" applyFont="1" applyAlignment="1" applyProtection="1">
      <alignment horizontal="center"/>
      <protection hidden="1"/>
    </xf>
    <xf numFmtId="37" fontId="64" fillId="0" borderId="0" xfId="37" applyFont="1" applyProtection="1">
      <protection hidden="1"/>
    </xf>
    <xf numFmtId="188" fontId="10" fillId="0" borderId="0" xfId="40" applyNumberFormat="1" applyFont="1" applyProtection="1">
      <protection hidden="1"/>
    </xf>
    <xf numFmtId="189" fontId="10" fillId="0" borderId="0" xfId="37" applyNumberFormat="1" applyFont="1" applyProtection="1">
      <protection hidden="1"/>
    </xf>
    <xf numFmtId="190" fontId="10" fillId="0" borderId="0" xfId="37" applyNumberFormat="1" applyFont="1" applyProtection="1">
      <protection hidden="1"/>
    </xf>
    <xf numFmtId="0" fontId="14" fillId="0" borderId="82" xfId="53" applyFont="1" applyBorder="1" applyAlignment="1">
      <alignment horizontal="center" vertical="center" wrapText="1"/>
    </xf>
    <xf numFmtId="182" fontId="10" fillId="0" borderId="82" xfId="33" applyNumberFormat="1" applyFont="1" applyFill="1" applyBorder="1" applyAlignment="1">
      <alignment vertical="center" wrapText="1"/>
    </xf>
    <xf numFmtId="182" fontId="10" fillId="0" borderId="82" xfId="53" applyNumberFormat="1" applyFont="1" applyBorder="1" applyAlignment="1">
      <alignment horizontal="center" vertical="center" wrapText="1"/>
    </xf>
    <xf numFmtId="0" fontId="14" fillId="0" borderId="82" xfId="53" applyFont="1" applyBorder="1" applyAlignment="1">
      <alignment vertical="center" wrapText="1"/>
    </xf>
    <xf numFmtId="182" fontId="14" fillId="0" borderId="82" xfId="33" applyNumberFormat="1" applyFont="1" applyFill="1" applyBorder="1" applyAlignment="1">
      <alignment vertical="center" wrapText="1"/>
    </xf>
    <xf numFmtId="182" fontId="14" fillId="0" borderId="82" xfId="53" applyNumberFormat="1" applyFont="1" applyBorder="1" applyAlignment="1">
      <alignment horizontal="center" vertical="center" wrapText="1"/>
    </xf>
    <xf numFmtId="182" fontId="14" fillId="0" borderId="82" xfId="33" applyNumberFormat="1" applyFont="1" applyFill="1" applyBorder="1" applyAlignment="1">
      <alignment horizontal="center" vertical="center" wrapText="1"/>
    </xf>
    <xf numFmtId="0" fontId="14" fillId="0" borderId="82" xfId="53" applyFont="1" applyBorder="1" applyAlignment="1">
      <alignment horizontal="center" vertical="center"/>
    </xf>
    <xf numFmtId="182" fontId="14" fillId="0" borderId="82" xfId="53" applyNumberFormat="1" applyFont="1" applyBorder="1" applyAlignment="1">
      <alignment vertical="center"/>
    </xf>
    <xf numFmtId="182" fontId="14" fillId="0" borderId="82" xfId="53" applyNumberFormat="1" applyFont="1" applyBorder="1" applyAlignment="1">
      <alignment horizontal="center" vertical="center"/>
    </xf>
    <xf numFmtId="165" fontId="10" fillId="0" borderId="0" xfId="33" applyNumberFormat="1"/>
    <xf numFmtId="165" fontId="10" fillId="0" borderId="0" xfId="53" applyNumberFormat="1"/>
    <xf numFmtId="191" fontId="10" fillId="0" borderId="0" xfId="53" applyNumberFormat="1"/>
    <xf numFmtId="192" fontId="10" fillId="0" borderId="0" xfId="53" applyNumberFormat="1"/>
    <xf numFmtId="191" fontId="10" fillId="0" borderId="0" xfId="33" applyNumberFormat="1"/>
    <xf numFmtId="192" fontId="10" fillId="0" borderId="0" xfId="33" applyNumberFormat="1"/>
    <xf numFmtId="38" fontId="10" fillId="0" borderId="69" xfId="37" applyNumberFormat="1" applyFont="1" applyFill="1" applyBorder="1" applyAlignment="1" applyProtection="1">
      <alignment horizontal="right"/>
      <protection hidden="1"/>
    </xf>
    <xf numFmtId="38" fontId="10" fillId="0" borderId="21" xfId="37" applyNumberFormat="1" applyFont="1" applyFill="1" applyBorder="1" applyAlignment="1" applyProtection="1">
      <alignment horizontal="right"/>
      <protection hidden="1"/>
    </xf>
    <xf numFmtId="176" fontId="65" fillId="24" borderId="0" xfId="51" applyNumberFormat="1" applyFont="1" applyFill="1" applyBorder="1" applyAlignment="1">
      <alignment horizontal="center" vertical="center" wrapText="1"/>
    </xf>
    <xf numFmtId="0" fontId="47" fillId="24" borderId="0" xfId="0" applyFont="1" applyFill="1" applyBorder="1" applyAlignment="1">
      <alignment horizontal="center" vertical="center"/>
    </xf>
    <xf numFmtId="176" fontId="14" fillId="0" borderId="0" xfId="51" applyNumberFormat="1" applyFont="1" applyAlignment="1"/>
    <xf numFmtId="0" fontId="42" fillId="0" borderId="26" xfId="0" applyFont="1" applyBorder="1" applyAlignment="1">
      <alignment horizontal="center"/>
    </xf>
    <xf numFmtId="176" fontId="58" fillId="24" borderId="0" xfId="51" applyNumberFormat="1" applyFont="1" applyFill="1" applyAlignment="1"/>
    <xf numFmtId="9" fontId="14" fillId="24" borderId="73" xfId="40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/>
      <protection hidden="1"/>
    </xf>
    <xf numFmtId="37" fontId="34" fillId="0" borderId="0" xfId="37" applyFont="1" applyFill="1" applyBorder="1" applyAlignment="1" applyProtection="1">
      <alignment horizontal="center" vertical="center" wrapText="1"/>
      <protection hidden="1"/>
    </xf>
    <xf numFmtId="172" fontId="14" fillId="24" borderId="73" xfId="40" applyNumberFormat="1" applyFont="1" applyFill="1" applyBorder="1" applyAlignment="1" applyProtection="1">
      <alignment horizontal="center" vertical="center" wrapText="1"/>
      <protection hidden="1"/>
    </xf>
    <xf numFmtId="0" fontId="34" fillId="0" borderId="0" xfId="0" applyFont="1" applyFill="1" applyBorder="1" applyAlignment="1" applyProtection="1">
      <alignment horizontal="center" vertical="center" wrapText="1"/>
      <protection hidden="1"/>
    </xf>
    <xf numFmtId="172" fontId="34" fillId="0" borderId="0" xfId="112" applyNumberFormat="1" applyFont="1" applyFill="1" applyBorder="1" applyAlignment="1" applyProtection="1">
      <alignment horizontal="center" vertical="center" wrapText="1"/>
      <protection hidden="1"/>
    </xf>
    <xf numFmtId="0" fontId="14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41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40" applyFont="1" applyFill="1" applyBorder="1" applyAlignment="1" applyProtection="1">
      <alignment horizontal="center" vertical="center" wrapText="1"/>
      <protection hidden="1"/>
    </xf>
    <xf numFmtId="173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172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82" xfId="0" applyFont="1" applyFill="1" applyBorder="1" applyAlignment="1" applyProtection="1">
      <alignment horizontal="center" vertical="center" wrapText="1"/>
      <protection hidden="1"/>
    </xf>
    <xf numFmtId="9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69" fontId="34" fillId="0" borderId="0" xfId="112" applyFont="1" applyFill="1" applyBorder="1" applyAlignment="1" applyProtection="1">
      <alignment horizontal="center" vertical="center" wrapText="1"/>
      <protection hidden="1"/>
    </xf>
    <xf numFmtId="172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73" fontId="36" fillId="0" borderId="0" xfId="112" applyNumberFormat="1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Fill="1" applyProtection="1">
      <protection hidden="1"/>
    </xf>
    <xf numFmtId="37" fontId="39" fillId="0" borderId="0" xfId="37" applyFont="1" applyFill="1" applyBorder="1" applyAlignment="1" applyProtection="1">
      <alignment horizontal="center" vertical="center" wrapText="1"/>
      <protection hidden="1"/>
    </xf>
    <xf numFmtId="37" fontId="39" fillId="0" borderId="0" xfId="37" applyFont="1" applyFill="1" applyProtection="1">
      <protection hidden="1"/>
    </xf>
    <xf numFmtId="0" fontId="40" fillId="0" borderId="0" xfId="0" applyFont="1" applyFill="1" applyAlignment="1" applyProtection="1">
      <alignment horizontal="center" vertical="center" wrapText="1"/>
      <protection hidden="1"/>
    </xf>
    <xf numFmtId="172" fontId="39" fillId="0" borderId="0" xfId="37" applyNumberFormat="1" applyFont="1" applyFill="1" applyProtection="1">
      <protection hidden="1"/>
    </xf>
    <xf numFmtId="173" fontId="40" fillId="0" borderId="0" xfId="0" applyNumberFormat="1" applyFont="1" applyFill="1" applyAlignment="1" applyProtection="1">
      <alignment horizontal="center" vertical="center" wrapText="1"/>
      <protection hidden="1"/>
    </xf>
    <xf numFmtId="37" fontId="46" fillId="0" borderId="0" xfId="37" applyFont="1" applyAlignment="1" applyProtection="1">
      <alignment horizontal="center" vertical="center"/>
      <protection hidden="1"/>
    </xf>
    <xf numFmtId="37" fontId="10" fillId="0" borderId="0" xfId="37" applyFont="1" applyFill="1" applyBorder="1" applyAlignment="1" applyProtection="1">
      <alignment horizontal="center" vertical="center" wrapText="1"/>
      <protection hidden="1"/>
    </xf>
    <xf numFmtId="172" fontId="10" fillId="0" borderId="0" xfId="37" applyNumberFormat="1" applyFont="1" applyFill="1" applyBorder="1" applyAlignment="1" applyProtection="1">
      <alignment horizontal="center" vertical="center" wrapText="1"/>
      <protection hidden="1"/>
    </xf>
    <xf numFmtId="172" fontId="67" fillId="0" borderId="0" xfId="0" applyNumberFormat="1" applyFont="1" applyFill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 wrapText="1"/>
      <protection hidden="1"/>
    </xf>
    <xf numFmtId="165" fontId="10" fillId="0" borderId="69" xfId="33" applyNumberFormat="1" applyFont="1" applyFill="1" applyBorder="1" applyProtection="1">
      <protection hidden="1"/>
    </xf>
    <xf numFmtId="171" fontId="10" fillId="0" borderId="69" xfId="33" applyNumberFormat="1" applyFont="1" applyFill="1" applyBorder="1" applyProtection="1">
      <protection hidden="1"/>
    </xf>
    <xf numFmtId="165" fontId="10" fillId="0" borderId="23" xfId="33" applyNumberFormat="1" applyFont="1" applyFill="1" applyBorder="1" applyProtection="1">
      <protection hidden="1"/>
    </xf>
    <xf numFmtId="3" fontId="33" fillId="0" borderId="69" xfId="0" applyNumberFormat="1" applyFont="1" applyBorder="1" applyProtection="1">
      <protection hidden="1"/>
    </xf>
    <xf numFmtId="172" fontId="10" fillId="0" borderId="69" xfId="40" applyNumberFormat="1" applyFont="1" applyFill="1" applyBorder="1" applyProtection="1">
      <protection hidden="1"/>
    </xf>
    <xf numFmtId="172" fontId="10" fillId="0" borderId="23" xfId="40" applyNumberFormat="1" applyFont="1" applyFill="1" applyBorder="1" applyProtection="1">
      <protection hidden="1"/>
    </xf>
    <xf numFmtId="165" fontId="33" fillId="0" borderId="69" xfId="33" applyNumberFormat="1" applyFont="1" applyBorder="1" applyProtection="1">
      <protection hidden="1"/>
    </xf>
    <xf numFmtId="171" fontId="33" fillId="0" borderId="69" xfId="33" applyNumberFormat="1" applyFont="1" applyBorder="1" applyProtection="1">
      <protection hidden="1"/>
    </xf>
    <xf numFmtId="193" fontId="33" fillId="0" borderId="69" xfId="33" applyNumberFormat="1" applyFont="1" applyBorder="1" applyProtection="1">
      <protection hidden="1"/>
    </xf>
    <xf numFmtId="172" fontId="10" fillId="0" borderId="20" xfId="40" applyNumberFormat="1" applyFont="1" applyFill="1" applyBorder="1" applyProtection="1">
      <protection hidden="1"/>
    </xf>
    <xf numFmtId="37" fontId="10" fillId="0" borderId="11" xfId="37" applyFont="1" applyBorder="1" applyProtection="1">
      <protection hidden="1"/>
    </xf>
    <xf numFmtId="37" fontId="10" fillId="0" borderId="69" xfId="37" applyFont="1" applyBorder="1" applyProtection="1">
      <protection hidden="1"/>
    </xf>
    <xf numFmtId="165" fontId="10" fillId="0" borderId="21" xfId="33" applyNumberFormat="1" applyFont="1" applyFill="1" applyBorder="1" applyProtection="1">
      <protection hidden="1"/>
    </xf>
    <xf numFmtId="171" fontId="10" fillId="0" borderId="21" xfId="33" applyNumberFormat="1" applyFont="1" applyFill="1" applyBorder="1" applyProtection="1">
      <protection hidden="1"/>
    </xf>
    <xf numFmtId="165" fontId="10" fillId="0" borderId="24" xfId="33" applyNumberFormat="1" applyFont="1" applyFill="1" applyBorder="1" applyProtection="1">
      <protection hidden="1"/>
    </xf>
    <xf numFmtId="3" fontId="33" fillId="0" borderId="21" xfId="0" applyNumberFormat="1" applyFont="1" applyBorder="1" applyProtection="1">
      <protection hidden="1"/>
    </xf>
    <xf numFmtId="172" fontId="10" fillId="0" borderId="21" xfId="40" applyNumberFormat="1" applyFont="1" applyFill="1" applyBorder="1" applyProtection="1">
      <protection hidden="1"/>
    </xf>
    <xf numFmtId="172" fontId="10" fillId="0" borderId="24" xfId="40" applyNumberFormat="1" applyFont="1" applyFill="1" applyBorder="1" applyProtection="1">
      <protection hidden="1"/>
    </xf>
    <xf numFmtId="165" fontId="33" fillId="0" borderId="21" xfId="33" applyNumberFormat="1" applyFont="1" applyBorder="1" applyProtection="1">
      <protection hidden="1"/>
    </xf>
    <xf numFmtId="171" fontId="33" fillId="0" borderId="21" xfId="33" applyNumberFormat="1" applyFont="1" applyBorder="1" applyProtection="1">
      <protection hidden="1"/>
    </xf>
    <xf numFmtId="193" fontId="33" fillId="0" borderId="21" xfId="33" applyNumberFormat="1" applyFont="1" applyBorder="1" applyProtection="1">
      <protection hidden="1"/>
    </xf>
    <xf numFmtId="172" fontId="10" fillId="0" borderId="19" xfId="40" applyNumberFormat="1" applyFont="1" applyFill="1" applyBorder="1" applyProtection="1">
      <protection hidden="1"/>
    </xf>
    <xf numFmtId="37" fontId="10" fillId="0" borderId="12" xfId="37" applyFont="1" applyBorder="1" applyProtection="1">
      <protection hidden="1"/>
    </xf>
    <xf numFmtId="37" fontId="10" fillId="0" borderId="21" xfId="37" applyFont="1" applyBorder="1" applyProtection="1">
      <protection hidden="1"/>
    </xf>
    <xf numFmtId="165" fontId="35" fillId="0" borderId="14" xfId="33" applyNumberFormat="1" applyFont="1" applyFill="1" applyBorder="1" applyProtection="1">
      <protection hidden="1"/>
    </xf>
    <xf numFmtId="171" fontId="14" fillId="0" borderId="14" xfId="33" applyNumberFormat="1" applyFont="1" applyFill="1" applyBorder="1" applyProtection="1">
      <protection hidden="1"/>
    </xf>
    <xf numFmtId="165" fontId="14" fillId="0" borderId="22" xfId="40" applyNumberFormat="1" applyFont="1" applyFill="1" applyBorder="1" applyProtection="1">
      <protection hidden="1"/>
    </xf>
    <xf numFmtId="3" fontId="35" fillId="0" borderId="14" xfId="0" applyNumberFormat="1" applyFont="1" applyBorder="1" applyProtection="1">
      <protection hidden="1"/>
    </xf>
    <xf numFmtId="172" fontId="14" fillId="0" borderId="14" xfId="40" applyNumberFormat="1" applyFont="1" applyFill="1" applyBorder="1" applyProtection="1">
      <protection hidden="1"/>
    </xf>
    <xf numFmtId="165" fontId="14" fillId="0" borderId="14" xfId="33" applyNumberFormat="1" applyFont="1" applyFill="1" applyBorder="1" applyProtection="1">
      <protection hidden="1"/>
    </xf>
    <xf numFmtId="172" fontId="14" fillId="0" borderId="22" xfId="40" applyNumberFormat="1" applyFont="1" applyFill="1" applyBorder="1" applyProtection="1">
      <protection hidden="1"/>
    </xf>
    <xf numFmtId="165" fontId="14" fillId="0" borderId="13" xfId="33" applyNumberFormat="1" applyFont="1" applyFill="1" applyBorder="1" applyAlignment="1" applyProtection="1">
      <protection hidden="1"/>
    </xf>
    <xf numFmtId="165" fontId="14" fillId="0" borderId="14" xfId="33" applyNumberFormat="1" applyFont="1" applyFill="1" applyBorder="1" applyAlignment="1" applyProtection="1">
      <protection hidden="1"/>
    </xf>
    <xf numFmtId="171" fontId="14" fillId="0" borderId="14" xfId="33" applyNumberFormat="1" applyFont="1" applyFill="1" applyBorder="1" applyAlignment="1" applyProtection="1">
      <protection hidden="1"/>
    </xf>
    <xf numFmtId="165" fontId="14" fillId="0" borderId="15" xfId="33" applyNumberFormat="1" applyFont="1" applyFill="1" applyBorder="1" applyAlignment="1" applyProtection="1">
      <protection hidden="1"/>
    </xf>
    <xf numFmtId="172" fontId="14" fillId="0" borderId="15" xfId="40" applyNumberFormat="1" applyFont="1" applyFill="1" applyBorder="1" applyProtection="1">
      <protection hidden="1"/>
    </xf>
    <xf numFmtId="37" fontId="14" fillId="0" borderId="13" xfId="37" applyFont="1" applyBorder="1" applyProtection="1">
      <protection hidden="1"/>
    </xf>
    <xf numFmtId="37" fontId="14" fillId="0" borderId="14" xfId="37" applyFont="1" applyBorder="1" applyProtection="1">
      <protection hidden="1"/>
    </xf>
    <xf numFmtId="39" fontId="10" fillId="0" borderId="0" xfId="37" applyNumberFormat="1" applyFont="1" applyProtection="1">
      <protection hidden="1"/>
    </xf>
    <xf numFmtId="166" fontId="10" fillId="0" borderId="0" xfId="40" applyNumberFormat="1" applyFont="1" applyProtection="1">
      <protection hidden="1"/>
    </xf>
    <xf numFmtId="172" fontId="10" fillId="0" borderId="0" xfId="37" applyNumberFormat="1" applyFont="1" applyFill="1" applyProtection="1">
      <protection hidden="1"/>
    </xf>
    <xf numFmtId="173" fontId="10" fillId="0" borderId="0" xfId="37" applyNumberFormat="1" applyFont="1" applyFill="1" applyProtection="1">
      <protection hidden="1"/>
    </xf>
    <xf numFmtId="166" fontId="10" fillId="0" borderId="0" xfId="40" applyNumberFormat="1" applyFont="1" applyFill="1" applyProtection="1">
      <protection hidden="1"/>
    </xf>
    <xf numFmtId="38" fontId="14" fillId="0" borderId="14" xfId="37" applyNumberFormat="1" applyFont="1" applyFill="1" applyBorder="1" applyAlignment="1" applyProtection="1">
      <alignment horizontal="right"/>
      <protection hidden="1"/>
    </xf>
    <xf numFmtId="37" fontId="47" fillId="0" borderId="0" xfId="37" applyFont="1" applyProtection="1">
      <protection hidden="1"/>
    </xf>
    <xf numFmtId="172" fontId="10" fillId="0" borderId="20" xfId="40" applyNumberFormat="1" applyFont="1" applyBorder="1" applyProtection="1">
      <protection hidden="1"/>
    </xf>
    <xf numFmtId="172" fontId="10" fillId="0" borderId="19" xfId="40" applyNumberFormat="1" applyFont="1" applyBorder="1" applyProtection="1">
      <protection hidden="1"/>
    </xf>
    <xf numFmtId="172" fontId="14" fillId="0" borderId="15" xfId="40" applyNumberFormat="1" applyFont="1" applyBorder="1" applyProtection="1">
      <protection hidden="1"/>
    </xf>
    <xf numFmtId="194" fontId="10" fillId="0" borderId="69" xfId="40" applyNumberFormat="1" applyFont="1" applyFill="1" applyBorder="1" applyProtection="1">
      <protection hidden="1"/>
    </xf>
    <xf numFmtId="194" fontId="10" fillId="0" borderId="21" xfId="40" applyNumberFormat="1" applyFont="1" applyFill="1" applyBorder="1" applyProtection="1">
      <protection hidden="1"/>
    </xf>
    <xf numFmtId="194" fontId="14" fillId="0" borderId="14" xfId="40" applyNumberFormat="1" applyFont="1" applyFill="1" applyBorder="1" applyProtection="1">
      <protection hidden="1"/>
    </xf>
    <xf numFmtId="0" fontId="14" fillId="0" borderId="0" xfId="53" applyFont="1" applyAlignment="1">
      <alignment horizontal="center" vertical="center"/>
    </xf>
    <xf numFmtId="0" fontId="14" fillId="0" borderId="0" xfId="53" applyFont="1" applyBorder="1" applyAlignment="1">
      <alignment horizontal="center" vertical="center" wrapText="1"/>
    </xf>
    <xf numFmtId="38" fontId="10" fillId="0" borderId="0" xfId="53" applyNumberFormat="1" applyFont="1" applyBorder="1" applyAlignment="1">
      <alignment horizontal="center" vertical="center" wrapText="1"/>
    </xf>
    <xf numFmtId="165" fontId="14" fillId="0" borderId="0" xfId="33" applyNumberFormat="1" applyFont="1" applyFill="1" applyBorder="1" applyAlignment="1">
      <alignment vertical="center" wrapText="1"/>
    </xf>
    <xf numFmtId="165" fontId="14" fillId="0" borderId="0" xfId="33" applyNumberFormat="1" applyFont="1" applyBorder="1" applyAlignment="1">
      <alignment horizontal="center" vertical="center"/>
    </xf>
    <xf numFmtId="165" fontId="10" fillId="0" borderId="82" xfId="33" applyNumberFormat="1" applyFont="1" applyFill="1" applyBorder="1" applyAlignment="1">
      <alignment vertical="center" wrapText="1"/>
    </xf>
    <xf numFmtId="38" fontId="10" fillId="0" borderId="82" xfId="33" applyNumberFormat="1" applyFont="1" applyFill="1" applyBorder="1" applyAlignment="1">
      <alignment vertical="center" wrapText="1"/>
    </xf>
    <xf numFmtId="0" fontId="10" fillId="0" borderId="82" xfId="53" applyFont="1" applyBorder="1" applyAlignment="1">
      <alignment horizontal="center" vertical="center" wrapText="1"/>
    </xf>
    <xf numFmtId="38" fontId="10" fillId="0" borderId="82" xfId="53" applyNumberFormat="1" applyFont="1" applyBorder="1" applyAlignment="1">
      <alignment horizontal="center" vertical="center" wrapText="1"/>
    </xf>
    <xf numFmtId="165" fontId="14" fillId="0" borderId="82" xfId="33" applyNumberFormat="1" applyFont="1" applyFill="1" applyBorder="1" applyAlignment="1">
      <alignment vertical="center" wrapText="1"/>
    </xf>
    <xf numFmtId="165" fontId="14" fillId="0" borderId="82" xfId="33" applyNumberFormat="1" applyFont="1" applyBorder="1" applyAlignment="1">
      <alignment horizontal="center" vertical="center"/>
    </xf>
    <xf numFmtId="176" fontId="51" fillId="24" borderId="68" xfId="102" applyNumberFormat="1" applyFont="1" applyFill="1" applyBorder="1"/>
    <xf numFmtId="38" fontId="51" fillId="24" borderId="69" xfId="102" applyNumberFormat="1" applyFont="1" applyFill="1" applyBorder="1"/>
    <xf numFmtId="176" fontId="51" fillId="24" borderId="70" xfId="102" applyNumberFormat="1" applyFont="1" applyFill="1" applyBorder="1"/>
    <xf numFmtId="38" fontId="51" fillId="24" borderId="21" xfId="102" applyNumberFormat="1" applyFont="1" applyFill="1" applyBorder="1"/>
    <xf numFmtId="176" fontId="51" fillId="24" borderId="71" xfId="102" applyNumberFormat="1" applyFont="1" applyFill="1" applyBorder="1"/>
    <xf numFmtId="38" fontId="51" fillId="24" borderId="14" xfId="102" applyNumberFormat="1" applyFont="1" applyFill="1" applyBorder="1"/>
    <xf numFmtId="14" fontId="33" fillId="0" borderId="0" xfId="51" applyNumberFormat="1" applyFont="1" applyAlignment="1">
      <alignment horizontal="left"/>
    </xf>
    <xf numFmtId="176" fontId="53" fillId="27" borderId="64" xfId="110" applyNumberFormat="1" applyFont="1" applyFill="1" applyBorder="1"/>
    <xf numFmtId="186" fontId="66" fillId="24" borderId="0" xfId="33" applyNumberFormat="1" applyFont="1" applyFill="1" applyBorder="1"/>
    <xf numFmtId="172" fontId="47" fillId="24" borderId="0" xfId="0" applyNumberFormat="1" applyFont="1" applyFill="1" applyBorder="1"/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37" fontId="14" fillId="0" borderId="84" xfId="37" applyFont="1" applyFill="1" applyBorder="1" applyAlignment="1" applyProtection="1">
      <alignment horizontal="center" vertical="center" wrapText="1"/>
      <protection hidden="1"/>
    </xf>
    <xf numFmtId="195" fontId="14" fillId="0" borderId="14" xfId="37" applyNumberFormat="1" applyFont="1" applyFill="1" applyBorder="1" applyAlignment="1" applyProtection="1">
      <alignment horizontal="right"/>
      <protection hidden="1"/>
    </xf>
    <xf numFmtId="195" fontId="10" fillId="0" borderId="85" xfId="37" applyNumberFormat="1" applyFont="1" applyFill="1" applyBorder="1" applyAlignment="1" applyProtection="1">
      <alignment horizontal="right"/>
      <protection hidden="1"/>
    </xf>
    <xf numFmtId="195" fontId="10" fillId="0" borderId="83" xfId="37" applyNumberFormat="1" applyFont="1" applyFill="1" applyBorder="1" applyAlignment="1" applyProtection="1">
      <alignment horizontal="right"/>
      <protection hidden="1"/>
    </xf>
    <xf numFmtId="195" fontId="10" fillId="0" borderId="69" xfId="37" applyNumberFormat="1" applyFont="1" applyFill="1" applyBorder="1" applyAlignment="1" applyProtection="1">
      <alignment horizontal="right"/>
      <protection hidden="1"/>
    </xf>
    <xf numFmtId="0" fontId="10" fillId="0" borderId="0" xfId="53" applyBorder="1"/>
    <xf numFmtId="38" fontId="10" fillId="0" borderId="0" xfId="33" applyNumberFormat="1" applyFont="1" applyFill="1" applyBorder="1" applyAlignment="1">
      <alignment vertical="center" wrapText="1"/>
    </xf>
    <xf numFmtId="0" fontId="10" fillId="0" borderId="0" xfId="53" applyFont="1" applyBorder="1" applyAlignment="1">
      <alignment horizontal="center" vertical="center" wrapText="1"/>
    </xf>
    <xf numFmtId="38" fontId="14" fillId="0" borderId="0" xfId="33" applyNumberFormat="1" applyFont="1" applyBorder="1" applyAlignment="1">
      <alignment horizontal="center" vertical="center"/>
    </xf>
    <xf numFmtId="38" fontId="14" fillId="0" borderId="0" xfId="53" applyNumberFormat="1" applyFont="1" applyBorder="1" applyAlignment="1">
      <alignment horizontal="center" vertical="center"/>
    </xf>
    <xf numFmtId="37" fontId="71" fillId="0" borderId="0" xfId="37" applyFont="1" applyFill="1" applyBorder="1" applyAlignment="1" applyProtection="1">
      <alignment horizontal="right"/>
      <protection hidden="1"/>
    </xf>
    <xf numFmtId="38" fontId="10" fillId="0" borderId="0" xfId="53" applyNumberFormat="1"/>
    <xf numFmtId="173" fontId="41" fillId="24" borderId="25" xfId="0" applyNumberFormat="1" applyFont="1" applyFill="1" applyBorder="1" applyAlignment="1" applyProtection="1">
      <alignment horizontal="center" vertical="center" wrapText="1"/>
      <protection hidden="1"/>
    </xf>
    <xf numFmtId="0" fontId="14" fillId="24" borderId="0" xfId="0" applyFont="1" applyFill="1" applyBorder="1" applyAlignment="1" applyProtection="1">
      <alignment horizontal="center" vertical="center" wrapText="1"/>
      <protection hidden="1"/>
    </xf>
    <xf numFmtId="173" fontId="40" fillId="24" borderId="0" xfId="0" applyNumberFormat="1" applyFont="1" applyFill="1" applyAlignment="1" applyProtection="1">
      <alignment horizontal="center" vertical="center" wrapText="1"/>
      <protection hidden="1"/>
    </xf>
    <xf numFmtId="3" fontId="33" fillId="24" borderId="69" xfId="0" applyNumberFormat="1" applyFont="1" applyFill="1" applyBorder="1" applyProtection="1">
      <protection hidden="1"/>
    </xf>
    <xf numFmtId="3" fontId="33" fillId="24" borderId="21" xfId="0" applyNumberFormat="1" applyFont="1" applyFill="1" applyBorder="1" applyProtection="1">
      <protection hidden="1"/>
    </xf>
    <xf numFmtId="3" fontId="35" fillId="24" borderId="14" xfId="0" applyNumberFormat="1" applyFont="1" applyFill="1" applyBorder="1" applyProtection="1">
      <protection hidden="1"/>
    </xf>
    <xf numFmtId="173" fontId="41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24" borderId="82" xfId="0" applyFont="1" applyFill="1" applyBorder="1" applyAlignment="1" applyProtection="1">
      <alignment horizontal="center" vertical="center" wrapText="1"/>
      <protection hidden="1"/>
    </xf>
    <xf numFmtId="173" fontId="14" fillId="24" borderId="82" xfId="0" applyNumberFormat="1" applyFont="1" applyFill="1" applyBorder="1" applyAlignment="1" applyProtection="1">
      <alignment horizontal="center" vertical="center" wrapText="1"/>
      <protection hidden="1"/>
    </xf>
    <xf numFmtId="173" fontId="14" fillId="24" borderId="0" xfId="0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173" fontId="10" fillId="24" borderId="20" xfId="40" applyNumberFormat="1" applyFont="1" applyFill="1" applyBorder="1" applyProtection="1">
      <protection hidden="1"/>
    </xf>
    <xf numFmtId="173" fontId="10" fillId="24" borderId="19" xfId="40" applyNumberFormat="1" applyFont="1" applyFill="1" applyBorder="1" applyProtection="1">
      <protection hidden="1"/>
    </xf>
    <xf numFmtId="3" fontId="55" fillId="24" borderId="0" xfId="0" applyNumberFormat="1" applyFont="1" applyFill="1"/>
    <xf numFmtId="173" fontId="14" fillId="24" borderId="15" xfId="40" applyNumberFormat="1" applyFont="1" applyFill="1" applyBorder="1" applyProtection="1">
      <protection hidden="1"/>
    </xf>
    <xf numFmtId="176" fontId="14" fillId="0" borderId="0" xfId="51" applyNumberFormat="1" applyFont="1" applyFill="1" applyBorder="1"/>
    <xf numFmtId="38" fontId="14" fillId="0" borderId="0" xfId="51" applyNumberFormat="1" applyFont="1" applyFill="1" applyBorder="1"/>
    <xf numFmtId="14" fontId="33" fillId="0" borderId="0" xfId="51" applyNumberFormat="1" applyFont="1" applyBorder="1" applyAlignment="1">
      <alignment horizontal="left"/>
    </xf>
    <xf numFmtId="0" fontId="10" fillId="0" borderId="0" xfId="53" applyFont="1" applyBorder="1"/>
    <xf numFmtId="43" fontId="10" fillId="0" borderId="0" xfId="53" applyNumberFormat="1" applyFont="1" applyBorder="1"/>
    <xf numFmtId="43" fontId="0" fillId="0" borderId="0" xfId="51" applyNumberFormat="1" applyFont="1" applyBorder="1"/>
    <xf numFmtId="0" fontId="14" fillId="24" borderId="0" xfId="106" applyFont="1" applyFill="1" applyBorder="1" applyAlignment="1">
      <alignment horizontal="center" vertical="center"/>
    </xf>
    <xf numFmtId="38" fontId="73" fillId="0" borderId="82" xfId="33" applyNumberFormat="1" applyFont="1" applyFill="1" applyBorder="1" applyAlignment="1">
      <alignment vertical="center" wrapText="1"/>
    </xf>
    <xf numFmtId="38" fontId="14" fillId="0" borderId="82" xfId="33" applyNumberFormat="1" applyFont="1" applyFill="1" applyBorder="1" applyAlignment="1">
      <alignment vertical="center" wrapText="1"/>
    </xf>
    <xf numFmtId="38" fontId="46" fillId="0" borderId="82" xfId="33" applyNumberFormat="1" applyFont="1" applyFill="1" applyBorder="1" applyAlignment="1">
      <alignment vertical="center" wrapText="1"/>
    </xf>
    <xf numFmtId="38" fontId="73" fillId="0" borderId="82" xfId="33" applyNumberFormat="1" applyFont="1" applyBorder="1" applyAlignment="1">
      <alignment horizontal="center" vertical="center"/>
    </xf>
    <xf numFmtId="38" fontId="14" fillId="0" borderId="82" xfId="33" applyNumberFormat="1" applyFont="1" applyBorder="1" applyAlignment="1">
      <alignment horizontal="center" vertical="center"/>
    </xf>
    <xf numFmtId="168" fontId="10" fillId="0" borderId="82" xfId="33" applyNumberFormat="1" applyFont="1" applyFill="1" applyBorder="1" applyAlignment="1">
      <alignment vertical="center" wrapText="1"/>
    </xf>
    <xf numFmtId="168" fontId="14" fillId="0" borderId="82" xfId="33" applyNumberFormat="1" applyFont="1" applyBorder="1" applyAlignment="1">
      <alignment horizontal="center" vertical="center"/>
    </xf>
    <xf numFmtId="0" fontId="14" fillId="0" borderId="0" xfId="53" applyFont="1" applyAlignment="1">
      <alignment horizontal="center" vertical="center"/>
    </xf>
    <xf numFmtId="0" fontId="14" fillId="0" borderId="0" xfId="53" applyFont="1" applyBorder="1" applyAlignment="1">
      <alignment horizontal="center"/>
    </xf>
    <xf numFmtId="0" fontId="14" fillId="0" borderId="0" xfId="53" applyFont="1" applyAlignment="1">
      <alignment horizontal="center"/>
    </xf>
    <xf numFmtId="43" fontId="14" fillId="0" borderId="27" xfId="51" applyNumberFormat="1" applyFont="1" applyFill="1" applyBorder="1" applyAlignment="1">
      <alignment horizontal="center" vertical="center" wrapText="1"/>
    </xf>
    <xf numFmtId="43" fontId="14" fillId="0" borderId="28" xfId="51" applyNumberFormat="1" applyFont="1" applyFill="1" applyBorder="1" applyAlignment="1">
      <alignment horizontal="center" vertical="center" wrapText="1"/>
    </xf>
    <xf numFmtId="176" fontId="14" fillId="0" borderId="0" xfId="51" applyNumberFormat="1" applyFont="1" applyAlignment="1">
      <alignment horizontal="center"/>
    </xf>
    <xf numFmtId="176" fontId="14" fillId="0" borderId="72" xfId="51" applyNumberFormat="1" applyFont="1" applyBorder="1" applyAlignment="1">
      <alignment horizontal="center"/>
    </xf>
    <xf numFmtId="176" fontId="14" fillId="0" borderId="73" xfId="51" applyNumberFormat="1" applyFont="1" applyBorder="1" applyAlignment="1">
      <alignment horizontal="center"/>
    </xf>
    <xf numFmtId="176" fontId="14" fillId="0" borderId="74" xfId="51" applyNumberFormat="1" applyFont="1" applyBorder="1" applyAlignment="1">
      <alignment horizontal="center"/>
    </xf>
    <xf numFmtId="43" fontId="14" fillId="0" borderId="86" xfId="51" applyNumberFormat="1" applyFont="1" applyFill="1" applyBorder="1" applyAlignment="1">
      <alignment horizontal="center" vertical="center" wrapText="1"/>
    </xf>
    <xf numFmtId="43" fontId="14" fillId="0" borderId="27" xfId="51" applyNumberFormat="1" applyFont="1" applyFill="1" applyBorder="1" applyAlignment="1">
      <alignment horizontal="center" vertical="center"/>
    </xf>
    <xf numFmtId="43" fontId="14" fillId="0" borderId="28" xfId="51" applyNumberFormat="1" applyFont="1" applyFill="1" applyBorder="1" applyAlignment="1">
      <alignment horizontal="center" vertical="center"/>
    </xf>
    <xf numFmtId="176" fontId="14" fillId="0" borderId="27" xfId="51" applyNumberFormat="1" applyFont="1" applyBorder="1" applyAlignment="1">
      <alignment horizontal="center" vertical="center"/>
    </xf>
    <xf numFmtId="176" fontId="14" fillId="0" borderId="28" xfId="51" applyNumberFormat="1" applyFont="1" applyBorder="1" applyAlignment="1">
      <alignment horizontal="center" vertical="center"/>
    </xf>
    <xf numFmtId="176" fontId="14" fillId="0" borderId="0" xfId="51" applyNumberFormat="1" applyFont="1" applyBorder="1" applyAlignment="1">
      <alignment horizontal="center"/>
    </xf>
    <xf numFmtId="176" fontId="14" fillId="0" borderId="0" xfId="51" applyNumberFormat="1" applyFont="1" applyBorder="1" applyAlignment="1">
      <alignment horizontal="center" vertical="center"/>
    </xf>
    <xf numFmtId="43" fontId="14" fillId="0" borderId="0" xfId="51" applyNumberFormat="1" applyFont="1" applyFill="1" applyBorder="1" applyAlignment="1">
      <alignment horizontal="center" vertical="center" wrapText="1"/>
    </xf>
    <xf numFmtId="43" fontId="14" fillId="0" borderId="0" xfId="51" applyNumberFormat="1" applyFont="1" applyFill="1" applyBorder="1" applyAlignment="1">
      <alignment horizontal="center" vertical="center"/>
    </xf>
    <xf numFmtId="37" fontId="42" fillId="0" borderId="26" xfId="37" applyFont="1" applyBorder="1" applyAlignment="1" applyProtection="1">
      <alignment horizontal="center"/>
      <protection hidden="1"/>
    </xf>
    <xf numFmtId="0" fontId="42" fillId="0" borderId="26" xfId="0" applyFont="1" applyBorder="1" applyAlignment="1">
      <alignment horizontal="center"/>
    </xf>
    <xf numFmtId="37" fontId="10" fillId="0" borderId="0" xfId="37" applyFont="1" applyAlignment="1" applyProtection="1">
      <alignment horizontal="left" vertical="top" wrapText="1"/>
      <protection hidden="1"/>
    </xf>
    <xf numFmtId="37" fontId="59" fillId="0" borderId="0" xfId="37" applyFont="1" applyAlignment="1" applyProtection="1">
      <alignment horizontal="center" vertical="center" wrapText="1"/>
      <protection hidden="1"/>
    </xf>
    <xf numFmtId="37" fontId="60" fillId="0" borderId="0" xfId="37" applyFont="1" applyAlignment="1" applyProtection="1">
      <alignment horizontal="center" vertical="center" wrapText="1"/>
      <protection hidden="1"/>
    </xf>
    <xf numFmtId="37" fontId="14" fillId="0" borderId="27" xfId="37" applyFont="1" applyFill="1" applyBorder="1" applyAlignment="1" applyProtection="1">
      <alignment horizontal="center" vertical="center" wrapText="1"/>
      <protection hidden="1"/>
    </xf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49" fontId="62" fillId="0" borderId="72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73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74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27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28" xfId="54" applyNumberFormat="1" applyFont="1" applyFill="1" applyBorder="1" applyAlignment="1" applyProtection="1">
      <alignment horizontal="center" vertical="center" wrapText="1"/>
      <protection hidden="1"/>
    </xf>
    <xf numFmtId="37" fontId="43" fillId="24" borderId="0" xfId="37" applyFont="1" applyFill="1" applyAlignment="1" applyProtection="1">
      <alignment horizontal="center" wrapText="1"/>
      <protection hidden="1"/>
    </xf>
    <xf numFmtId="37" fontId="72" fillId="24" borderId="0" xfId="37" applyFont="1" applyFill="1" applyAlignment="1" applyProtection="1">
      <alignment horizontal="center" wrapText="1"/>
      <protection hidden="1"/>
    </xf>
    <xf numFmtId="37" fontId="42" fillId="24" borderId="26" xfId="37" applyFont="1" applyFill="1" applyBorder="1" applyAlignment="1" applyProtection="1">
      <alignment horizontal="center" vertical="center"/>
      <protection hidden="1"/>
    </xf>
    <xf numFmtId="37" fontId="10" fillId="24" borderId="26" xfId="37" applyFont="1" applyFill="1" applyBorder="1" applyAlignment="1" applyProtection="1">
      <alignment horizontal="center" vertical="center"/>
      <protection hidden="1"/>
    </xf>
    <xf numFmtId="37" fontId="42" fillId="24" borderId="26" xfId="37" applyFont="1" applyFill="1" applyBorder="1" applyAlignment="1" applyProtection="1">
      <alignment horizontal="center" vertical="center" wrapText="1"/>
      <protection hidden="1"/>
    </xf>
    <xf numFmtId="0" fontId="10" fillId="24" borderId="0" xfId="106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/>
    </xf>
    <xf numFmtId="0" fontId="10" fillId="24" borderId="0" xfId="106" applyFill="1" applyAlignment="1">
      <alignment horizontal="center" vertical="center"/>
    </xf>
    <xf numFmtId="0" fontId="14" fillId="24" borderId="0" xfId="106" applyFont="1" applyFill="1" applyBorder="1" applyAlignment="1">
      <alignment horizontal="center" vertical="center"/>
    </xf>
    <xf numFmtId="0" fontId="14" fillId="24" borderId="0" xfId="106" applyFont="1" applyFill="1" applyBorder="1" applyAlignment="1">
      <alignment horizontal="center"/>
    </xf>
    <xf numFmtId="0" fontId="53" fillId="26" borderId="49" xfId="109" applyNumberFormat="1" applyFont="1" applyFill="1" applyBorder="1" applyAlignment="1">
      <alignment horizontal="center"/>
    </xf>
    <xf numFmtId="0" fontId="56" fillId="26" borderId="52" xfId="108" applyNumberFormat="1" applyFont="1" applyFill="1" applyBorder="1" applyAlignment="1">
      <alignment horizontal="center"/>
    </xf>
    <xf numFmtId="0" fontId="56" fillId="26" borderId="53" xfId="108" applyNumberFormat="1" applyFont="1" applyFill="1" applyBorder="1" applyAlignment="1">
      <alignment horizontal="center"/>
    </xf>
    <xf numFmtId="176" fontId="14" fillId="24" borderId="0" xfId="102" applyNumberFormat="1" applyFont="1" applyFill="1" applyAlignment="1">
      <alignment horizontal="center"/>
    </xf>
    <xf numFmtId="176" fontId="14" fillId="24" borderId="0" xfId="51" applyNumberFormat="1" applyFont="1" applyFill="1" applyAlignment="1">
      <alignment horizontal="center"/>
    </xf>
  </cellXfs>
  <cellStyles count="123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1 3" xfId="120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1 3" xfId="122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10" xfId="118"/>
    <cellStyle name="Normal 11" xfId="121"/>
    <cellStyle name="Normal 2" xfId="35"/>
    <cellStyle name="Normal 2 2" xfId="103"/>
    <cellStyle name="Normal 2 3" xfId="106"/>
    <cellStyle name="Normal 3" xfId="36"/>
    <cellStyle name="Normal 3 2" xfId="116"/>
    <cellStyle name="Normal 3 3" xfId="119"/>
    <cellStyle name="Normal 4" xfId="53"/>
    <cellStyle name="Normal 5" xfId="101"/>
    <cellStyle name="Normal 6" xfId="104"/>
    <cellStyle name="Normal 7" xfId="109"/>
    <cellStyle name="Normal 8" xfId="111"/>
    <cellStyle name="Normal 8 2" xfId="117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2022%20PLANEACION%20HACENDARIA/PARTICIPACIONES%20FEDERALES/ABRIL/IEPSGYD%20ABRIL%20Part%20Fed%20%202022%20UCEF%20N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DIST MES ABRIL"/>
      <sheetName val="COEF Art 14 F I"/>
      <sheetName val="TERRITORIO INEGI 2021"/>
      <sheetName val="PART PEF2022"/>
      <sheetName val="CALCULO GARANTIA"/>
      <sheetName val="COEF Art 14 F II"/>
      <sheetName val="POB 2020"/>
      <sheetName val="ISR_Nóm_2021"/>
    </sheetNames>
    <sheetDataSet>
      <sheetData sheetId="0"/>
      <sheetData sheetId="1"/>
      <sheetData sheetId="2">
        <row r="8">
          <cell r="AD8">
            <v>7.1256637707732139E-4</v>
          </cell>
        </row>
        <row r="9">
          <cell r="AD9">
            <v>1.2933233677186271E-3</v>
          </cell>
        </row>
        <row r="10">
          <cell r="AD10">
            <v>1.5979735818737342E-3</v>
          </cell>
        </row>
        <row r="11">
          <cell r="AD11">
            <v>6.1329563703880399E-3</v>
          </cell>
        </row>
        <row r="12">
          <cell r="AD12">
            <v>5.0832722725483821E-3</v>
          </cell>
        </row>
        <row r="13">
          <cell r="AD13">
            <v>8.3902945573294238E-2</v>
          </cell>
        </row>
        <row r="14">
          <cell r="AD14">
            <v>4.6630835249251955E-3</v>
          </cell>
        </row>
        <row r="15">
          <cell r="AD15">
            <v>1.3500867056770605E-3</v>
          </cell>
        </row>
        <row r="16">
          <cell r="AD16">
            <v>1.3535450850661275E-2</v>
          </cell>
        </row>
        <row r="17">
          <cell r="AD17">
            <v>9.5521143121326309E-3</v>
          </cell>
        </row>
        <row r="18">
          <cell r="AD18">
            <v>3.5417557207622586E-3</v>
          </cell>
        </row>
        <row r="19">
          <cell r="AD19">
            <v>4.6145729353621601E-3</v>
          </cell>
        </row>
        <row r="20">
          <cell r="AD20">
            <v>7.0656858602468958E-3</v>
          </cell>
        </row>
        <row r="21">
          <cell r="AD21">
            <v>1.0327055310165754E-2</v>
          </cell>
        </row>
        <row r="22">
          <cell r="AD22">
            <v>1.4953083739842738E-3</v>
          </cell>
        </row>
        <row r="23">
          <cell r="AD23">
            <v>1.0769672220122481E-3</v>
          </cell>
        </row>
        <row r="24">
          <cell r="AD24">
            <v>9.6409554439645037E-3</v>
          </cell>
        </row>
        <row r="25">
          <cell r="AD25">
            <v>3.8557733783828881E-2</v>
          </cell>
        </row>
        <row r="26">
          <cell r="AD26">
            <v>3.2963327983727398E-3</v>
          </cell>
        </row>
        <row r="27">
          <cell r="AD27">
            <v>6.6566820892338618E-2</v>
          </cell>
        </row>
        <row r="28">
          <cell r="AD28">
            <v>4.4534152616681555E-3</v>
          </cell>
        </row>
        <row r="29">
          <cell r="AD29">
            <v>8.7412230819066642E-4</v>
          </cell>
        </row>
        <row r="30">
          <cell r="AD30">
            <v>2.5026603218983772E-3</v>
          </cell>
        </row>
        <row r="31">
          <cell r="AD31">
            <v>9.250870349813322E-3</v>
          </cell>
        </row>
        <row r="32">
          <cell r="AD32">
            <v>6.493171821481393E-2</v>
          </cell>
        </row>
        <row r="33">
          <cell r="AD33">
            <v>9.1141775029762446E-4</v>
          </cell>
        </row>
        <row r="34">
          <cell r="AD34">
            <v>1.7308856663320641E-3</v>
          </cell>
        </row>
        <row r="35">
          <cell r="AD35">
            <v>1.3065546183127293E-3</v>
          </cell>
        </row>
        <row r="36">
          <cell r="AD36">
            <v>1.5276041033046534E-3</v>
          </cell>
        </row>
        <row r="37">
          <cell r="AD37">
            <v>1.5948995596964082E-3</v>
          </cell>
        </row>
        <row r="38">
          <cell r="AD38">
            <v>4.7490960931980568E-2</v>
          </cell>
        </row>
        <row r="39">
          <cell r="AD39">
            <v>3.7908202607914243E-3</v>
          </cell>
        </row>
        <row r="40">
          <cell r="AD40">
            <v>1.0579146413349503E-2</v>
          </cell>
        </row>
        <row r="41">
          <cell r="AD41">
            <v>1.9290346766197061E-3</v>
          </cell>
        </row>
        <row r="42">
          <cell r="AD42">
            <v>3.5319460368419539E-4</v>
          </cell>
        </row>
        <row r="43">
          <cell r="AD43">
            <v>2.7561164778683333E-3</v>
          </cell>
        </row>
        <row r="44">
          <cell r="AD44">
            <v>3.5936539799167806E-3</v>
          </cell>
        </row>
        <row r="45">
          <cell r="AD45">
            <v>8.1976120067314695E-3</v>
          </cell>
        </row>
        <row r="46">
          <cell r="AD46">
            <v>0.27707565837179199</v>
          </cell>
        </row>
        <row r="47">
          <cell r="AD47">
            <v>1.8089315329689922E-3</v>
          </cell>
        </row>
        <row r="48">
          <cell r="AD48">
            <v>1.3203929026731799E-2</v>
          </cell>
        </row>
        <row r="49">
          <cell r="AD49">
            <v>2.0260046846398766E-3</v>
          </cell>
        </row>
        <row r="50">
          <cell r="AD50">
            <v>1.8702207390391594E-3</v>
          </cell>
        </row>
        <row r="51">
          <cell r="AD51">
            <v>4.9248968041598028E-3</v>
          </cell>
        </row>
        <row r="52">
          <cell r="AD52">
            <v>1.0127615153614209E-2</v>
          </cell>
        </row>
        <row r="53">
          <cell r="AD53">
            <v>6.5936400536825229E-2</v>
          </cell>
        </row>
        <row r="54">
          <cell r="AD54">
            <v>0.12491764252947457</v>
          </cell>
        </row>
        <row r="55">
          <cell r="AD55">
            <v>3.5496180898842836E-2</v>
          </cell>
        </row>
        <row r="56">
          <cell r="AD56">
            <v>1.5613413336510546E-2</v>
          </cell>
        </row>
        <row r="57">
          <cell r="AD57">
            <v>2.8135532508979646E-3</v>
          </cell>
        </row>
        <row r="58">
          <cell r="AD58">
            <v>2.4039043518982906E-3</v>
          </cell>
        </row>
      </sheetData>
      <sheetData sheetId="3"/>
      <sheetData sheetId="4">
        <row r="12">
          <cell r="D12">
            <v>254154798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zoomScaleNormal="100" zoomScaleSheetLayoutView="100" workbookViewId="0">
      <pane xSplit="1" topLeftCell="B1" activePane="topRight" state="frozen"/>
      <selection pane="topRight" activeCell="Q4" sqref="Q4"/>
    </sheetView>
  </sheetViews>
  <sheetFormatPr baseColWidth="10" defaultColWidth="11.42578125" defaultRowHeight="12.75"/>
  <cols>
    <col min="1" max="1" width="50.5703125" style="11" customWidth="1"/>
    <col min="2" max="3" width="14.28515625" style="11" customWidth="1"/>
    <col min="4" max="4" width="14.85546875" style="11" customWidth="1"/>
    <col min="5" max="6" width="17.28515625" style="11" customWidth="1"/>
    <col min="7" max="7" width="3.28515625" style="11" customWidth="1"/>
    <col min="8" max="10" width="17.28515625" style="11" customWidth="1"/>
    <col min="11" max="11" width="3.85546875" style="11" customWidth="1"/>
    <col min="12" max="12" width="4.85546875" style="11" customWidth="1"/>
    <col min="13" max="16" width="11.42578125" style="11"/>
    <col min="17" max="17" width="14.5703125" style="11" customWidth="1"/>
    <col min="18" max="18" width="11.42578125" style="11"/>
    <col min="19" max="19" width="13.140625" style="11" customWidth="1"/>
    <col min="20" max="16384" width="11.42578125" style="11"/>
  </cols>
  <sheetData>
    <row r="1" spans="1:19" ht="27.75" customHeight="1">
      <c r="A1" s="397" t="s">
        <v>338</v>
      </c>
      <c r="B1" s="397"/>
      <c r="C1" s="397"/>
      <c r="D1" s="397"/>
      <c r="E1" s="397"/>
      <c r="F1" s="397"/>
      <c r="G1" s="334"/>
      <c r="H1" s="334"/>
      <c r="I1" s="334" t="s">
        <v>331</v>
      </c>
      <c r="J1" s="334"/>
      <c r="M1" s="398" t="s">
        <v>345</v>
      </c>
      <c r="N1" s="398"/>
      <c r="O1" s="398"/>
      <c r="Q1" s="399" t="s">
        <v>348</v>
      </c>
      <c r="R1" s="399"/>
      <c r="S1" s="399"/>
    </row>
    <row r="2" spans="1:19">
      <c r="M2" s="361"/>
      <c r="N2" s="361"/>
      <c r="O2" s="361"/>
      <c r="Q2" s="361"/>
      <c r="R2" s="361"/>
      <c r="S2" s="361"/>
    </row>
    <row r="3" spans="1:19" ht="49.5" customHeight="1">
      <c r="A3" s="232" t="s">
        <v>103</v>
      </c>
      <c r="B3" s="232" t="s">
        <v>154</v>
      </c>
      <c r="C3" s="232" t="s">
        <v>344</v>
      </c>
      <c r="D3" s="232" t="s">
        <v>104</v>
      </c>
      <c r="E3" s="232" t="s">
        <v>105</v>
      </c>
      <c r="F3" s="232" t="s">
        <v>116</v>
      </c>
      <c r="G3" s="335"/>
      <c r="H3" s="232" t="s">
        <v>250</v>
      </c>
      <c r="I3" s="232" t="s">
        <v>250</v>
      </c>
      <c r="J3" s="232" t="s">
        <v>251</v>
      </c>
      <c r="M3" s="232" t="s">
        <v>104</v>
      </c>
      <c r="N3" s="232" t="s">
        <v>105</v>
      </c>
      <c r="O3" s="232" t="s">
        <v>116</v>
      </c>
      <c r="Q3" s="232" t="s">
        <v>154</v>
      </c>
      <c r="R3" s="232" t="s">
        <v>105</v>
      </c>
      <c r="S3" s="232" t="s">
        <v>116</v>
      </c>
    </row>
    <row r="4" spans="1:19" ht="25.5" customHeight="1">
      <c r="A4" s="195" t="s">
        <v>106</v>
      </c>
      <c r="B4" s="339">
        <v>3413286349</v>
      </c>
      <c r="C4" s="339">
        <v>0</v>
      </c>
      <c r="D4" s="340">
        <f>+B4+C4</f>
        <v>3413286349</v>
      </c>
      <c r="E4" s="341">
        <v>20</v>
      </c>
      <c r="F4" s="342">
        <f t="shared" ref="F4:F13" si="0">+E4/100*D4</f>
        <v>682657269.80000007</v>
      </c>
      <c r="G4" s="336"/>
      <c r="H4" s="234">
        <v>6575127028.2700005</v>
      </c>
      <c r="I4" s="234">
        <f>+H4/12</f>
        <v>547927252.35583341</v>
      </c>
      <c r="J4" s="234">
        <f>+F4-I4</f>
        <v>134730017.44416666</v>
      </c>
      <c r="M4" s="340">
        <v>-285848106</v>
      </c>
      <c r="N4" s="341">
        <v>20</v>
      </c>
      <c r="O4" s="342">
        <f t="shared" ref="O4:O13" si="1">+N4/100*M4</f>
        <v>-57169621.200000003</v>
      </c>
      <c r="Q4" s="395">
        <v>-12437679.699999999</v>
      </c>
      <c r="R4" s="341">
        <v>20</v>
      </c>
      <c r="S4" s="234">
        <f>+R4/100*Q4</f>
        <v>-2487535.94</v>
      </c>
    </row>
    <row r="5" spans="1:19" ht="25.5" customHeight="1">
      <c r="A5" s="195" t="s">
        <v>127</v>
      </c>
      <c r="B5" s="339">
        <v>96904207</v>
      </c>
      <c r="C5" s="339"/>
      <c r="D5" s="340">
        <f>+B5+C5</f>
        <v>96904207</v>
      </c>
      <c r="E5" s="341">
        <v>100</v>
      </c>
      <c r="F5" s="342">
        <f t="shared" si="0"/>
        <v>96904207</v>
      </c>
      <c r="G5" s="336"/>
      <c r="H5" s="234">
        <v>897976680.16000021</v>
      </c>
      <c r="I5" s="234">
        <f t="shared" ref="I5:I9" si="2">+H5/12</f>
        <v>74831390.01333335</v>
      </c>
      <c r="J5" s="234">
        <f t="shared" ref="J5:J9" si="3">+F5-I5</f>
        <v>22072816.98666665</v>
      </c>
      <c r="M5" s="340">
        <v>-967678</v>
      </c>
      <c r="N5" s="341">
        <v>100</v>
      </c>
      <c r="O5" s="342">
        <f t="shared" si="1"/>
        <v>-967678</v>
      </c>
      <c r="Q5" s="396">
        <f>SUM(Q4:Q4)</f>
        <v>-12437679.699999999</v>
      </c>
      <c r="R5" s="239"/>
      <c r="S5" s="241">
        <f>SUM(S4:S4)</f>
        <v>-2487535.94</v>
      </c>
    </row>
    <row r="6" spans="1:19" ht="25.5" customHeight="1">
      <c r="A6" s="195" t="s">
        <v>107</v>
      </c>
      <c r="B6" s="339">
        <v>87943609</v>
      </c>
      <c r="C6" s="339">
        <v>0</v>
      </c>
      <c r="D6" s="340">
        <f t="shared" ref="D6:D9" si="4">+B6+C6</f>
        <v>87943609</v>
      </c>
      <c r="E6" s="341">
        <v>20</v>
      </c>
      <c r="F6" s="342">
        <f t="shared" si="0"/>
        <v>17588721.800000001</v>
      </c>
      <c r="G6" s="336"/>
      <c r="H6" s="234">
        <v>220792307.32999998</v>
      </c>
      <c r="I6" s="234">
        <f t="shared" si="2"/>
        <v>18399358.944166664</v>
      </c>
      <c r="J6" s="234">
        <f t="shared" si="3"/>
        <v>-810637.14416666329</v>
      </c>
      <c r="M6" s="340">
        <v>-13047961</v>
      </c>
      <c r="N6" s="341">
        <v>20</v>
      </c>
      <c r="O6" s="342">
        <f t="shared" si="1"/>
        <v>-2609592.2000000002</v>
      </c>
      <c r="Q6" s="362"/>
      <c r="R6" s="363"/>
      <c r="S6" s="336"/>
    </row>
    <row r="7" spans="1:19" ht="25.5" customHeight="1">
      <c r="A7" s="195" t="s">
        <v>115</v>
      </c>
      <c r="B7" s="339">
        <v>75298111</v>
      </c>
      <c r="C7" s="339">
        <v>0</v>
      </c>
      <c r="D7" s="340">
        <f t="shared" si="4"/>
        <v>75298111</v>
      </c>
      <c r="E7" s="341">
        <v>20</v>
      </c>
      <c r="F7" s="342">
        <f t="shared" si="0"/>
        <v>15059622.200000001</v>
      </c>
      <c r="G7" s="336"/>
      <c r="H7" s="234">
        <v>372200568.05000001</v>
      </c>
      <c r="I7" s="234">
        <f t="shared" si="2"/>
        <v>31016714.004166666</v>
      </c>
      <c r="J7" s="234">
        <f t="shared" si="3"/>
        <v>-15957091.804166665</v>
      </c>
      <c r="M7" s="340">
        <v>-5047468</v>
      </c>
      <c r="N7" s="341">
        <v>20</v>
      </c>
      <c r="O7" s="342">
        <f t="shared" si="1"/>
        <v>-1009493.6000000001</v>
      </c>
      <c r="Q7" s="362"/>
      <c r="R7" s="363"/>
      <c r="S7" s="336"/>
    </row>
    <row r="8" spans="1:19" ht="25.5" customHeight="1">
      <c r="A8" s="195" t="s">
        <v>121</v>
      </c>
      <c r="B8" s="339">
        <v>142083415</v>
      </c>
      <c r="C8" s="339"/>
      <c r="D8" s="340">
        <f t="shared" si="4"/>
        <v>142083415</v>
      </c>
      <c r="E8" s="341">
        <v>20</v>
      </c>
      <c r="F8" s="342">
        <f t="shared" si="0"/>
        <v>28416683</v>
      </c>
      <c r="G8" s="336"/>
      <c r="H8" s="234">
        <v>183055003.22</v>
      </c>
      <c r="I8" s="234">
        <f t="shared" si="2"/>
        <v>15254583.601666667</v>
      </c>
      <c r="J8" s="234">
        <f t="shared" si="3"/>
        <v>13162099.398333333</v>
      </c>
      <c r="M8" s="340">
        <f t="shared" ref="M8:M13" si="5">+L8</f>
        <v>0</v>
      </c>
      <c r="N8" s="341">
        <v>20</v>
      </c>
      <c r="O8" s="342">
        <f t="shared" si="1"/>
        <v>0</v>
      </c>
      <c r="Q8" s="362"/>
      <c r="R8" s="363"/>
      <c r="S8" s="336"/>
    </row>
    <row r="9" spans="1:19" ht="25.5" customHeight="1">
      <c r="A9" s="195" t="s">
        <v>120</v>
      </c>
      <c r="B9" s="339">
        <v>17306482</v>
      </c>
      <c r="C9" s="339"/>
      <c r="D9" s="340">
        <f t="shared" si="4"/>
        <v>17306482</v>
      </c>
      <c r="E9" s="341">
        <v>20</v>
      </c>
      <c r="F9" s="342">
        <f t="shared" si="0"/>
        <v>3461296.4000000004</v>
      </c>
      <c r="G9" s="336"/>
      <c r="H9" s="234">
        <v>39228897.590000004</v>
      </c>
      <c r="I9" s="234">
        <f t="shared" si="2"/>
        <v>3269074.7991666668</v>
      </c>
      <c r="J9" s="234">
        <f t="shared" si="3"/>
        <v>192221.60083333356</v>
      </c>
      <c r="M9" s="340">
        <f t="shared" si="5"/>
        <v>0</v>
      </c>
      <c r="N9" s="341">
        <v>20</v>
      </c>
      <c r="O9" s="342">
        <f t="shared" si="1"/>
        <v>0</v>
      </c>
      <c r="Q9" s="362"/>
      <c r="R9" s="363"/>
      <c r="S9" s="336"/>
    </row>
    <row r="10" spans="1:19" ht="25.5" customHeight="1">
      <c r="A10" s="235" t="s">
        <v>225</v>
      </c>
      <c r="B10" s="343">
        <f>SUM(B4:B9)</f>
        <v>3832822173</v>
      </c>
      <c r="C10" s="343">
        <f>SUM(C4:C9)</f>
        <v>0</v>
      </c>
      <c r="D10" s="343">
        <f>SUM(D4:D9)</f>
        <v>3832822173</v>
      </c>
      <c r="E10" s="232">
        <v>20</v>
      </c>
      <c r="F10" s="343">
        <f>SUM(F4:F9)</f>
        <v>844087800.20000005</v>
      </c>
      <c r="G10" s="337"/>
      <c r="H10" s="237">
        <f>SUM(H4:H9)</f>
        <v>8288380484.6200008</v>
      </c>
      <c r="I10" s="237">
        <f>SUM(I4:I9)</f>
        <v>690698373.71833348</v>
      </c>
      <c r="J10" s="237">
        <f>SUM(J4:J9)</f>
        <v>153389426.48166662</v>
      </c>
      <c r="M10" s="390">
        <f>SUM(M4:M9)</f>
        <v>-304911213</v>
      </c>
      <c r="N10" s="232">
        <v>20</v>
      </c>
      <c r="O10" s="391">
        <f>SUM(O4:O9)</f>
        <v>-61756385.000000007</v>
      </c>
      <c r="Q10" s="362"/>
      <c r="R10" s="363"/>
      <c r="S10" s="336"/>
    </row>
    <row r="11" spans="1:19" ht="25.5" customHeight="1">
      <c r="A11" s="195" t="s">
        <v>126</v>
      </c>
      <c r="B11" s="339">
        <v>36408403</v>
      </c>
      <c r="C11" s="339"/>
      <c r="D11" s="340">
        <f t="shared" ref="D11:D13" si="6">+B11+C11</f>
        <v>36408403</v>
      </c>
      <c r="E11" s="341">
        <v>100</v>
      </c>
      <c r="F11" s="342">
        <f t="shared" si="0"/>
        <v>36408403</v>
      </c>
      <c r="G11" s="336"/>
      <c r="H11" s="234"/>
      <c r="I11" s="234"/>
      <c r="J11" s="234"/>
      <c r="M11" s="392">
        <v>-4940937</v>
      </c>
      <c r="N11" s="341">
        <v>100</v>
      </c>
      <c r="O11" s="342">
        <f t="shared" si="1"/>
        <v>-4940937</v>
      </c>
      <c r="Q11" s="362"/>
      <c r="R11" s="363"/>
      <c r="S11" s="336"/>
    </row>
    <row r="12" spans="1:19" ht="25.5" customHeight="1">
      <c r="A12" s="195" t="s">
        <v>114</v>
      </c>
      <c r="B12" s="339">
        <v>0</v>
      </c>
      <c r="C12" s="339"/>
      <c r="D12" s="340">
        <f t="shared" si="6"/>
        <v>0</v>
      </c>
      <c r="E12" s="341">
        <v>20</v>
      </c>
      <c r="F12" s="342">
        <f t="shared" si="0"/>
        <v>0</v>
      </c>
      <c r="G12" s="336"/>
      <c r="H12" s="234"/>
      <c r="I12" s="234"/>
      <c r="J12" s="234"/>
      <c r="M12" s="392">
        <f t="shared" si="5"/>
        <v>0</v>
      </c>
      <c r="N12" s="341">
        <v>20</v>
      </c>
      <c r="O12" s="342">
        <f t="shared" si="1"/>
        <v>0</v>
      </c>
      <c r="Q12" s="362"/>
      <c r="R12" s="363"/>
      <c r="S12" s="336"/>
    </row>
    <row r="13" spans="1:19" ht="25.5" customHeight="1">
      <c r="A13" s="195" t="s">
        <v>218</v>
      </c>
      <c r="B13" s="339">
        <v>8222385</v>
      </c>
      <c r="C13" s="339"/>
      <c r="D13" s="340">
        <f t="shared" si="6"/>
        <v>8222385</v>
      </c>
      <c r="E13" s="341">
        <v>20</v>
      </c>
      <c r="F13" s="342">
        <f t="shared" si="0"/>
        <v>1644477</v>
      </c>
      <c r="G13" s="336"/>
      <c r="H13" s="234"/>
      <c r="I13" s="234"/>
      <c r="J13" s="234"/>
      <c r="M13" s="392">
        <f t="shared" si="5"/>
        <v>0</v>
      </c>
      <c r="N13" s="341">
        <v>20</v>
      </c>
      <c r="O13" s="342">
        <f t="shared" si="1"/>
        <v>0</v>
      </c>
      <c r="Q13" s="362"/>
      <c r="R13" s="363"/>
      <c r="S13" s="336"/>
    </row>
    <row r="14" spans="1:19" ht="25.5" customHeight="1">
      <c r="A14" s="235" t="s">
        <v>225</v>
      </c>
      <c r="B14" s="343">
        <f>SUM(B11:B13)</f>
        <v>44630788</v>
      </c>
      <c r="C14" s="343"/>
      <c r="D14" s="343">
        <f>SUM(D11:D13)</f>
        <v>44630788</v>
      </c>
      <c r="E14" s="232"/>
      <c r="F14" s="343">
        <f>SUM(F11:F13)</f>
        <v>38052880</v>
      </c>
      <c r="G14" s="337"/>
      <c r="H14" s="234"/>
      <c r="I14" s="234"/>
      <c r="J14" s="234"/>
      <c r="M14" s="392">
        <f>SUM(M11:M13)</f>
        <v>-4940937</v>
      </c>
      <c r="N14" s="232"/>
      <c r="O14" s="391">
        <f>SUM(O11:O13)</f>
        <v>-4940937</v>
      </c>
      <c r="Q14" s="362"/>
      <c r="R14" s="363"/>
      <c r="S14" s="336"/>
    </row>
    <row r="15" spans="1:19" ht="25.5" customHeight="1">
      <c r="A15" s="239" t="s">
        <v>53</v>
      </c>
      <c r="B15" s="344">
        <f>+B10+B14</f>
        <v>3877452961</v>
      </c>
      <c r="C15" s="344">
        <f>+C10+C14</f>
        <v>0</v>
      </c>
      <c r="D15" s="344">
        <f>+D10+D14</f>
        <v>3877452961</v>
      </c>
      <c r="E15" s="239"/>
      <c r="F15" s="344">
        <f>+F10+F14</f>
        <v>882140680.20000005</v>
      </c>
      <c r="G15" s="338"/>
      <c r="H15" s="237"/>
      <c r="I15" s="237">
        <f>+I10+I14</f>
        <v>690698373.71833348</v>
      </c>
      <c r="J15" s="237">
        <f>+J10+J14</f>
        <v>153389426.48166662</v>
      </c>
      <c r="M15" s="393">
        <f>+M10+M14</f>
        <v>-309852150</v>
      </c>
      <c r="N15" s="239"/>
      <c r="O15" s="394">
        <f>+O10+O14</f>
        <v>-66697322.000000007</v>
      </c>
      <c r="Q15" s="364"/>
      <c r="R15" s="365"/>
      <c r="S15" s="365"/>
    </row>
    <row r="16" spans="1:19">
      <c r="A16" s="12"/>
      <c r="B16" s="12"/>
      <c r="C16" s="12"/>
      <c r="D16" s="13"/>
      <c r="E16" s="14"/>
      <c r="F16" s="13"/>
      <c r="G16" s="13"/>
      <c r="H16" s="13"/>
      <c r="I16" s="13"/>
      <c r="J16" s="13"/>
      <c r="M16" s="361"/>
      <c r="N16" s="361"/>
      <c r="O16" s="361"/>
    </row>
    <row r="17" spans="1:15">
      <c r="A17" s="15" t="s">
        <v>108</v>
      </c>
      <c r="B17" s="15"/>
      <c r="C17" s="15"/>
      <c r="F17" s="200" t="s">
        <v>155</v>
      </c>
      <c r="G17" s="200"/>
      <c r="H17" s="200"/>
      <c r="I17" s="200"/>
      <c r="J17" s="200"/>
      <c r="M17" s="361"/>
      <c r="N17" s="361"/>
      <c r="O17" s="361"/>
    </row>
    <row r="18" spans="1:15">
      <c r="M18" s="361"/>
      <c r="N18" s="361"/>
      <c r="O18" s="361"/>
    </row>
    <row r="19" spans="1:15">
      <c r="F19" s="367" t="s">
        <v>155</v>
      </c>
    </row>
    <row r="20" spans="1:15">
      <c r="D20" s="367" t="s">
        <v>155</v>
      </c>
    </row>
    <row r="23" spans="1:15">
      <c r="B23" s="367"/>
      <c r="C23" s="367"/>
      <c r="D23" s="367"/>
      <c r="F23" s="367"/>
      <c r="G23" s="367"/>
      <c r="H23" s="367"/>
      <c r="I23" s="367"/>
      <c r="J23" s="367"/>
    </row>
    <row r="24" spans="1:15">
      <c r="B24" s="367"/>
      <c r="C24" s="367"/>
      <c r="D24" s="367"/>
      <c r="F24" s="367"/>
      <c r="G24" s="367"/>
      <c r="H24" s="367"/>
      <c r="I24" s="367"/>
      <c r="J24" s="367"/>
    </row>
    <row r="25" spans="1:15">
      <c r="B25" s="367"/>
      <c r="C25" s="367"/>
      <c r="D25" s="367"/>
      <c r="F25" s="367"/>
      <c r="G25" s="367"/>
      <c r="H25" s="367"/>
      <c r="I25" s="367"/>
      <c r="J25" s="367"/>
    </row>
    <row r="26" spans="1:15">
      <c r="B26" s="367"/>
      <c r="C26" s="367"/>
      <c r="D26" s="367"/>
      <c r="F26" s="367"/>
      <c r="G26" s="367"/>
      <c r="H26" s="367"/>
      <c r="I26" s="367"/>
      <c r="J26" s="367"/>
    </row>
    <row r="27" spans="1:15">
      <c r="B27" s="367"/>
      <c r="C27" s="367"/>
      <c r="D27" s="367"/>
      <c r="F27" s="367"/>
      <c r="G27" s="367"/>
      <c r="H27" s="367"/>
      <c r="I27" s="367"/>
      <c r="J27" s="367"/>
    </row>
    <row r="28" spans="1:15">
      <c r="B28" s="367"/>
      <c r="C28" s="367"/>
      <c r="D28" s="367"/>
      <c r="F28" s="367"/>
      <c r="G28" s="367"/>
      <c r="H28" s="367"/>
      <c r="I28" s="367"/>
      <c r="J28" s="367"/>
    </row>
    <row r="29" spans="1:15">
      <c r="B29" s="367"/>
      <c r="C29" s="367"/>
      <c r="D29" s="367"/>
      <c r="F29" s="367"/>
      <c r="G29" s="367"/>
      <c r="H29" s="367"/>
      <c r="I29" s="367"/>
      <c r="J29" s="367"/>
    </row>
    <row r="30" spans="1:15">
      <c r="B30" s="367"/>
      <c r="C30" s="367"/>
      <c r="D30" s="367"/>
      <c r="F30" s="367"/>
      <c r="G30" s="367"/>
      <c r="H30" s="367"/>
      <c r="I30" s="367"/>
      <c r="J30" s="367"/>
    </row>
    <row r="31" spans="1:15">
      <c r="B31" s="367"/>
      <c r="C31" s="367"/>
      <c r="D31" s="367"/>
      <c r="F31" s="367"/>
      <c r="G31" s="367"/>
      <c r="H31" s="367"/>
      <c r="I31" s="367"/>
      <c r="J31" s="367"/>
    </row>
    <row r="32" spans="1:15">
      <c r="B32" s="367"/>
      <c r="C32" s="367"/>
      <c r="D32" s="367"/>
      <c r="F32" s="367"/>
      <c r="G32" s="367"/>
      <c r="H32" s="367"/>
      <c r="I32" s="367"/>
      <c r="J32" s="367"/>
    </row>
    <row r="33" spans="2:10">
      <c r="B33" s="367"/>
      <c r="C33" s="367"/>
      <c r="D33" s="367"/>
      <c r="F33" s="367"/>
      <c r="G33" s="367"/>
      <c r="H33" s="367"/>
      <c r="I33" s="367"/>
      <c r="J33" s="367"/>
    </row>
    <row r="34" spans="2:10">
      <c r="B34" s="367"/>
      <c r="C34" s="367"/>
      <c r="D34" s="367"/>
      <c r="F34" s="367"/>
      <c r="G34" s="367"/>
      <c r="H34" s="367"/>
      <c r="I34" s="367"/>
      <c r="J34" s="367"/>
    </row>
  </sheetData>
  <mergeCells count="3">
    <mergeCell ref="A1:F1"/>
    <mergeCell ref="M1:O1"/>
    <mergeCell ref="Q1:S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2"/>
  <sheetViews>
    <sheetView zoomScaleNormal="100" workbookViewId="0">
      <selection activeCell="D57" sqref="D57"/>
    </sheetView>
  </sheetViews>
  <sheetFormatPr baseColWidth="10" defaultColWidth="13" defaultRowHeight="12.75"/>
  <cols>
    <col min="1" max="1" width="31.7109375" style="96" customWidth="1"/>
    <col min="2" max="2" width="16" style="96" customWidth="1"/>
    <col min="3" max="3" width="16.5703125" style="96" customWidth="1"/>
    <col min="4" max="4" width="21" style="96" customWidth="1"/>
    <col min="5" max="16384" width="13" style="96"/>
  </cols>
  <sheetData>
    <row r="1" spans="1:41">
      <c r="A1" s="442" t="s">
        <v>109</v>
      </c>
      <c r="B1" s="442"/>
      <c r="C1" s="442"/>
      <c r="D1" s="442"/>
      <c r="E1" s="254"/>
      <c r="F1" s="254"/>
      <c r="G1" s="254"/>
      <c r="H1" s="254"/>
      <c r="I1" s="254"/>
      <c r="J1" s="254"/>
      <c r="K1" s="254"/>
    </row>
    <row r="2" spans="1:41">
      <c r="A2" s="442" t="s">
        <v>255</v>
      </c>
      <c r="B2" s="442"/>
      <c r="C2" s="442"/>
      <c r="D2" s="442"/>
      <c r="E2" s="254"/>
      <c r="F2" s="254"/>
      <c r="G2" s="254"/>
      <c r="H2" s="254"/>
      <c r="I2" s="254"/>
      <c r="J2" s="254"/>
      <c r="K2" s="254"/>
    </row>
    <row r="3" spans="1:41">
      <c r="A3" s="441" t="s">
        <v>342</v>
      </c>
      <c r="B3" s="441"/>
      <c r="C3" s="441"/>
      <c r="D3" s="441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1" ht="13.5" thickBot="1">
      <c r="A4" s="441" t="s">
        <v>220</v>
      </c>
      <c r="B4" s="441"/>
      <c r="C4" s="441"/>
      <c r="D4" s="441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1" ht="17.25" thickTop="1" thickBot="1">
      <c r="A5" s="97" t="s">
        <v>0</v>
      </c>
      <c r="B5" s="173" t="s">
        <v>225</v>
      </c>
      <c r="C5" s="98" t="s">
        <v>226</v>
      </c>
      <c r="D5" s="98" t="s">
        <v>53</v>
      </c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1" ht="16.5" thickTop="1">
      <c r="A6" s="345" t="s">
        <v>1</v>
      </c>
      <c r="B6" s="346"/>
      <c r="C6" s="346"/>
      <c r="D6" s="99">
        <f>SUM(B6:C6)</f>
        <v>0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7" spans="1:41" ht="15.75">
      <c r="A7" s="347" t="s">
        <v>2</v>
      </c>
      <c r="B7" s="348">
        <v>235495</v>
      </c>
      <c r="C7" s="348"/>
      <c r="D7" s="99">
        <f t="shared" ref="D7:D56" si="0">SUM(B7:C7)</f>
        <v>235495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</row>
    <row r="8" spans="1:41" ht="15.75">
      <c r="A8" s="347" t="s">
        <v>3</v>
      </c>
      <c r="B8" s="348"/>
      <c r="C8" s="348"/>
      <c r="D8" s="99">
        <f t="shared" si="0"/>
        <v>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</row>
    <row r="9" spans="1:41" ht="15.75">
      <c r="A9" s="347" t="s">
        <v>4</v>
      </c>
      <c r="B9" s="348">
        <v>698714</v>
      </c>
      <c r="C9" s="348"/>
      <c r="D9" s="99">
        <f t="shared" si="0"/>
        <v>698714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</row>
    <row r="10" spans="1:41" ht="15.75">
      <c r="A10" s="347" t="s">
        <v>5</v>
      </c>
      <c r="B10" s="348">
        <v>421842</v>
      </c>
      <c r="C10" s="348"/>
      <c r="D10" s="99">
        <f t="shared" si="0"/>
        <v>421842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</row>
    <row r="11" spans="1:41" ht="15.75">
      <c r="A11" s="347" t="s">
        <v>6</v>
      </c>
      <c r="B11" s="348">
        <v>4713391</v>
      </c>
      <c r="C11" s="348"/>
      <c r="D11" s="99">
        <f t="shared" si="0"/>
        <v>4713391</v>
      </c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</row>
    <row r="12" spans="1:41" ht="15.75">
      <c r="A12" s="347" t="s">
        <v>7</v>
      </c>
      <c r="B12" s="348">
        <v>2414949</v>
      </c>
      <c r="C12" s="348"/>
      <c r="D12" s="99">
        <f t="shared" si="0"/>
        <v>2414949</v>
      </c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ht="15.75">
      <c r="A13" s="347" t="s">
        <v>8</v>
      </c>
      <c r="B13" s="348">
        <v>160378</v>
      </c>
      <c r="C13" s="348"/>
      <c r="D13" s="99">
        <f t="shared" si="0"/>
        <v>160378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5.75">
      <c r="A14" s="347" t="s">
        <v>9</v>
      </c>
      <c r="B14" s="348"/>
      <c r="C14" s="348"/>
      <c r="D14" s="99">
        <f t="shared" si="0"/>
        <v>0</v>
      </c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</row>
    <row r="15" spans="1:41" ht="15.75">
      <c r="A15" s="347" t="s">
        <v>10</v>
      </c>
      <c r="B15" s="348"/>
      <c r="C15" s="348"/>
      <c r="D15" s="99">
        <f t="shared" si="0"/>
        <v>0</v>
      </c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</row>
    <row r="16" spans="1:41" ht="15.75">
      <c r="A16" s="347" t="s">
        <v>11</v>
      </c>
      <c r="B16" s="348"/>
      <c r="C16" s="348"/>
      <c r="D16" s="99">
        <f t="shared" si="0"/>
        <v>0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</row>
    <row r="17" spans="1:41" ht="15.75">
      <c r="A17" s="347" t="s">
        <v>12</v>
      </c>
      <c r="B17" s="348">
        <v>151121</v>
      </c>
      <c r="C17" s="348"/>
      <c r="D17" s="99">
        <f t="shared" si="0"/>
        <v>151121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</row>
    <row r="18" spans="1:41" ht="15.75">
      <c r="A18" s="347" t="s">
        <v>13</v>
      </c>
      <c r="B18" s="348"/>
      <c r="C18" s="348"/>
      <c r="D18" s="99">
        <f t="shared" si="0"/>
        <v>0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</row>
    <row r="19" spans="1:41" ht="15.75">
      <c r="A19" s="347" t="s">
        <v>14</v>
      </c>
      <c r="B19" s="348"/>
      <c r="C19" s="348"/>
      <c r="D19" s="99">
        <f t="shared" si="0"/>
        <v>0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</row>
    <row r="20" spans="1:41" ht="15.75">
      <c r="A20" s="347" t="s">
        <v>15</v>
      </c>
      <c r="B20" s="348"/>
      <c r="C20" s="348"/>
      <c r="D20" s="99">
        <f t="shared" si="0"/>
        <v>0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</row>
    <row r="21" spans="1:41" ht="15.75">
      <c r="A21" s="347" t="s">
        <v>16</v>
      </c>
      <c r="B21" s="348">
        <v>202695</v>
      </c>
      <c r="C21" s="348"/>
      <c r="D21" s="99">
        <f t="shared" si="0"/>
        <v>202695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</row>
    <row r="22" spans="1:41" ht="15.75">
      <c r="A22" s="347" t="s">
        <v>17</v>
      </c>
      <c r="B22" s="348">
        <v>534472</v>
      </c>
      <c r="C22" s="348"/>
      <c r="D22" s="99">
        <f t="shared" si="0"/>
        <v>534472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</row>
    <row r="23" spans="1:41" ht="15.75">
      <c r="A23" s="347" t="s">
        <v>18</v>
      </c>
      <c r="B23" s="348"/>
      <c r="C23" s="348"/>
      <c r="D23" s="99">
        <f t="shared" si="0"/>
        <v>0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ht="15.75">
      <c r="A24" s="347" t="s">
        <v>19</v>
      </c>
      <c r="B24" s="348"/>
      <c r="C24" s="348"/>
      <c r="D24" s="99">
        <f t="shared" si="0"/>
        <v>0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5.75">
      <c r="A25" s="347" t="s">
        <v>20</v>
      </c>
      <c r="B25" s="348">
        <v>3103113</v>
      </c>
      <c r="C25" s="348"/>
      <c r="D25" s="99">
        <f t="shared" si="0"/>
        <v>3103113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</row>
    <row r="26" spans="1:41" ht="15.75">
      <c r="A26" s="347" t="s">
        <v>21</v>
      </c>
      <c r="B26" s="348"/>
      <c r="C26" s="348"/>
      <c r="D26" s="99">
        <f t="shared" si="0"/>
        <v>0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</row>
    <row r="27" spans="1:41" ht="15.75">
      <c r="A27" s="347" t="s">
        <v>22</v>
      </c>
      <c r="B27" s="348"/>
      <c r="C27" s="348"/>
      <c r="D27" s="99">
        <f t="shared" si="0"/>
        <v>0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</row>
    <row r="28" spans="1:41" ht="15.75">
      <c r="A28" s="347" t="s">
        <v>23</v>
      </c>
      <c r="B28" s="348"/>
      <c r="C28" s="348"/>
      <c r="D28" s="99">
        <f t="shared" si="0"/>
        <v>0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</row>
    <row r="29" spans="1:41" ht="15.75">
      <c r="A29" s="347" t="s">
        <v>24</v>
      </c>
      <c r="B29" s="348"/>
      <c r="C29" s="348"/>
      <c r="D29" s="99">
        <f t="shared" si="0"/>
        <v>0</v>
      </c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</row>
    <row r="30" spans="1:41" ht="15.75">
      <c r="A30" s="347" t="s">
        <v>25</v>
      </c>
      <c r="B30" s="348">
        <v>15371599</v>
      </c>
      <c r="C30" s="348"/>
      <c r="D30" s="99">
        <f t="shared" si="0"/>
        <v>15371599</v>
      </c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</row>
    <row r="31" spans="1:41" ht="15.75">
      <c r="A31" s="347" t="s">
        <v>26</v>
      </c>
      <c r="B31" s="348"/>
      <c r="C31" s="348"/>
      <c r="D31" s="99">
        <f t="shared" si="0"/>
        <v>0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</row>
    <row r="32" spans="1:41" ht="15.75">
      <c r="A32" s="347" t="s">
        <v>27</v>
      </c>
      <c r="B32" s="348">
        <v>724954</v>
      </c>
      <c r="C32" s="348"/>
      <c r="D32" s="99">
        <f t="shared" si="0"/>
        <v>724954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</row>
    <row r="33" spans="1:41" ht="15.75">
      <c r="A33" s="347" t="s">
        <v>28</v>
      </c>
      <c r="B33" s="348"/>
      <c r="C33" s="348"/>
      <c r="D33" s="99">
        <f t="shared" si="0"/>
        <v>0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</row>
    <row r="34" spans="1:41" ht="15.75">
      <c r="A34" s="347" t="s">
        <v>29</v>
      </c>
      <c r="B34" s="348">
        <v>80281</v>
      </c>
      <c r="C34" s="348"/>
      <c r="D34" s="99">
        <f t="shared" si="0"/>
        <v>80281</v>
      </c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ht="15.75">
      <c r="A35" s="347" t="s">
        <v>30</v>
      </c>
      <c r="B35" s="348">
        <v>156849.53205084981</v>
      </c>
      <c r="C35" s="348"/>
      <c r="D35" s="99">
        <f t="shared" si="0"/>
        <v>156849.53205084981</v>
      </c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5.75">
      <c r="A36" s="347" t="s">
        <v>31</v>
      </c>
      <c r="B36" s="348"/>
      <c r="C36" s="348"/>
      <c r="D36" s="99">
        <f t="shared" si="0"/>
        <v>0</v>
      </c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</row>
    <row r="37" spans="1:41" ht="15.75">
      <c r="A37" s="347" t="s">
        <v>32</v>
      </c>
      <c r="B37" s="348">
        <v>134323</v>
      </c>
      <c r="C37" s="348"/>
      <c r="D37" s="99">
        <f t="shared" si="0"/>
        <v>134323</v>
      </c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</row>
    <row r="38" spans="1:41" ht="15.75">
      <c r="A38" s="347" t="s">
        <v>33</v>
      </c>
      <c r="B38" s="348">
        <v>1151457</v>
      </c>
      <c r="C38" s="348"/>
      <c r="D38" s="99">
        <f t="shared" si="0"/>
        <v>1151457</v>
      </c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</row>
    <row r="39" spans="1:41" ht="15.75">
      <c r="A39" s="347" t="s">
        <v>34</v>
      </c>
      <c r="B39" s="348"/>
      <c r="C39" s="348"/>
      <c r="D39" s="99">
        <f t="shared" si="0"/>
        <v>0</v>
      </c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</row>
    <row r="40" spans="1:41" ht="15.75">
      <c r="A40" s="347" t="s">
        <v>35</v>
      </c>
      <c r="B40" s="348">
        <v>142588</v>
      </c>
      <c r="C40" s="348"/>
      <c r="D40" s="99">
        <f t="shared" si="0"/>
        <v>142588</v>
      </c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</row>
    <row r="41" spans="1:41" ht="15.75">
      <c r="A41" s="347" t="s">
        <v>36</v>
      </c>
      <c r="B41" s="348">
        <v>637212</v>
      </c>
      <c r="C41" s="348"/>
      <c r="D41" s="99">
        <f t="shared" si="0"/>
        <v>637212</v>
      </c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</row>
    <row r="42" spans="1:41" ht="15.75">
      <c r="A42" s="347" t="s">
        <v>37</v>
      </c>
      <c r="B42" s="348">
        <v>188647</v>
      </c>
      <c r="C42" s="348"/>
      <c r="D42" s="99">
        <f t="shared" si="0"/>
        <v>188647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</row>
    <row r="43" spans="1:41" ht="15.75">
      <c r="A43" s="347" t="s">
        <v>38</v>
      </c>
      <c r="B43" s="348">
        <v>5347207.120540957</v>
      </c>
      <c r="C43" s="348"/>
      <c r="D43" s="99">
        <f t="shared" si="0"/>
        <v>5347207.120540957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</row>
    <row r="44" spans="1:41" ht="15.75">
      <c r="A44" s="347" t="s">
        <v>39</v>
      </c>
      <c r="B44" s="348">
        <v>15949017</v>
      </c>
      <c r="C44" s="348">
        <v>104433</v>
      </c>
      <c r="D44" s="99">
        <f t="shared" si="0"/>
        <v>16053450</v>
      </c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</row>
    <row r="45" spans="1:41" ht="15.75">
      <c r="A45" s="347" t="s">
        <v>40</v>
      </c>
      <c r="B45" s="348"/>
      <c r="C45" s="348"/>
      <c r="D45" s="99">
        <f t="shared" si="0"/>
        <v>0</v>
      </c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ht="15.75">
      <c r="A46" s="347" t="s">
        <v>41</v>
      </c>
      <c r="B46" s="348">
        <v>1704827</v>
      </c>
      <c r="C46" s="348"/>
      <c r="D46" s="99">
        <f t="shared" si="0"/>
        <v>1704827</v>
      </c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5.75">
      <c r="A47" s="347" t="s">
        <v>42</v>
      </c>
      <c r="B47" s="348"/>
      <c r="C47" s="348"/>
      <c r="D47" s="99">
        <f t="shared" si="0"/>
        <v>0</v>
      </c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</row>
    <row r="48" spans="1:41" ht="15.75">
      <c r="A48" s="347" t="s">
        <v>43</v>
      </c>
      <c r="B48" s="348">
        <v>68039</v>
      </c>
      <c r="C48" s="348"/>
      <c r="D48" s="99">
        <f t="shared" si="0"/>
        <v>68039</v>
      </c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</row>
    <row r="49" spans="1:41" ht="15.75">
      <c r="A49" s="347" t="s">
        <v>44</v>
      </c>
      <c r="B49" s="348">
        <v>894101</v>
      </c>
      <c r="C49" s="348"/>
      <c r="D49" s="99">
        <f t="shared" si="0"/>
        <v>894101</v>
      </c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</row>
    <row r="50" spans="1:41" ht="15.75">
      <c r="A50" s="347" t="s">
        <v>45</v>
      </c>
      <c r="B50" s="348">
        <v>1090006</v>
      </c>
      <c r="C50" s="348"/>
      <c r="D50" s="99">
        <f t="shared" si="0"/>
        <v>1090006</v>
      </c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</row>
    <row r="51" spans="1:41" ht="15.75">
      <c r="A51" s="347" t="s">
        <v>46</v>
      </c>
      <c r="B51" s="348">
        <v>13724</v>
      </c>
      <c r="C51" s="348">
        <v>275969</v>
      </c>
      <c r="D51" s="99">
        <f t="shared" si="0"/>
        <v>289693</v>
      </c>
      <c r="E51" s="95" t="s">
        <v>155</v>
      </c>
      <c r="F51" s="95" t="s">
        <v>155</v>
      </c>
      <c r="G51" s="95" t="s">
        <v>155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</row>
    <row r="52" spans="1:41" ht="15.75">
      <c r="A52" s="347" t="s">
        <v>47</v>
      </c>
      <c r="B52" s="348">
        <v>31416343</v>
      </c>
      <c r="C52" s="348">
        <v>169184</v>
      </c>
      <c r="D52" s="99">
        <f t="shared" si="0"/>
        <v>31585527</v>
      </c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</row>
    <row r="53" spans="1:41" ht="15.75">
      <c r="A53" s="347" t="s">
        <v>48</v>
      </c>
      <c r="B53" s="348">
        <v>8792951.6004356425</v>
      </c>
      <c r="C53" s="348"/>
      <c r="D53" s="99">
        <f t="shared" si="0"/>
        <v>8792951.6004356425</v>
      </c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</row>
    <row r="54" spans="1:41" ht="15.75">
      <c r="A54" s="347" t="s">
        <v>49</v>
      </c>
      <c r="B54" s="348">
        <v>710392</v>
      </c>
      <c r="C54" s="348"/>
      <c r="D54" s="99">
        <f t="shared" si="0"/>
        <v>710392</v>
      </c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</row>
    <row r="55" spans="1:41" ht="15.75">
      <c r="A55" s="347" t="s">
        <v>50</v>
      </c>
      <c r="B55" s="348"/>
      <c r="C55" s="348"/>
      <c r="D55" s="99">
        <f t="shared" si="0"/>
        <v>0</v>
      </c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</row>
    <row r="56" spans="1:41" ht="16.5" thickBot="1">
      <c r="A56" s="349" t="s">
        <v>51</v>
      </c>
      <c r="B56" s="348">
        <v>165386</v>
      </c>
      <c r="C56" s="350"/>
      <c r="D56" s="99">
        <f t="shared" si="0"/>
        <v>165386</v>
      </c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ht="17.25" thickTop="1" thickBot="1">
      <c r="A57" s="100" t="s">
        <v>52</v>
      </c>
      <c r="B57" s="101">
        <f t="shared" ref="B57:C57" si="1">SUM(B6:B56)</f>
        <v>97376074.253027439</v>
      </c>
      <c r="C57" s="101">
        <f t="shared" si="1"/>
        <v>549586</v>
      </c>
      <c r="D57" s="99">
        <f>SUM(B57:C57)</f>
        <v>97925660.253027439</v>
      </c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6.5" thickTop="1">
      <c r="A58" s="102"/>
      <c r="B58" s="102"/>
      <c r="C58" s="102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</row>
    <row r="59" spans="1:41" ht="15.75">
      <c r="A59" s="103"/>
      <c r="B59" s="103"/>
      <c r="C59" s="154" t="s">
        <v>155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</row>
    <row r="60" spans="1:41" ht="15.75">
      <c r="A60" s="104"/>
      <c r="B60" s="104"/>
      <c r="C60" s="104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</row>
    <row r="61" spans="1:41" ht="15.75">
      <c r="A61" s="104"/>
      <c r="B61" s="104"/>
      <c r="C61" s="104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</row>
    <row r="62" spans="1:41" ht="15.75">
      <c r="A62" s="104"/>
      <c r="B62" s="104"/>
      <c r="C62" s="104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</row>
    <row r="63" spans="1:41" ht="15.75">
      <c r="A63" s="104"/>
      <c r="B63" s="104"/>
      <c r="C63" s="104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</row>
    <row r="64" spans="1:41" ht="15.75">
      <c r="A64" s="104"/>
      <c r="B64" s="104"/>
      <c r="C64" s="104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</row>
    <row r="65" spans="1:41" ht="15.75">
      <c r="A65" s="104"/>
      <c r="B65" s="104"/>
      <c r="C65" s="104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</row>
    <row r="66" spans="1:41" ht="15.75">
      <c r="A66" s="104"/>
      <c r="B66" s="104"/>
      <c r="C66" s="104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</row>
    <row r="67" spans="1:41" ht="15.75">
      <c r="A67" s="104"/>
      <c r="B67" s="104"/>
      <c r="C67" s="104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ht="15.75">
      <c r="A68" s="104"/>
      <c r="B68" s="104"/>
      <c r="C68" s="104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5.75">
      <c r="A69" s="104"/>
      <c r="B69" s="104"/>
      <c r="C69" s="104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</row>
    <row r="70" spans="1:41" ht="15.75">
      <c r="A70" s="104"/>
      <c r="B70" s="104"/>
      <c r="C70" s="104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</row>
    <row r="71" spans="1:41" ht="15.75">
      <c r="A71" s="104"/>
      <c r="B71" s="104"/>
      <c r="C71" s="104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</row>
    <row r="72" spans="1:41" ht="15.75">
      <c r="A72" s="104"/>
      <c r="B72" s="104"/>
      <c r="C72" s="104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</row>
    <row r="73" spans="1:41" ht="15.75">
      <c r="A73" s="104"/>
      <c r="B73" s="104"/>
      <c r="C73" s="104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</row>
    <row r="74" spans="1:41" ht="15.75">
      <c r="A74" s="104"/>
      <c r="B74" s="104"/>
      <c r="C74" s="104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</row>
    <row r="75" spans="1:41" ht="15.75">
      <c r="A75" s="104"/>
      <c r="B75" s="104"/>
      <c r="C75" s="104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</row>
    <row r="76" spans="1:41" ht="15.75">
      <c r="A76" s="104"/>
      <c r="B76" s="104"/>
      <c r="C76" s="104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</row>
    <row r="77" spans="1:41" ht="15.75">
      <c r="A77" s="104"/>
      <c r="B77" s="104"/>
      <c r="C77" s="104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</row>
    <row r="78" spans="1:41" ht="15.75">
      <c r="A78" s="104"/>
      <c r="B78" s="104"/>
      <c r="C78" s="104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ht="15.75">
      <c r="A79" s="104"/>
      <c r="B79" s="104"/>
      <c r="C79" s="104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5.75">
      <c r="A80" s="104"/>
      <c r="B80" s="104"/>
      <c r="C80" s="104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</row>
    <row r="81" spans="1:41" ht="15.75">
      <c r="A81" s="104"/>
      <c r="B81" s="104"/>
      <c r="C81" s="104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</row>
    <row r="82" spans="1:41" ht="15.75">
      <c r="A82" s="104"/>
      <c r="B82" s="104"/>
      <c r="C82" s="104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</row>
    <row r="83" spans="1:41" ht="15.75">
      <c r="A83" s="104"/>
      <c r="B83" s="104"/>
      <c r="C83" s="104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</row>
    <row r="84" spans="1:41" ht="15.75">
      <c r="A84" s="104"/>
      <c r="B84" s="104"/>
      <c r="C84" s="104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</row>
    <row r="85" spans="1:41" ht="15.75">
      <c r="A85" s="104"/>
      <c r="B85" s="104"/>
      <c r="C85" s="104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</row>
    <row r="86" spans="1:41" ht="15.75">
      <c r="A86" s="104"/>
      <c r="B86" s="104"/>
      <c r="C86" s="104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</row>
    <row r="87" spans="1:41" ht="15.75">
      <c r="A87" s="104"/>
      <c r="B87" s="104"/>
      <c r="C87" s="104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</row>
    <row r="88" spans="1:41" ht="15.75">
      <c r="A88" s="104"/>
      <c r="B88" s="104"/>
      <c r="C88" s="104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</row>
    <row r="89" spans="1:41" ht="15.75">
      <c r="A89" s="104"/>
      <c r="B89" s="104"/>
      <c r="C89" s="104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ht="15.75">
      <c r="A90" s="104"/>
      <c r="B90" s="104"/>
      <c r="C90" s="104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5.75">
      <c r="A91" s="104"/>
      <c r="B91" s="104"/>
      <c r="C91" s="104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</row>
    <row r="92" spans="1:41" ht="15.75">
      <c r="A92" s="104"/>
      <c r="B92" s="104"/>
      <c r="C92" s="104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</row>
    <row r="93" spans="1:41" ht="15.75">
      <c r="A93" s="104"/>
      <c r="B93" s="104"/>
      <c r="C93" s="104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</row>
    <row r="94" spans="1:41" ht="15.75">
      <c r="A94" s="104"/>
      <c r="B94" s="104"/>
      <c r="C94" s="104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</row>
    <row r="95" spans="1:41" ht="15.75">
      <c r="A95" s="104"/>
      <c r="B95" s="104"/>
      <c r="C95" s="104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</row>
    <row r="96" spans="1:41" ht="15.75">
      <c r="A96" s="104"/>
      <c r="B96" s="104"/>
      <c r="C96" s="104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</row>
    <row r="97" spans="1:41" ht="15.75">
      <c r="A97" s="104"/>
      <c r="B97" s="104"/>
      <c r="C97" s="104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</row>
    <row r="98" spans="1:41" ht="15.75">
      <c r="A98" s="104"/>
      <c r="B98" s="104"/>
      <c r="C98" s="104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</row>
    <row r="99" spans="1:41" ht="15.75">
      <c r="A99" s="104"/>
      <c r="B99" s="104"/>
      <c r="C99" s="104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</row>
    <row r="100" spans="1:41" ht="15.75">
      <c r="A100" s="104"/>
      <c r="B100" s="104"/>
      <c r="C100" s="104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ht="15.75">
      <c r="A101" s="104"/>
      <c r="B101" s="104"/>
      <c r="C101" s="104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5.75">
      <c r="A102" s="104"/>
      <c r="B102" s="104"/>
      <c r="C102" s="104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</row>
    <row r="103" spans="1:41" ht="15.75">
      <c r="A103" s="104"/>
      <c r="B103" s="104"/>
      <c r="C103" s="104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</row>
    <row r="104" spans="1:41" ht="15.75">
      <c r="A104" s="104"/>
      <c r="B104" s="104"/>
      <c r="C104" s="104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</row>
    <row r="105" spans="1:41" ht="15.75">
      <c r="A105" s="104"/>
      <c r="B105" s="104"/>
      <c r="C105" s="104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</row>
    <row r="106" spans="1:41" ht="15.75">
      <c r="A106" s="104"/>
      <c r="B106" s="104"/>
      <c r="C106" s="104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</row>
    <row r="107" spans="1:41" ht="15.75">
      <c r="A107" s="104"/>
      <c r="B107" s="104"/>
      <c r="C107" s="104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</row>
    <row r="108" spans="1:41" ht="15.75">
      <c r="A108" s="104"/>
      <c r="B108" s="104"/>
      <c r="C108" s="104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</row>
    <row r="109" spans="1:41" ht="15.75">
      <c r="A109" s="104"/>
      <c r="B109" s="104"/>
      <c r="C109" s="104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</row>
    <row r="110" spans="1:41" ht="15.75">
      <c r="A110" s="104"/>
      <c r="B110" s="104"/>
      <c r="C110" s="10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</row>
    <row r="111" spans="1:41" ht="15.75">
      <c r="A111" s="104"/>
      <c r="B111" s="104"/>
      <c r="C111" s="104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ht="15.75">
      <c r="A112" s="104"/>
      <c r="B112" s="104"/>
      <c r="C112" s="104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5.75">
      <c r="A113" s="104"/>
      <c r="B113" s="104"/>
      <c r="C113" s="104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</row>
    <row r="114" spans="1:41" ht="15.75">
      <c r="A114" s="104"/>
      <c r="B114" s="104"/>
      <c r="C114" s="104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</row>
    <row r="115" spans="1:41" ht="15.75">
      <c r="A115" s="104"/>
      <c r="B115" s="104"/>
      <c r="C115" s="104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</row>
    <row r="116" spans="1:41" ht="15.75">
      <c r="A116" s="104"/>
      <c r="B116" s="104"/>
      <c r="C116" s="104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</row>
    <row r="117" spans="1:41" ht="15.75">
      <c r="A117" s="104"/>
      <c r="B117" s="104"/>
      <c r="C117" s="104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</row>
    <row r="118" spans="1:41" ht="15.75">
      <c r="A118" s="104"/>
      <c r="B118" s="104"/>
      <c r="C118" s="104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</row>
    <row r="119" spans="1:41" ht="15.75">
      <c r="A119" s="104"/>
      <c r="B119" s="104"/>
      <c r="C119" s="104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</row>
    <row r="120" spans="1:41" ht="15.75">
      <c r="A120" s="104"/>
      <c r="B120" s="104"/>
      <c r="C120" s="104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</row>
    <row r="121" spans="1:41" ht="15.75">
      <c r="A121" s="104"/>
      <c r="B121" s="104"/>
      <c r="C121" s="104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</row>
    <row r="122" spans="1:41" ht="15.75">
      <c r="A122" s="104"/>
      <c r="B122" s="104"/>
      <c r="C122" s="104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ht="15.75">
      <c r="A123" s="104"/>
      <c r="B123" s="104"/>
      <c r="C123" s="104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5.75">
      <c r="A124" s="104"/>
      <c r="B124" s="104"/>
      <c r="C124" s="104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</row>
    <row r="125" spans="1:41" ht="15.75">
      <c r="A125" s="104"/>
      <c r="B125" s="104"/>
      <c r="C125" s="104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</row>
    <row r="126" spans="1:41" ht="15.75">
      <c r="A126" s="104"/>
      <c r="B126" s="104"/>
      <c r="C126" s="104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</row>
    <row r="127" spans="1:41" ht="15.75">
      <c r="A127" s="104"/>
      <c r="B127" s="104"/>
      <c r="C127" s="104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</row>
    <row r="128" spans="1:41" ht="15.75">
      <c r="A128" s="104"/>
      <c r="B128" s="104"/>
      <c r="C128" s="104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</row>
    <row r="129" spans="1:41" ht="15.75">
      <c r="A129" s="104"/>
      <c r="B129" s="104"/>
      <c r="C129" s="104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</row>
    <row r="130" spans="1:41" ht="15.75">
      <c r="A130" s="104"/>
      <c r="B130" s="104"/>
      <c r="C130" s="104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</row>
    <row r="131" spans="1:41" ht="15.75">
      <c r="A131" s="104"/>
      <c r="B131" s="104"/>
      <c r="C131" s="104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</row>
    <row r="132" spans="1:41" ht="15.75">
      <c r="A132" s="104"/>
      <c r="B132" s="104"/>
      <c r="C132" s="104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</row>
    <row r="133" spans="1:41" ht="15.75">
      <c r="A133" s="104"/>
      <c r="B133" s="104"/>
      <c r="C133" s="104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ht="15.75">
      <c r="A134" s="104"/>
      <c r="B134" s="104"/>
      <c r="C134" s="104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5.75">
      <c r="A135" s="104"/>
      <c r="B135" s="104"/>
      <c r="C135" s="104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</row>
    <row r="136" spans="1:41" ht="15.75">
      <c r="A136" s="104"/>
      <c r="B136" s="104"/>
      <c r="C136" s="104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</row>
    <row r="137" spans="1:41" ht="15.75">
      <c r="A137" s="104"/>
      <c r="B137" s="104"/>
      <c r="C137" s="104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</row>
    <row r="138" spans="1:41" ht="15.75">
      <c r="A138" s="104"/>
      <c r="B138" s="104"/>
      <c r="C138" s="104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</row>
    <row r="139" spans="1:41" ht="15.75">
      <c r="A139" s="104"/>
      <c r="B139" s="104"/>
      <c r="C139" s="104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</row>
    <row r="140" spans="1:41" ht="15.75">
      <c r="A140" s="104"/>
      <c r="B140" s="104"/>
      <c r="C140" s="104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</row>
    <row r="141" spans="1:41" ht="15.75">
      <c r="A141" s="104"/>
      <c r="B141" s="104"/>
      <c r="C141" s="104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</row>
    <row r="142" spans="1:41" ht="15.75">
      <c r="A142" s="104"/>
      <c r="B142" s="104"/>
      <c r="C142" s="104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</row>
    <row r="143" spans="1:41" ht="15.75">
      <c r="A143" s="104"/>
      <c r="B143" s="104"/>
      <c r="C143" s="104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</row>
    <row r="144" spans="1:41" ht="15.75">
      <c r="A144" s="104"/>
      <c r="B144" s="104"/>
      <c r="C144" s="104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ht="15.75">
      <c r="A145" s="104"/>
      <c r="B145" s="104"/>
      <c r="C145" s="104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5.75">
      <c r="A146" s="104"/>
      <c r="B146" s="104"/>
      <c r="C146" s="104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</row>
    <row r="147" spans="1:41" ht="15.75">
      <c r="A147" s="104"/>
      <c r="B147" s="104"/>
      <c r="C147" s="104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</row>
    <row r="148" spans="1:41" ht="15.75">
      <c r="A148" s="104"/>
      <c r="B148" s="104"/>
      <c r="C148" s="104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</row>
    <row r="149" spans="1:41" ht="15.75">
      <c r="A149" s="104"/>
      <c r="B149" s="104"/>
      <c r="C149" s="104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</row>
    <row r="150" spans="1:41" ht="15.75">
      <c r="A150" s="104"/>
      <c r="B150" s="104"/>
      <c r="C150" s="104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</row>
    <row r="151" spans="1:41" ht="15.75">
      <c r="A151" s="104"/>
      <c r="B151" s="104"/>
      <c r="C151" s="104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</row>
    <row r="152" spans="1:41" ht="15.75">
      <c r="A152" s="104"/>
      <c r="B152" s="104"/>
      <c r="C152" s="104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</row>
    <row r="153" spans="1:41" ht="15.75">
      <c r="A153" s="104"/>
      <c r="B153" s="104"/>
      <c r="C153" s="104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</row>
    <row r="154" spans="1:41" ht="15.75">
      <c r="A154" s="104"/>
      <c r="B154" s="104"/>
      <c r="C154" s="104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</row>
    <row r="155" spans="1:41" ht="15.75">
      <c r="A155" s="104"/>
      <c r="B155" s="104"/>
      <c r="C155" s="104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ht="15.75">
      <c r="A156" s="104"/>
      <c r="B156" s="104"/>
      <c r="C156" s="104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5.75">
      <c r="A157" s="104"/>
      <c r="B157" s="104"/>
      <c r="C157" s="104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</row>
    <row r="158" spans="1:41" ht="15.75">
      <c r="A158" s="104"/>
      <c r="B158" s="104"/>
      <c r="C158" s="104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</row>
    <row r="159" spans="1:41" ht="15.75">
      <c r="A159" s="104"/>
      <c r="B159" s="104"/>
      <c r="C159" s="104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</row>
    <row r="160" spans="1:41" ht="15.75">
      <c r="A160" s="104"/>
      <c r="B160" s="104"/>
      <c r="C160" s="104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</row>
    <row r="161" spans="1:41" ht="15.75">
      <c r="A161" s="104"/>
      <c r="B161" s="104"/>
      <c r="C161" s="104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</row>
    <row r="162" spans="1:41" ht="15.75">
      <c r="A162" s="104"/>
      <c r="B162" s="104"/>
      <c r="C162" s="104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</row>
    <row r="163" spans="1:41" ht="15.75">
      <c r="A163" s="104"/>
      <c r="B163" s="104"/>
      <c r="C163" s="104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</row>
    <row r="164" spans="1:41" ht="15.75">
      <c r="A164" s="104"/>
      <c r="B164" s="104"/>
      <c r="C164" s="104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</row>
    <row r="165" spans="1:41" ht="15.75">
      <c r="A165" s="104"/>
      <c r="B165" s="104"/>
      <c r="C165" s="10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</row>
    <row r="166" spans="1:41" ht="15.75">
      <c r="A166" s="104"/>
      <c r="B166" s="104"/>
      <c r="C166" s="104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ht="15.75">
      <c r="A167" s="104"/>
      <c r="B167" s="104"/>
      <c r="C167" s="104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5.75">
      <c r="A168" s="104"/>
      <c r="B168" s="104"/>
      <c r="C168" s="104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</row>
    <row r="169" spans="1:41" ht="15.75">
      <c r="A169" s="104"/>
      <c r="B169" s="104"/>
      <c r="C169" s="104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</row>
    <row r="170" spans="1:41" ht="15.75">
      <c r="A170" s="104"/>
      <c r="B170" s="104"/>
      <c r="C170" s="104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</row>
    <row r="171" spans="1:41" ht="15.75">
      <c r="A171" s="104"/>
      <c r="B171" s="104"/>
      <c r="C171" s="104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</row>
    <row r="172" spans="1:41" ht="15.75">
      <c r="A172" s="104"/>
      <c r="B172" s="104"/>
      <c r="C172" s="104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</row>
    <row r="173" spans="1:41" ht="15.75">
      <c r="A173" s="104"/>
      <c r="B173" s="104"/>
      <c r="C173" s="104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</row>
    <row r="174" spans="1:41" ht="15.75">
      <c r="A174" s="104"/>
      <c r="B174" s="104"/>
      <c r="C174" s="104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</row>
    <row r="175" spans="1:41" ht="15.75">
      <c r="A175" s="104"/>
      <c r="B175" s="104"/>
      <c r="C175" s="104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</row>
    <row r="176" spans="1:41" ht="15.75">
      <c r="A176" s="104"/>
      <c r="B176" s="104"/>
      <c r="C176" s="104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</row>
    <row r="177" spans="1:41" ht="15.75">
      <c r="A177" s="104"/>
      <c r="B177" s="104"/>
      <c r="C177" s="104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ht="15.75">
      <c r="A178" s="104"/>
      <c r="B178" s="104"/>
      <c r="C178" s="104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5.75">
      <c r="A179" s="104"/>
      <c r="B179" s="104"/>
      <c r="C179" s="104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</row>
    <row r="180" spans="1:41" ht="15.75">
      <c r="A180" s="104"/>
      <c r="B180" s="104"/>
      <c r="C180" s="104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</row>
    <row r="181" spans="1:41" ht="15.75">
      <c r="A181" s="104"/>
      <c r="B181" s="104"/>
      <c r="C181" s="104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</row>
    <row r="182" spans="1:41" ht="15.75">
      <c r="A182" s="104"/>
      <c r="B182" s="104"/>
      <c r="C182" s="104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</row>
    <row r="183" spans="1:41" ht="15.75">
      <c r="A183" s="104"/>
      <c r="B183" s="104"/>
      <c r="C183" s="104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</row>
    <row r="184" spans="1:41" ht="15.75">
      <c r="A184" s="104"/>
      <c r="B184" s="104"/>
      <c r="C184" s="104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</row>
    <row r="185" spans="1:41" ht="15.75">
      <c r="A185" s="104"/>
      <c r="B185" s="104"/>
      <c r="C185" s="104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</row>
    <row r="186" spans="1:41" ht="15.75">
      <c r="A186" s="104"/>
      <c r="B186" s="104"/>
      <c r="C186" s="104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</row>
    <row r="187" spans="1:41" ht="15.75">
      <c r="A187" s="104"/>
      <c r="B187" s="104"/>
      <c r="C187" s="104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</row>
    <row r="188" spans="1:41" ht="15.75">
      <c r="A188" s="104"/>
      <c r="B188" s="104"/>
      <c r="C188" s="104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ht="15.75">
      <c r="A189" s="104"/>
      <c r="B189" s="104"/>
      <c r="C189" s="104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5.75">
      <c r="A190" s="104"/>
      <c r="B190" s="104"/>
      <c r="C190" s="104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</row>
    <row r="191" spans="1:41" ht="15.75">
      <c r="A191" s="104"/>
      <c r="B191" s="104"/>
      <c r="C191" s="104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</row>
    <row r="192" spans="1:41" ht="15.75">
      <c r="A192" s="104"/>
      <c r="B192" s="104"/>
      <c r="C192" s="104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</row>
    <row r="193" spans="1:41" ht="15.75">
      <c r="A193" s="104"/>
      <c r="B193" s="104"/>
      <c r="C193" s="104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</row>
    <row r="194" spans="1:41" ht="15.75">
      <c r="A194" s="104"/>
      <c r="B194" s="104"/>
      <c r="C194" s="104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</row>
    <row r="195" spans="1:41" ht="15.75">
      <c r="A195" s="104"/>
      <c r="B195" s="104"/>
      <c r="C195" s="104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</row>
    <row r="196" spans="1:41" ht="15.75">
      <c r="A196" s="104"/>
      <c r="B196" s="104"/>
      <c r="C196" s="104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</row>
    <row r="197" spans="1:41" ht="15.75">
      <c r="A197" s="104"/>
      <c r="B197" s="104"/>
      <c r="C197" s="104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</row>
    <row r="198" spans="1:41" ht="15.75">
      <c r="A198" s="104"/>
      <c r="B198" s="104"/>
      <c r="C198" s="104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</row>
    <row r="199" spans="1:41" ht="15.75">
      <c r="A199" s="104"/>
      <c r="B199" s="104"/>
      <c r="C199" s="104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ht="15.75">
      <c r="A200" s="104"/>
      <c r="B200" s="104"/>
      <c r="C200" s="104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5.75">
      <c r="A201" s="104"/>
      <c r="B201" s="104"/>
      <c r="C201" s="104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</row>
    <row r="202" spans="1:41" ht="15.75">
      <c r="A202" s="104"/>
      <c r="B202" s="104"/>
      <c r="C202" s="104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</row>
    <row r="203" spans="1:41" ht="15.75">
      <c r="A203" s="104"/>
      <c r="B203" s="104"/>
      <c r="C203" s="104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</row>
    <row r="204" spans="1:41" ht="15.75">
      <c r="A204" s="104"/>
      <c r="B204" s="104"/>
      <c r="C204" s="104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</row>
    <row r="205" spans="1:41" ht="15.75">
      <c r="A205" s="104"/>
      <c r="B205" s="104"/>
      <c r="C205" s="104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</row>
    <row r="206" spans="1:41" ht="15.75">
      <c r="A206" s="104"/>
      <c r="B206" s="104"/>
      <c r="C206" s="104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</row>
    <row r="207" spans="1:41" ht="15.75">
      <c r="A207" s="104"/>
      <c r="B207" s="104"/>
      <c r="C207" s="104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</row>
    <row r="208" spans="1:41" ht="15.75">
      <c r="A208" s="104"/>
      <c r="B208" s="104"/>
      <c r="C208" s="104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</row>
    <row r="209" spans="1:41" ht="15.75">
      <c r="A209" s="104"/>
      <c r="B209" s="104"/>
      <c r="C209" s="104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</row>
    <row r="210" spans="1:41" ht="15.75">
      <c r="A210" s="104"/>
      <c r="B210" s="104"/>
      <c r="C210" s="104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ht="15.75">
      <c r="A211" s="104"/>
      <c r="B211" s="104"/>
      <c r="C211" s="104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5.75">
      <c r="A212" s="104"/>
      <c r="B212" s="104"/>
      <c r="C212" s="104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</row>
    <row r="213" spans="1:41" ht="15.75">
      <c r="A213" s="104"/>
      <c r="B213" s="104"/>
      <c r="C213" s="104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</row>
    <row r="214" spans="1:41" ht="15.75">
      <c r="A214" s="104"/>
      <c r="B214" s="104"/>
      <c r="C214" s="104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</row>
    <row r="215" spans="1:41" ht="15.75">
      <c r="A215" s="104"/>
      <c r="B215" s="104"/>
      <c r="C215" s="104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</row>
    <row r="216" spans="1:41" ht="15.75">
      <c r="A216" s="104"/>
      <c r="B216" s="104"/>
      <c r="C216" s="104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</row>
    <row r="217" spans="1:41" ht="16.5">
      <c r="A217" s="105"/>
      <c r="B217" s="105"/>
      <c r="C217" s="10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</row>
    <row r="218" spans="1:41" ht="16.5">
      <c r="A218" s="105"/>
      <c r="B218" s="105"/>
      <c r="C218" s="10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</row>
    <row r="219" spans="1:41" ht="16.5">
      <c r="A219" s="105"/>
      <c r="B219" s="105"/>
      <c r="C219" s="10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</row>
    <row r="220" spans="1:41" ht="16.5">
      <c r="A220" s="105"/>
      <c r="B220" s="105"/>
      <c r="C220" s="10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</row>
    <row r="221" spans="1:41" ht="16.5">
      <c r="A221" s="105"/>
      <c r="B221" s="105"/>
      <c r="C221" s="10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ht="16.5">
      <c r="A222" s="105"/>
      <c r="B222" s="105"/>
      <c r="C222" s="10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6.5">
      <c r="A223" s="105"/>
      <c r="B223" s="105"/>
      <c r="C223" s="10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</row>
    <row r="224" spans="1:4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</row>
    <row r="225" spans="1:4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</row>
    <row r="226" spans="1:4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</row>
    <row r="227" spans="1:4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</row>
    <row r="228" spans="1:4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</row>
    <row r="229" spans="1:4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</row>
    <row r="230" spans="1:4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</row>
    <row r="231" spans="1:4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</row>
    <row r="232" spans="1:4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</row>
    <row r="235" spans="1:4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</row>
    <row r="236" spans="1:4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</row>
    <row r="237" spans="1:4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</row>
    <row r="238" spans="1:4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</row>
    <row r="239" spans="1:4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</row>
    <row r="240" spans="1:4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</row>
    <row r="241" spans="1:4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</row>
    <row r="242" spans="1:4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</row>
    <row r="243" spans="1:4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</row>
    <row r="246" spans="1:4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</row>
    <row r="247" spans="1:4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</row>
    <row r="248" spans="1:4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</row>
    <row r="249" spans="1:4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</row>
    <row r="250" spans="1:4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</row>
    <row r="251" spans="1:4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</row>
    <row r="252" spans="1:4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</row>
    <row r="253" spans="1:4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</row>
    <row r="254" spans="1:4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</row>
    <row r="257" spans="1:4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</row>
    <row r="258" spans="1:4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</row>
    <row r="259" spans="1:4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</row>
    <row r="260" spans="1:4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</row>
    <row r="261" spans="1:4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</row>
    <row r="262" spans="1:4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</row>
    <row r="263" spans="1:4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</row>
    <row r="264" spans="1:4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</row>
    <row r="265" spans="1:4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  <row r="267" spans="1:4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</row>
    <row r="268" spans="1:4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</row>
    <row r="269" spans="1:4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</row>
    <row r="270" spans="1:4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</row>
    <row r="271" spans="1:4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</row>
    <row r="272" spans="1:4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</row>
    <row r="273" spans="1:4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</row>
    <row r="274" spans="1:4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</row>
    <row r="275" spans="1:4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</row>
    <row r="276" spans="1:4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</row>
    <row r="278" spans="1:4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</row>
    <row r="279" spans="1:4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</row>
    <row r="280" spans="1:4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</row>
    <row r="281" spans="1:4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</row>
    <row r="282" spans="1:4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</row>
    <row r="283" spans="1:4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</row>
    <row r="284" spans="1:4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</row>
    <row r="285" spans="1:4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</row>
    <row r="286" spans="1:4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</row>
    <row r="287" spans="1:4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</row>
    <row r="289" spans="1:4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</row>
    <row r="290" spans="1:4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</row>
    <row r="291" spans="1:4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</row>
    <row r="292" spans="1:4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</row>
    <row r="293" spans="1:4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</row>
    <row r="294" spans="1:4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</row>
    <row r="295" spans="1:4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</row>
    <row r="296" spans="1:4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</row>
    <row r="297" spans="1:4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</row>
    <row r="298" spans="1:4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</row>
    <row r="300" spans="1:4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</row>
    <row r="301" spans="1:4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</row>
    <row r="302" spans="1:4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</row>
    <row r="303" spans="1:4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</row>
    <row r="304" spans="1:4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</row>
    <row r="305" spans="1:4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</row>
    <row r="306" spans="1:4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</row>
    <row r="307" spans="1:4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</row>
    <row r="308" spans="1:4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</row>
    <row r="309" spans="1:4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</row>
    <row r="311" spans="1:4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</row>
    <row r="312" spans="1:4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</row>
    <row r="313" spans="1:4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</row>
    <row r="314" spans="1:4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</row>
    <row r="315" spans="1:4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</row>
    <row r="316" spans="1:4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</row>
    <row r="317" spans="1:4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</row>
    <row r="318" spans="1:4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</row>
    <row r="319" spans="1:4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</row>
    <row r="320" spans="1:4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</row>
    <row r="322" spans="1:4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</row>
    <row r="323" spans="1:4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</row>
    <row r="324" spans="1:4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</row>
    <row r="325" spans="1:4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</row>
    <row r="326" spans="1:4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</row>
    <row r="327" spans="1:4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</row>
    <row r="328" spans="1:4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</row>
    <row r="329" spans="1:4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</row>
    <row r="330" spans="1:4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</row>
    <row r="331" spans="1:4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</row>
    <row r="333" spans="1:4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</row>
    <row r="334" spans="1:4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</row>
    <row r="335" spans="1:4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</row>
    <row r="336" spans="1:4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</row>
    <row r="337" spans="1:4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</row>
    <row r="338" spans="1:4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</row>
    <row r="339" spans="1:4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</row>
    <row r="340" spans="1:4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</row>
    <row r="341" spans="1:4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</row>
    <row r="342" spans="1:4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</row>
    <row r="344" spans="1:4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</row>
    <row r="345" spans="1:4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</row>
    <row r="346" spans="1:4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</row>
    <row r="347" spans="1:4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</row>
    <row r="348" spans="1:4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</row>
    <row r="349" spans="1:4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</row>
    <row r="350" spans="1:4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</row>
    <row r="351" spans="1:4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</row>
    <row r="352" spans="1:4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</row>
    <row r="353" spans="1:4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</row>
    <row r="355" spans="1:4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</row>
    <row r="356" spans="1:4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</row>
    <row r="357" spans="1:4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</row>
    <row r="358" spans="1:4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</row>
    <row r="359" spans="1:4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</row>
    <row r="360" spans="1:4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</row>
    <row r="361" spans="1:4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</row>
    <row r="362" spans="1:4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</row>
    <row r="363" spans="1:4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</row>
    <row r="364" spans="1:4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</row>
    <row r="366" spans="1:4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  <c r="AO366" s="95"/>
    </row>
    <row r="367" spans="1:4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  <c r="AO367" s="95"/>
    </row>
    <row r="368" spans="1:4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  <c r="AO368" s="95"/>
    </row>
    <row r="369" spans="1:4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  <c r="AL369" s="95"/>
      <c r="AM369" s="95"/>
      <c r="AN369" s="95"/>
      <c r="AO369" s="95"/>
    </row>
    <row r="370" spans="1:4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  <c r="AO370" s="95"/>
    </row>
    <row r="371" spans="1:4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  <c r="AO371" s="95"/>
    </row>
    <row r="372" spans="1:4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  <c r="AO372" s="95"/>
    </row>
    <row r="373" spans="1:4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</row>
    <row r="374" spans="1:4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</row>
    <row r="375" spans="1:4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</row>
    <row r="377" spans="1:4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</row>
    <row r="378" spans="1:4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  <c r="AO378" s="95"/>
    </row>
    <row r="379" spans="1:4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  <c r="AO379" s="95"/>
    </row>
    <row r="380" spans="1:4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  <c r="AL380" s="95"/>
      <c r="AM380" s="95"/>
      <c r="AN380" s="95"/>
      <c r="AO380" s="95"/>
    </row>
    <row r="381" spans="1:4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  <c r="AL381" s="95"/>
      <c r="AM381" s="95"/>
      <c r="AN381" s="95"/>
      <c r="AO381" s="95"/>
    </row>
    <row r="382" spans="1:4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  <c r="AL382" s="95"/>
      <c r="AM382" s="95"/>
      <c r="AN382" s="95"/>
      <c r="AO382" s="95"/>
    </row>
    <row r="383" spans="1:4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  <c r="AL383" s="95"/>
      <c r="AM383" s="95"/>
      <c r="AN383" s="95"/>
      <c r="AO383" s="95"/>
    </row>
    <row r="384" spans="1:4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  <c r="AL384" s="95"/>
      <c r="AM384" s="95"/>
      <c r="AN384" s="95"/>
      <c r="AO384" s="95"/>
    </row>
    <row r="385" spans="1:4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  <c r="AL385" s="95"/>
      <c r="AM385" s="95"/>
      <c r="AN385" s="95"/>
      <c r="AO385" s="95"/>
    </row>
    <row r="386" spans="1:4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</row>
    <row r="388" spans="1:4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95"/>
      <c r="AM388" s="95"/>
      <c r="AN388" s="95"/>
      <c r="AO388" s="95"/>
    </row>
    <row r="389" spans="1:4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  <c r="AL389" s="95"/>
      <c r="AM389" s="95"/>
      <c r="AN389" s="95"/>
      <c r="AO389" s="95"/>
    </row>
    <row r="390" spans="1:4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  <c r="AL390" s="95"/>
      <c r="AM390" s="95"/>
      <c r="AN390" s="95"/>
      <c r="AO390" s="95"/>
    </row>
    <row r="391" spans="1:4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  <c r="AO391" s="95"/>
    </row>
    <row r="392" spans="1:4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  <c r="AL392" s="95"/>
      <c r="AM392" s="95"/>
      <c r="AN392" s="95"/>
      <c r="AO392" s="95"/>
    </row>
    <row r="393" spans="1:4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  <c r="AL393" s="95"/>
      <c r="AM393" s="95"/>
      <c r="AN393" s="95"/>
      <c r="AO393" s="95"/>
    </row>
    <row r="394" spans="1:4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  <c r="AL394" s="95"/>
      <c r="AM394" s="95"/>
      <c r="AN394" s="95"/>
      <c r="AO394" s="95"/>
    </row>
    <row r="395" spans="1:4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  <c r="AL395" s="95"/>
      <c r="AM395" s="95"/>
      <c r="AN395" s="95"/>
      <c r="AO395" s="95"/>
    </row>
    <row r="396" spans="1:4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  <c r="AL396" s="95"/>
      <c r="AM396" s="95"/>
      <c r="AN396" s="95"/>
      <c r="AO396" s="95"/>
    </row>
    <row r="397" spans="1:4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</row>
    <row r="399" spans="1:4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  <c r="AL399" s="95"/>
      <c r="AM399" s="95"/>
      <c r="AN399" s="95"/>
      <c r="AO399" s="95"/>
    </row>
    <row r="400" spans="1:4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95"/>
      <c r="AM400" s="95"/>
      <c r="AN400" s="95"/>
      <c r="AO400" s="95"/>
    </row>
    <row r="401" spans="1:4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</row>
    <row r="402" spans="1:4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  <c r="AO402" s="95"/>
    </row>
    <row r="403" spans="1:4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</row>
    <row r="404" spans="1:4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</row>
    <row r="405" spans="1:4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  <c r="AL405" s="95"/>
      <c r="AM405" s="95"/>
      <c r="AN405" s="95"/>
      <c r="AO405" s="95"/>
    </row>
    <row r="406" spans="1:4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  <c r="AL406" s="95"/>
      <c r="AM406" s="95"/>
      <c r="AN406" s="95"/>
      <c r="AO406" s="95"/>
    </row>
    <row r="407" spans="1:4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  <c r="AL407" s="95"/>
      <c r="AM407" s="95"/>
      <c r="AN407" s="95"/>
      <c r="AO407" s="95"/>
    </row>
    <row r="408" spans="1:4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</row>
    <row r="410" spans="1:4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  <c r="AL410" s="95"/>
      <c r="AM410" s="95"/>
      <c r="AN410" s="95"/>
      <c r="AO410" s="95"/>
    </row>
    <row r="411" spans="1:4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  <c r="AO411" s="95"/>
    </row>
    <row r="412" spans="1:4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  <c r="AO412" s="95"/>
    </row>
    <row r="413" spans="1:4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  <c r="AO413" s="95"/>
    </row>
    <row r="414" spans="1:4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  <c r="AO414" s="95"/>
    </row>
    <row r="415" spans="1:4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  <c r="AO415" s="95"/>
    </row>
    <row r="416" spans="1:4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  <c r="AO416" s="95"/>
    </row>
    <row r="417" spans="1:4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  <c r="AO417" s="95"/>
    </row>
    <row r="418" spans="1:4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  <c r="AO418" s="95"/>
    </row>
    <row r="419" spans="1:4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</row>
    <row r="421" spans="1:4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</row>
    <row r="422" spans="1:4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  <c r="AL422" s="95"/>
      <c r="AM422" s="95"/>
      <c r="AN422" s="95"/>
      <c r="AO422" s="95"/>
    </row>
  </sheetData>
  <mergeCells count="4">
    <mergeCell ref="A3:D3"/>
    <mergeCell ref="A4:D4"/>
    <mergeCell ref="A1:D1"/>
    <mergeCell ref="A2:D2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21"/>
  <sheetViews>
    <sheetView showGridLines="0" tabSelected="1" topLeftCell="D1" zoomScaleNormal="100" zoomScaleSheetLayoutView="100" workbookViewId="0">
      <selection activeCell="R7" sqref="R7"/>
    </sheetView>
  </sheetViews>
  <sheetFormatPr baseColWidth="10" defaultColWidth="11.42578125" defaultRowHeight="12.75"/>
  <cols>
    <col min="1" max="1" width="31" style="16" customWidth="1"/>
    <col min="2" max="2" width="17.85546875" style="53" customWidth="1"/>
    <col min="3" max="4" width="14.140625" style="53" bestFit="1" customWidth="1"/>
    <col min="5" max="5" width="15.42578125" style="53" customWidth="1"/>
    <col min="6" max="6" width="14.7109375" style="53" bestFit="1" customWidth="1"/>
    <col min="7" max="7" width="14.140625" style="53" bestFit="1" customWidth="1"/>
    <col min="8" max="8" width="13.140625" style="53" bestFit="1" customWidth="1"/>
    <col min="9" max="10" width="14.140625" style="53" bestFit="1" customWidth="1"/>
    <col min="11" max="17" width="14.140625" style="53" customWidth="1"/>
    <col min="18" max="18" width="15" style="53" bestFit="1" customWidth="1"/>
    <col min="19" max="19" width="12.5703125" style="16" bestFit="1" customWidth="1"/>
    <col min="20" max="20" width="24.85546875" style="16" customWidth="1"/>
    <col min="21" max="21" width="14.5703125" style="16" customWidth="1"/>
    <col min="22" max="16384" width="11.42578125" style="16"/>
  </cols>
  <sheetData>
    <row r="1" spans="1:26">
      <c r="A1" s="402" t="s">
        <v>109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252"/>
      <c r="T1" s="252"/>
      <c r="U1" s="252"/>
      <c r="V1" s="252"/>
      <c r="W1" s="252"/>
      <c r="X1" s="252"/>
      <c r="Y1" s="252"/>
      <c r="Z1" s="252"/>
    </row>
    <row r="2" spans="1:26">
      <c r="A2" s="402" t="s">
        <v>255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252"/>
      <c r="T2" s="252"/>
      <c r="U2" s="252"/>
      <c r="V2" s="252"/>
      <c r="W2" s="252"/>
      <c r="X2" s="252"/>
      <c r="Y2" s="252"/>
      <c r="Z2" s="252"/>
    </row>
    <row r="3" spans="1:26" ht="13.5" thickBot="1">
      <c r="A3" s="402" t="s">
        <v>340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252"/>
      <c r="T3" s="252"/>
      <c r="U3" s="252"/>
      <c r="V3" s="252"/>
      <c r="W3" s="252"/>
      <c r="X3" s="252"/>
      <c r="Y3" s="252"/>
      <c r="Z3" s="252"/>
    </row>
    <row r="4" spans="1:26" ht="13.5" thickBot="1">
      <c r="A4" s="252" t="s">
        <v>155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403" t="s">
        <v>346</v>
      </c>
      <c r="M4" s="404"/>
      <c r="N4" s="404"/>
      <c r="O4" s="404"/>
      <c r="P4" s="405"/>
      <c r="Q4" s="252"/>
      <c r="R4" s="252"/>
      <c r="S4" s="252"/>
      <c r="T4" s="252"/>
      <c r="U4" s="252"/>
      <c r="V4" s="252"/>
      <c r="W4" s="252"/>
      <c r="X4" s="252"/>
      <c r="Y4" s="252"/>
      <c r="Z4" s="252"/>
    </row>
    <row r="5" spans="1:26" ht="12.75" customHeight="1" thickTop="1">
      <c r="A5" s="409" t="s">
        <v>0</v>
      </c>
      <c r="B5" s="400" t="s">
        <v>96</v>
      </c>
      <c r="C5" s="400" t="s">
        <v>125</v>
      </c>
      <c r="D5" s="400" t="s">
        <v>124</v>
      </c>
      <c r="E5" s="400" t="s">
        <v>97</v>
      </c>
      <c r="F5" s="400" t="s">
        <v>110</v>
      </c>
      <c r="G5" s="400" t="s">
        <v>122</v>
      </c>
      <c r="H5" s="400" t="s">
        <v>123</v>
      </c>
      <c r="I5" s="400" t="s">
        <v>151</v>
      </c>
      <c r="J5" s="400" t="s">
        <v>215</v>
      </c>
      <c r="K5" s="400" t="s">
        <v>216</v>
      </c>
      <c r="L5" s="400" t="s">
        <v>96</v>
      </c>
      <c r="M5" s="400" t="s">
        <v>125</v>
      </c>
      <c r="N5" s="400" t="s">
        <v>124</v>
      </c>
      <c r="O5" s="400" t="s">
        <v>97</v>
      </c>
      <c r="P5" s="400" t="s">
        <v>110</v>
      </c>
      <c r="Q5" s="406" t="s">
        <v>347</v>
      </c>
      <c r="R5" s="407" t="s">
        <v>53</v>
      </c>
      <c r="S5" s="252"/>
      <c r="T5" s="252"/>
      <c r="U5" s="252"/>
      <c r="V5" s="252"/>
      <c r="W5" s="252"/>
      <c r="X5" s="252"/>
      <c r="Y5" s="252"/>
      <c r="Z5" s="252"/>
    </row>
    <row r="6" spans="1:26" ht="13.5" thickBot="1">
      <c r="A6" s="410"/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8"/>
    </row>
    <row r="7" spans="1:26">
      <c r="A7" s="159" t="s">
        <v>1</v>
      </c>
      <c r="B7" s="56">
        <f>ROUND(+'CALCULO GARANTIA'!C6+'CALCULO GARANTIA'!M6,2)</f>
        <v>800779.87</v>
      </c>
      <c r="C7" s="56">
        <f>ROUND(+'CALCULO GARANTIA'!E6+'CALCULO GARANTIA'!N6,2)</f>
        <v>111982.24</v>
      </c>
      <c r="D7" s="56">
        <f>+'Art.14 Frac.III'!P5</f>
        <v>758669.78473875602</v>
      </c>
      <c r="E7" s="56">
        <f>ROUND(+'PART MES'!$F$6*+'CALCULO GARANTIA'!F6,2)</f>
        <v>22621.96</v>
      </c>
      <c r="F7" s="56">
        <f>ROUND(+'PART MES'!$F$7*+'CALCULO GARANTIA'!H6,2)</f>
        <v>19369.13</v>
      </c>
      <c r="G7" s="56">
        <f>ROUND(+'CALCULO GARANTIA'!J6+'CALCULO GARANTIA'!Q6,2)</f>
        <v>29003.84</v>
      </c>
      <c r="H7" s="56">
        <f>ROUND(+'CALCULO GARANTIA'!K6+'CALCULO GARANTIA'!R6,2)</f>
        <v>4341.6099999999997</v>
      </c>
      <c r="I7" s="56">
        <f>ROUND(+'PART MES'!F$12*'COEF Art 14 F II ieps'!L8,2)</f>
        <v>0</v>
      </c>
      <c r="J7" s="56">
        <f>+'ISR MÁYO '!D6</f>
        <v>0</v>
      </c>
      <c r="K7" s="56">
        <f>+ISAI!D4</f>
        <v>269.29321522687746</v>
      </c>
      <c r="L7" s="56">
        <f>ROUND('PART MES'!$O$4*'COEF Art 14 F I '!AF7,2)</f>
        <v>-40759.29</v>
      </c>
      <c r="M7" s="56">
        <f>ROUND('PART MES'!$O$5*'COEF Art 14 F I '!AF7,2)</f>
        <v>-689.91</v>
      </c>
      <c r="N7" s="56">
        <f>+'Art.14 Frac.III AJUSTE DEF'!P5</f>
        <v>-102958.08937837111</v>
      </c>
      <c r="O7" s="56">
        <f>ROUND('PART MES'!$O$6*'COEF Art 14 F I '!AF7,2)</f>
        <v>-1860.52</v>
      </c>
      <c r="P7" s="56">
        <f>ROUND('PART MES'!$O$7*'COEF Art 14 F I '!AF7,2)</f>
        <v>-719.72</v>
      </c>
      <c r="Q7" s="56">
        <f>ROUND('PART MES'!$S$4*'COEF Art 14 F I '!AF7,2)</f>
        <v>-1773.5</v>
      </c>
      <c r="R7" s="199">
        <f>SUM(B7:Q7)</f>
        <v>1598276.6985756119</v>
      </c>
    </row>
    <row r="8" spans="1:26">
      <c r="A8" s="160" t="s">
        <v>2</v>
      </c>
      <c r="B8" s="56">
        <f>ROUND(+'CALCULO GARANTIA'!C7+'CALCULO GARANTIA'!M7,2)</f>
        <v>1530412.84</v>
      </c>
      <c r="C8" s="56">
        <f>ROUND(+'CALCULO GARANTIA'!E7+'CALCULO GARANTIA'!N7,2)</f>
        <v>213769.34</v>
      </c>
      <c r="D8" s="56">
        <f>+'Art.14 Frac.III'!P6</f>
        <v>764837.84218385397</v>
      </c>
      <c r="E8" s="56">
        <f>ROUND(+'PART MES'!$F$6*+'CALCULO GARANTIA'!F7,2)</f>
        <v>43523.55</v>
      </c>
      <c r="F8" s="56">
        <f>ROUND(+'PART MES'!$F$7*+'CALCULO GARANTIA'!H7,2)</f>
        <v>37265.25</v>
      </c>
      <c r="G8" s="56">
        <f>ROUND(+'CALCULO GARANTIA'!J7+'CALCULO GARANTIA'!Q7,2)</f>
        <v>54800.77</v>
      </c>
      <c r="H8" s="56">
        <f>ROUND(+'CALCULO GARANTIA'!K7+'CALCULO GARANTIA'!R7,2)</f>
        <v>8338.42</v>
      </c>
      <c r="I8" s="56">
        <f>ROUND(+'PART MES'!F$12*'COEF Art 14 F II ieps'!L9,2)</f>
        <v>0</v>
      </c>
      <c r="J8" s="56">
        <f>+'ISR MÁYO '!D7</f>
        <v>235495</v>
      </c>
      <c r="K8" s="56">
        <f>+ISAI!D5</f>
        <v>253.12339732346561</v>
      </c>
      <c r="L8" s="56">
        <f>ROUND('PART MES'!$O$4*'COEF Art 14 F I '!AF8,2)</f>
        <v>-74070.100000000006</v>
      </c>
      <c r="M8" s="56">
        <f>ROUND('PART MES'!$O$5*'COEF Art 14 F I '!AF8,2)</f>
        <v>-1253.74</v>
      </c>
      <c r="N8" s="56">
        <f>+'Art.14 Frac.III AJUSTE DEF'!P6</f>
        <v>-103795.14842895923</v>
      </c>
      <c r="O8" s="56">
        <f>ROUND('PART MES'!$O$6*'COEF Art 14 F I '!AF8,2)</f>
        <v>-3381.04</v>
      </c>
      <c r="P8" s="56">
        <f>ROUND('PART MES'!$O$7*'COEF Art 14 F I '!AF8,2)</f>
        <v>-1307.92</v>
      </c>
      <c r="Q8" s="56">
        <f>ROUND('PART MES'!$S$4*'COEF Art 14 F I '!AF8,2)</f>
        <v>-3222.9</v>
      </c>
      <c r="R8" s="199">
        <f t="shared" ref="R8:R57" si="0">SUM(B8:Q8)</f>
        <v>2701665.2871522177</v>
      </c>
    </row>
    <row r="9" spans="1:26">
      <c r="A9" s="160" t="s">
        <v>3</v>
      </c>
      <c r="B9" s="56">
        <f>ROUND(+'CALCULO GARANTIA'!C8+'CALCULO GARANTIA'!M8,2)</f>
        <v>1638145.81</v>
      </c>
      <c r="C9" s="56">
        <f>ROUND(+'CALCULO GARANTIA'!E8+'CALCULO GARANTIA'!N8,2)</f>
        <v>229594.65</v>
      </c>
      <c r="D9" s="56">
        <f>+'Art.14 Frac.III'!P7</f>
        <v>357929.54203469242</v>
      </c>
      <c r="E9" s="56">
        <f>ROUND(+'PART MES'!$F$6*+'CALCULO GARANTIA'!F8,2)</f>
        <v>45672.26</v>
      </c>
      <c r="F9" s="56">
        <f>ROUND(+'PART MES'!$F$7*+'CALCULO GARANTIA'!H8,2)</f>
        <v>39105</v>
      </c>
      <c r="G9" s="56">
        <f>ROUND(+'CALCULO GARANTIA'!J8+'CALCULO GARANTIA'!Q8,2)</f>
        <v>60649.78</v>
      </c>
      <c r="H9" s="56">
        <f>ROUND(+'CALCULO GARANTIA'!K8+'CALCULO GARANTIA'!R8,2)</f>
        <v>8795.99</v>
      </c>
      <c r="I9" s="56">
        <f>ROUND(+'PART MES'!F$12*'COEF Art 14 F II ieps'!L10,2)</f>
        <v>0</v>
      </c>
      <c r="J9" s="56">
        <f>+'ISR MÁYO '!D8</f>
        <v>0</v>
      </c>
      <c r="K9" s="56">
        <f>+ISAI!D6</f>
        <v>14.48109772325367</v>
      </c>
      <c r="L9" s="56">
        <f>ROUND('PART MES'!$O$4*'COEF Art 14 F I '!AF9,2)</f>
        <v>-91380.92</v>
      </c>
      <c r="M9" s="56">
        <f>ROUND('PART MES'!$O$5*'COEF Art 14 F I '!AF9,2)</f>
        <v>-1546.75</v>
      </c>
      <c r="N9" s="56">
        <f>+'Art.14 Frac.III AJUSTE DEF'!P7</f>
        <v>-48574.152445858919</v>
      </c>
      <c r="O9" s="56">
        <f>ROUND('PART MES'!$O$6*'COEF Art 14 F I '!AF9,2)</f>
        <v>-4171.22</v>
      </c>
      <c r="P9" s="56">
        <f>ROUND('PART MES'!$O$7*'COEF Art 14 F I '!AF9,2)</f>
        <v>-1613.59</v>
      </c>
      <c r="Q9" s="56">
        <f>ROUND('PART MES'!$S$4*'COEF Art 14 F I '!AF9,2)</f>
        <v>-3976.12</v>
      </c>
      <c r="R9" s="199">
        <f t="shared" si="0"/>
        <v>2228644.7606865568</v>
      </c>
    </row>
    <row r="10" spans="1:26">
      <c r="A10" s="160" t="s">
        <v>4</v>
      </c>
      <c r="B10" s="56">
        <f>ROUND(+'CALCULO GARANTIA'!C9+'CALCULO GARANTIA'!M9,2)</f>
        <v>4761142.8899999997</v>
      </c>
      <c r="C10" s="56">
        <f>ROUND(+'CALCULO GARANTIA'!E9+'CALCULO GARANTIA'!N9,2)</f>
        <v>673029.3</v>
      </c>
      <c r="D10" s="56">
        <f>+'Art.14 Frac.III'!P8</f>
        <v>758815.86626465886</v>
      </c>
      <c r="E10" s="56">
        <f>ROUND(+'PART MES'!$F$6*+'CALCULO GARANTIA'!F9,2)</f>
        <v>125994.51</v>
      </c>
      <c r="F10" s="56">
        <f>ROUND(+'PART MES'!$F$7*+'CALCULO GARANTIA'!H9,2)</f>
        <v>107877.63</v>
      </c>
      <c r="G10" s="56">
        <f>ROUND(+'CALCULO GARANTIA'!J9+'CALCULO GARANTIA'!Q9,2)</f>
        <v>190958.52</v>
      </c>
      <c r="H10" s="56">
        <f>ROUND(+'CALCULO GARANTIA'!K9+'CALCULO GARANTIA'!R9,2)</f>
        <v>24610.52</v>
      </c>
      <c r="I10" s="56">
        <f>ROUND(+'PART MES'!F$12*'COEF Art 14 F II ieps'!L11,2)</f>
        <v>0</v>
      </c>
      <c r="J10" s="56">
        <f>+'ISR MÁYO '!D9</f>
        <v>698714</v>
      </c>
      <c r="K10" s="56">
        <f>+ISAI!D7</f>
        <v>18779.741971652569</v>
      </c>
      <c r="L10" s="56">
        <f>ROUND('PART MES'!$O$4*'COEF Art 14 F I '!AF10,2)</f>
        <v>-354796.03</v>
      </c>
      <c r="M10" s="56">
        <f>ROUND('PART MES'!$O$5*'COEF Art 14 F I '!AF10,2)</f>
        <v>-6005.43</v>
      </c>
      <c r="N10" s="56">
        <f>+'Art.14 Frac.III AJUSTE DEF'!P8</f>
        <v>-102977.9139121841</v>
      </c>
      <c r="O10" s="56">
        <f>ROUND('PART MES'!$O$6*'COEF Art 14 F I '!AF10,2)</f>
        <v>-16195.19</v>
      </c>
      <c r="P10" s="56">
        <f>ROUND('PART MES'!$O$7*'COEF Art 14 F I '!AF10,2)</f>
        <v>-6264.94</v>
      </c>
      <c r="Q10" s="56">
        <f>ROUND('PART MES'!$S$4*'COEF Art 14 F I '!AF10,2)</f>
        <v>-15437.71</v>
      </c>
      <c r="R10" s="199">
        <f t="shared" si="0"/>
        <v>6858245.7643241249</v>
      </c>
    </row>
    <row r="11" spans="1:26">
      <c r="A11" s="160" t="s">
        <v>5</v>
      </c>
      <c r="B11" s="56">
        <f>ROUND(+'CALCULO GARANTIA'!C10+'CALCULO GARANTIA'!M10,2)</f>
        <v>5612428.3799999999</v>
      </c>
      <c r="C11" s="56">
        <f>ROUND(+'CALCULO GARANTIA'!E10+'CALCULO GARANTIA'!N10,2)</f>
        <v>785175.4</v>
      </c>
      <c r="D11" s="56">
        <f>+'Art.14 Frac.III'!P9</f>
        <v>221503.86611890062</v>
      </c>
      <c r="E11" s="56">
        <f>ROUND(+'PART MES'!$F$6*+'CALCULO GARANTIA'!F10,2)</f>
        <v>158167.72</v>
      </c>
      <c r="F11" s="56">
        <f>ROUND(+'PART MES'!$F$7*+'CALCULO GARANTIA'!H10,2)</f>
        <v>135424.63</v>
      </c>
      <c r="G11" s="56">
        <f>ROUND(+'CALCULO GARANTIA'!J10+'CALCULO GARANTIA'!Q10,2)</f>
        <v>204112.47</v>
      </c>
      <c r="H11" s="56">
        <f>ROUND(+'CALCULO GARANTIA'!K10+'CALCULO GARANTIA'!R10,2)</f>
        <v>30374.89</v>
      </c>
      <c r="I11" s="56">
        <f>ROUND(+'PART MES'!F$12*'COEF Art 14 F II ieps'!L12,2)</f>
        <v>0</v>
      </c>
      <c r="J11" s="56">
        <f>+'ISR MÁYO '!D10</f>
        <v>421842</v>
      </c>
      <c r="K11" s="56">
        <f>+ISAI!D8</f>
        <v>2751.2220829811245</v>
      </c>
      <c r="L11" s="56">
        <f>ROUND('PART MES'!$O$4*'COEF Art 14 F I '!AF11,2)</f>
        <v>-290730.84000000003</v>
      </c>
      <c r="M11" s="56">
        <f>ROUND('PART MES'!$O$5*'COEF Art 14 F I '!AF11,2)</f>
        <v>-4921.04</v>
      </c>
      <c r="N11" s="56">
        <f>+'Art.14 Frac.III AJUSTE DEF'!P9</f>
        <v>-30060.001471361498</v>
      </c>
      <c r="O11" s="56">
        <f>ROUND('PART MES'!$O$6*'COEF Art 14 F I '!AF11,2)</f>
        <v>-13270.84</v>
      </c>
      <c r="P11" s="56">
        <f>ROUND('PART MES'!$O$7*'COEF Art 14 F I '!AF11,2)</f>
        <v>-5133.6899999999996</v>
      </c>
      <c r="Q11" s="56">
        <f>ROUND('PART MES'!$S$4*'COEF Art 14 F I '!AF11,2)</f>
        <v>-12650.13</v>
      </c>
      <c r="R11" s="199">
        <f t="shared" si="0"/>
        <v>7215014.0367305195</v>
      </c>
    </row>
    <row r="12" spans="1:26">
      <c r="A12" s="160" t="s">
        <v>6</v>
      </c>
      <c r="B12" s="56">
        <f>ROUND(+'CALCULO GARANTIA'!C11+'CALCULO GARANTIA'!M11,2)</f>
        <v>45270799.57</v>
      </c>
      <c r="C12" s="56">
        <f>ROUND(+'CALCULO GARANTIA'!E11+'CALCULO GARANTIA'!N11,2)</f>
        <v>6494502.7999999998</v>
      </c>
      <c r="D12" s="56">
        <f>+'Art.14 Frac.III'!P10</f>
        <v>1785089.617512098</v>
      </c>
      <c r="E12" s="56">
        <f>ROUND(+'PART MES'!$F$6*+'CALCULO GARANTIA'!F11,2)</f>
        <v>1086036.51</v>
      </c>
      <c r="F12" s="56">
        <f>ROUND(+'PART MES'!$F$7*+'CALCULO GARANTIA'!H11,2)</f>
        <v>929874.25</v>
      </c>
      <c r="G12" s="56">
        <f>ROUND(+'CALCULO GARANTIA'!J11+'CALCULO GARANTIA'!Q11,2)</f>
        <v>2059355.3</v>
      </c>
      <c r="H12" s="56">
        <f>ROUND(+'CALCULO GARANTIA'!K11+'CALCULO GARANTIA'!R11,2)</f>
        <v>218172.24</v>
      </c>
      <c r="I12" s="56">
        <f>ROUND(+'PART MES'!F$12*'COEF Art 14 F II ieps'!L13,2)</f>
        <v>0</v>
      </c>
      <c r="J12" s="56">
        <f>+'ISR MÁYO '!D11</f>
        <v>4713391</v>
      </c>
      <c r="K12" s="56">
        <f>+ISAI!D9</f>
        <v>220959.30016123955</v>
      </c>
      <c r="L12" s="56">
        <f>ROUND('PART MES'!$O$4*'COEF Art 14 F I '!AF12,2)</f>
        <v>-4853616.95</v>
      </c>
      <c r="M12" s="56">
        <f>ROUND('PART MES'!$O$5*'COEF Art 14 F I '!AF12,2)</f>
        <v>-82154.44</v>
      </c>
      <c r="N12" s="56">
        <f>+'Art.14 Frac.III AJUSTE DEF'!P10</f>
        <v>-242252.18940477481</v>
      </c>
      <c r="O12" s="56">
        <f>ROUND('PART MES'!$O$6*'COEF Art 14 F I '!AF12,2)</f>
        <v>-221550.55</v>
      </c>
      <c r="P12" s="56">
        <f>ROUND('PART MES'!$O$7*'COEF Art 14 F I '!AF12,2)</f>
        <v>-85704.53</v>
      </c>
      <c r="Q12" s="56">
        <f>ROUND('PART MES'!$S$4*'COEF Art 14 F I '!AF12,2)</f>
        <v>-211188.15</v>
      </c>
      <c r="R12" s="199">
        <f t="shared" si="0"/>
        <v>57081713.778268561</v>
      </c>
    </row>
    <row r="13" spans="1:26">
      <c r="A13" s="160" t="s">
        <v>7</v>
      </c>
      <c r="B13" s="56">
        <f>ROUND(+'CALCULO GARANTIA'!C12+'CALCULO GARANTIA'!M12,2)</f>
        <v>6253046.1699999999</v>
      </c>
      <c r="C13" s="56">
        <f>ROUND(+'CALCULO GARANTIA'!E12+'CALCULO GARANTIA'!N12,2)</f>
        <v>871122.26</v>
      </c>
      <c r="D13" s="56">
        <f>+'Art.14 Frac.III'!P11</f>
        <v>0</v>
      </c>
      <c r="E13" s="56">
        <f>ROUND(+'PART MES'!$F$6*+'CALCULO GARANTIA'!F12,2)</f>
        <v>180549.47</v>
      </c>
      <c r="F13" s="56">
        <f>ROUND(+'PART MES'!$F$7*+'CALCULO GARANTIA'!H12,2)</f>
        <v>154588.09</v>
      </c>
      <c r="G13" s="56">
        <f>ROUND(+'CALCULO GARANTIA'!J12+'CALCULO GARANTIA'!Q12,2)</f>
        <v>217992.39</v>
      </c>
      <c r="H13" s="56">
        <f>ROUND(+'CALCULO GARANTIA'!K12+'CALCULO GARANTIA'!R12,2)</f>
        <v>34454.019999999997</v>
      </c>
      <c r="I13" s="56">
        <f>ROUND(+'PART MES'!F$12*'COEF Art 14 F II ieps'!L14,2)</f>
        <v>0</v>
      </c>
      <c r="J13" s="56">
        <f>+'ISR MÁYO '!D12</f>
        <v>2414949</v>
      </c>
      <c r="K13" s="56">
        <f>+ISAI!D10</f>
        <v>830.53305240585598</v>
      </c>
      <c r="L13" s="56">
        <f>ROUND('PART MES'!$O$4*'COEF Art 14 F I '!AF13,2)</f>
        <v>-266704.18</v>
      </c>
      <c r="M13" s="56">
        <f>ROUND('PART MES'!$O$5*'COEF Art 14 F I '!AF13,2)</f>
        <v>-4514.3500000000004</v>
      </c>
      <c r="N13" s="56">
        <f>+'Art.14 Frac.III AJUSTE DEF'!P11</f>
        <v>0</v>
      </c>
      <c r="O13" s="56">
        <f>ROUND('PART MES'!$O$6*'COEF Art 14 F I '!AF13,2)</f>
        <v>-12174.11</v>
      </c>
      <c r="P13" s="56">
        <f>ROUND('PART MES'!$O$7*'COEF Art 14 F I '!AF13,2)</f>
        <v>-4709.43</v>
      </c>
      <c r="Q13" s="56">
        <f>ROUND('PART MES'!$S$4*'COEF Art 14 F I '!AF13,2)</f>
        <v>-11604.7</v>
      </c>
      <c r="R13" s="199">
        <f t="shared" si="0"/>
        <v>9827825.1630524062</v>
      </c>
    </row>
    <row r="14" spans="1:26">
      <c r="A14" s="160" t="s">
        <v>8</v>
      </c>
      <c r="B14" s="56">
        <f>ROUND(+'CALCULO GARANTIA'!C13+'CALCULO GARANTIA'!M13,2)</f>
        <v>1076565.99</v>
      </c>
      <c r="C14" s="56">
        <f>ROUND(+'CALCULO GARANTIA'!E13+'CALCULO GARANTIA'!N13,2)</f>
        <v>151996.01999999999</v>
      </c>
      <c r="D14" s="56">
        <f>+'Art.14 Frac.III'!P12</f>
        <v>715764.66871720122</v>
      </c>
      <c r="E14" s="56">
        <f>ROUND(+'PART MES'!$F$6*+'CALCULO GARANTIA'!F13,2)</f>
        <v>28708.32</v>
      </c>
      <c r="F14" s="56">
        <f>ROUND(+'PART MES'!$F$7*+'CALCULO GARANTIA'!H13,2)</f>
        <v>24580.33</v>
      </c>
      <c r="G14" s="56">
        <f>ROUND(+'CALCULO GARANTIA'!J13+'CALCULO GARANTIA'!Q13,2)</f>
        <v>42701.89</v>
      </c>
      <c r="H14" s="56">
        <f>ROUND(+'CALCULO GARANTIA'!K13+'CALCULO GARANTIA'!R13,2)</f>
        <v>5595.79</v>
      </c>
      <c r="I14" s="56">
        <f>ROUND(+'PART MES'!F$12*'COEF Art 14 F II ieps'!L15,2)</f>
        <v>0</v>
      </c>
      <c r="J14" s="56">
        <f>+'ISR MÁYO '!D13</f>
        <v>160378</v>
      </c>
      <c r="K14" s="56">
        <f>+ISAI!D11</f>
        <v>132.55871218925876</v>
      </c>
      <c r="L14" s="56">
        <f>ROUND('PART MES'!$O$4*'COEF Art 14 F I '!AF14,2)</f>
        <v>-77328.88</v>
      </c>
      <c r="M14" s="56">
        <f>ROUND('PART MES'!$O$5*'COEF Art 14 F I '!AF14,2)</f>
        <v>-1308.9000000000001</v>
      </c>
      <c r="N14" s="56">
        <f>+'Art.14 Frac.III AJUSTE DEF'!P12</f>
        <v>-97135.491907117219</v>
      </c>
      <c r="O14" s="56">
        <f>ROUND('PART MES'!$O$6*'COEF Art 14 F I '!AF14,2)</f>
        <v>-3529.79</v>
      </c>
      <c r="P14" s="56">
        <f>ROUND('PART MES'!$O$7*'COEF Art 14 F I '!AF14,2)</f>
        <v>-1365.46</v>
      </c>
      <c r="Q14" s="56">
        <f>ROUND('PART MES'!$S$4*'COEF Art 14 F I '!AF14,2)</f>
        <v>-3364.7</v>
      </c>
      <c r="R14" s="199">
        <f t="shared" si="0"/>
        <v>2022390.3455222733</v>
      </c>
    </row>
    <row r="15" spans="1:26">
      <c r="A15" s="160" t="s">
        <v>9</v>
      </c>
      <c r="B15" s="56">
        <f>ROUND(+'CALCULO GARANTIA'!C14+'CALCULO GARANTIA'!M14,2)</f>
        <v>10723075.220000001</v>
      </c>
      <c r="C15" s="56">
        <f>ROUND(+'CALCULO GARANTIA'!E14+'CALCULO GARANTIA'!N14,2)</f>
        <v>1514441.44</v>
      </c>
      <c r="D15" s="56">
        <f>+'Art.14 Frac.III'!P13</f>
        <v>830117.12173326756</v>
      </c>
      <c r="E15" s="56">
        <f>ROUND(+'PART MES'!$F$6*+'CALCULO GARANTIA'!F14,2)</f>
        <v>285366.34999999998</v>
      </c>
      <c r="F15" s="56">
        <f>ROUND(+'PART MES'!$F$7*+'CALCULO GARANTIA'!H14,2)</f>
        <v>244333.24</v>
      </c>
      <c r="G15" s="56">
        <f>ROUND(+'CALCULO GARANTIA'!J14+'CALCULO GARANTIA'!Q14,2)</f>
        <v>426594.65</v>
      </c>
      <c r="H15" s="56">
        <f>ROUND(+'CALCULO GARANTIA'!K14+'CALCULO GARANTIA'!R14,2)</f>
        <v>55654.34</v>
      </c>
      <c r="I15" s="56">
        <f>ROUND(+'PART MES'!F$12*'COEF Art 14 F II ieps'!L16,2)</f>
        <v>0</v>
      </c>
      <c r="J15" s="56">
        <f>+'ISR MÁYO '!D14</f>
        <v>0</v>
      </c>
      <c r="K15" s="56">
        <f>+ISAI!D12</f>
        <v>14137.093318755267</v>
      </c>
      <c r="L15" s="56">
        <f>ROUND('PART MES'!$O$4*'COEF Art 14 F I '!AF15,2)</f>
        <v>-777913.96</v>
      </c>
      <c r="M15" s="56">
        <f>ROUND('PART MES'!$O$5*'COEF Art 14 F I '!AF15,2)</f>
        <v>-13167.31</v>
      </c>
      <c r="N15" s="56">
        <f>+'Art.14 Frac.III AJUSTE DEF'!P13</f>
        <v>-112654.11452145828</v>
      </c>
      <c r="O15" s="56">
        <f>ROUND('PART MES'!$O$6*'COEF Art 14 F I '!AF15,2)</f>
        <v>-35509.040000000001</v>
      </c>
      <c r="P15" s="56">
        <f>ROUND('PART MES'!$O$7*'COEF Art 14 F I '!AF15,2)</f>
        <v>-13736.3</v>
      </c>
      <c r="Q15" s="56">
        <f>ROUND('PART MES'!$S$4*'COEF Art 14 F I '!AF15,2)</f>
        <v>-33848.199999999997</v>
      </c>
      <c r="R15" s="199">
        <f t="shared" si="0"/>
        <v>13106890.530530563</v>
      </c>
    </row>
    <row r="16" spans="1:26">
      <c r="A16" s="160" t="s">
        <v>10</v>
      </c>
      <c r="B16" s="56">
        <f>ROUND(+'CALCULO GARANTIA'!C15+'CALCULO GARANTIA'!M15,2)</f>
        <v>2822722.74</v>
      </c>
      <c r="C16" s="56">
        <f>ROUND(+'CALCULO GARANTIA'!E15+'CALCULO GARANTIA'!N15,2)</f>
        <v>420491.73</v>
      </c>
      <c r="D16" s="56">
        <f>+'Art.14 Frac.III'!P14</f>
        <v>329974.66978314449</v>
      </c>
      <c r="E16" s="56">
        <f>ROUND(+'PART MES'!$F$6*+'CALCULO GARANTIA'!F15,2)</f>
        <v>49407.91</v>
      </c>
      <c r="F16" s="56">
        <f>ROUND(+'PART MES'!$F$7*+'CALCULO GARANTIA'!H15,2)</f>
        <v>42303.5</v>
      </c>
      <c r="G16" s="56">
        <f>ROUND(+'CALCULO GARANTIA'!J15+'CALCULO GARANTIA'!Q15,2)</f>
        <v>168245.02</v>
      </c>
      <c r="H16" s="56">
        <f>ROUND(+'CALCULO GARANTIA'!K15+'CALCULO GARANTIA'!R15,2)</f>
        <v>11014.33</v>
      </c>
      <c r="I16" s="56">
        <f>ROUND(+'PART MES'!F$12*'COEF Art 14 F II ieps'!L17,2)</f>
        <v>0</v>
      </c>
      <c r="J16" s="56">
        <f>+'ISR MÁYO '!D15</f>
        <v>0</v>
      </c>
      <c r="K16" s="56">
        <f>+ISAI!D13</f>
        <v>6027.563114888032</v>
      </c>
      <c r="L16" s="56">
        <f>ROUND('PART MES'!$O$4*'COEF Art 14 F I '!AF16,2)</f>
        <v>-544648.66</v>
      </c>
      <c r="M16" s="56">
        <f>ROUND('PART MES'!$O$5*'COEF Art 14 F I '!AF16,2)</f>
        <v>-9218.9599999999991</v>
      </c>
      <c r="N16" s="56">
        <f>+'Art.14 Frac.III AJUSTE DEF'!P14</f>
        <v>-44780.43310480607</v>
      </c>
      <c r="O16" s="56">
        <f>ROUND('PART MES'!$O$6*'COEF Art 14 F I '!AF16,2)</f>
        <v>-24861.3</v>
      </c>
      <c r="P16" s="56">
        <f>ROUND('PART MES'!$O$7*'COEF Art 14 F I '!AF16,2)</f>
        <v>-9617.33</v>
      </c>
      <c r="Q16" s="56">
        <f>ROUND('PART MES'!$S$4*'COEF Art 14 F I '!AF16,2)</f>
        <v>-23698.48</v>
      </c>
      <c r="R16" s="199">
        <f t="shared" si="0"/>
        <v>3193362.2997932271</v>
      </c>
    </row>
    <row r="17" spans="1:18">
      <c r="A17" s="160" t="s">
        <v>11</v>
      </c>
      <c r="B17" s="56">
        <f>ROUND(+'CALCULO GARANTIA'!C16+'CALCULO GARANTIA'!M16,2)</f>
        <v>2623404.1800000002</v>
      </c>
      <c r="C17" s="56">
        <f>ROUND(+'CALCULO GARANTIA'!E16+'CALCULO GARANTIA'!N16,2)</f>
        <v>371298.79</v>
      </c>
      <c r="D17" s="56">
        <f>+'Art.14 Frac.III'!P15</f>
        <v>392949.88637867192</v>
      </c>
      <c r="E17" s="56">
        <f>ROUND(+'PART MES'!$F$6*+'CALCULO GARANTIA'!F16,2)</f>
        <v>68884.460000000006</v>
      </c>
      <c r="F17" s="56">
        <f>ROUND(+'PART MES'!$F$7*+'CALCULO GARANTIA'!H16,2)</f>
        <v>58979.49</v>
      </c>
      <c r="G17" s="56">
        <f>ROUND(+'CALCULO GARANTIA'!J16+'CALCULO GARANTIA'!Q16,2)</f>
        <v>106391.38</v>
      </c>
      <c r="H17" s="56">
        <f>ROUND(+'CALCULO GARANTIA'!K16+'CALCULO GARANTIA'!R16,2)</f>
        <v>13484.26</v>
      </c>
      <c r="I17" s="56">
        <f>ROUND(+'PART MES'!F$12*'COEF Art 14 F II ieps'!L18,2)</f>
        <v>0</v>
      </c>
      <c r="J17" s="56">
        <f>+'ISR MÁYO '!D16</f>
        <v>0</v>
      </c>
      <c r="K17" s="56">
        <f>+ISAI!D14</f>
        <v>547.5561145644632</v>
      </c>
      <c r="L17" s="56">
        <f>ROUND('PART MES'!$O$4*'COEF Art 14 F I '!AF17,2)</f>
        <v>-202617.22</v>
      </c>
      <c r="M17" s="56">
        <f>ROUND('PART MES'!$O$5*'COEF Art 14 F I '!AF17,2)</f>
        <v>-3429.59</v>
      </c>
      <c r="N17" s="56">
        <f>+'Art.14 Frac.III AJUSTE DEF'!P15</f>
        <v>-53326.717811659473</v>
      </c>
      <c r="O17" s="56">
        <f>ROUND('PART MES'!$O$6*'COEF Art 14 F I '!AF17,2)</f>
        <v>-9248.76</v>
      </c>
      <c r="P17" s="56">
        <f>ROUND('PART MES'!$O$7*'COEF Art 14 F I '!AF17,2)</f>
        <v>-3577.79</v>
      </c>
      <c r="Q17" s="56">
        <f>ROUND('PART MES'!$S$4*'COEF Art 14 F I '!AF17,2)</f>
        <v>-8816.18</v>
      </c>
      <c r="R17" s="199">
        <f t="shared" si="0"/>
        <v>3354923.7446815772</v>
      </c>
    </row>
    <row r="18" spans="1:18">
      <c r="A18" s="160" t="s">
        <v>12</v>
      </c>
      <c r="B18" s="56">
        <f>ROUND(+'CALCULO GARANTIA'!C17+'CALCULO GARANTIA'!M17,2)</f>
        <v>5135462.67</v>
      </c>
      <c r="C18" s="56">
        <f>ROUND(+'CALCULO GARANTIA'!E17+'CALCULO GARANTIA'!N17,2)</f>
        <v>718322.44</v>
      </c>
      <c r="D18" s="56">
        <f>+'Art.14 Frac.III'!P16</f>
        <v>777775.46303863998</v>
      </c>
      <c r="E18" s="56">
        <f>ROUND(+'PART MES'!$F$6*+'CALCULO GARANTIA'!F17,2)</f>
        <v>144874.1</v>
      </c>
      <c r="F18" s="56">
        <f>ROUND(+'PART MES'!$F$7*+'CALCULO GARANTIA'!H17,2)</f>
        <v>124042.51</v>
      </c>
      <c r="G18" s="56">
        <f>ROUND(+'CALCULO GARANTIA'!J17+'CALCULO GARANTIA'!Q17,2)</f>
        <v>186443.99</v>
      </c>
      <c r="H18" s="56">
        <f>ROUND(+'CALCULO GARANTIA'!K17+'CALCULO GARANTIA'!R17,2)</f>
        <v>27814.46</v>
      </c>
      <c r="I18" s="56">
        <f>ROUND(+'PART MES'!F$12*'COEF Art 14 F II ieps'!L19,2)</f>
        <v>0</v>
      </c>
      <c r="J18" s="56">
        <f>+'ISR MÁYO '!D17</f>
        <v>151121</v>
      </c>
      <c r="K18" s="56">
        <f>+ISAI!D15</f>
        <v>585.24393703671649</v>
      </c>
      <c r="L18" s="56">
        <f>ROUND('PART MES'!$O$4*'COEF Art 14 F I '!AF18,2)</f>
        <v>-264066.03000000003</v>
      </c>
      <c r="M18" s="56">
        <f>ROUND('PART MES'!$O$5*'COEF Art 14 F I '!AF18,2)</f>
        <v>-4469.7</v>
      </c>
      <c r="N18" s="56">
        <f>+'Art.14 Frac.III AJUSTE DEF'!P16</f>
        <v>-105550.89612196802</v>
      </c>
      <c r="O18" s="56">
        <f>ROUND('PART MES'!$O$6*'COEF Art 14 F I '!AF18,2)</f>
        <v>-12053.69</v>
      </c>
      <c r="P18" s="56">
        <f>ROUND('PART MES'!$O$7*'COEF Art 14 F I '!AF18,2)</f>
        <v>-4662.84</v>
      </c>
      <c r="Q18" s="56">
        <f>ROUND('PART MES'!$S$4*'COEF Art 14 F I '!AF18,2)</f>
        <v>-11489.91</v>
      </c>
      <c r="R18" s="199">
        <f t="shared" si="0"/>
        <v>6864148.8108537076</v>
      </c>
    </row>
    <row r="19" spans="1:18">
      <c r="A19" s="160" t="s">
        <v>13</v>
      </c>
      <c r="B19" s="56">
        <f>ROUND(+'CALCULO GARANTIA'!C18+'CALCULO GARANTIA'!M18,2)</f>
        <v>3268841.75</v>
      </c>
      <c r="C19" s="56">
        <f>ROUND(+'CALCULO GARANTIA'!E18+'CALCULO GARANTIA'!N18,2)</f>
        <v>472469.72</v>
      </c>
      <c r="D19" s="56">
        <f>+'Art.14 Frac.III'!P17</f>
        <v>464443.06383084401</v>
      </c>
      <c r="E19" s="56">
        <f>ROUND(+'PART MES'!$F$6*+'CALCULO GARANTIA'!F18,2)</f>
        <v>74267.59</v>
      </c>
      <c r="F19" s="56">
        <f>ROUND(+'PART MES'!$F$7*+'CALCULO GARANTIA'!H18,2)</f>
        <v>63588.58</v>
      </c>
      <c r="G19" s="56">
        <f>ROUND(+'CALCULO GARANTIA'!J18+'CALCULO GARANTIA'!Q18,2)</f>
        <v>157731.82</v>
      </c>
      <c r="H19" s="56">
        <f>ROUND(+'CALCULO GARANTIA'!K18+'CALCULO GARANTIA'!R18,2)</f>
        <v>15166.38</v>
      </c>
      <c r="I19" s="56">
        <f>ROUND(+'PART MES'!F$12*'COEF Art 14 F II ieps'!L20,2)</f>
        <v>0</v>
      </c>
      <c r="J19" s="56">
        <f>+'ISR MÁYO '!D18</f>
        <v>0</v>
      </c>
      <c r="K19" s="56">
        <f>+ISAI!D16</f>
        <v>35788.09085583534</v>
      </c>
      <c r="L19" s="56">
        <f>ROUND('PART MES'!$O$4*'COEF Art 14 F I '!AF19,2)</f>
        <v>-405335.84</v>
      </c>
      <c r="M19" s="56">
        <f>ROUND('PART MES'!$O$5*'COEF Art 14 F I '!AF19,2)</f>
        <v>-6860.89</v>
      </c>
      <c r="N19" s="56">
        <f>+'Art.14 Frac.III AJUSTE DEF'!P17</f>
        <v>-63028.963903612545</v>
      </c>
      <c r="O19" s="56">
        <f>ROUND('PART MES'!$O$6*'COEF Art 14 F I '!AF19,2)</f>
        <v>-18502.16</v>
      </c>
      <c r="P19" s="56">
        <f>ROUND('PART MES'!$O$7*'COEF Art 14 F I '!AF19,2)</f>
        <v>-7157.37</v>
      </c>
      <c r="Q19" s="56">
        <f>ROUND('PART MES'!$S$4*'COEF Art 14 F I '!AF19,2)</f>
        <v>-17636.77</v>
      </c>
      <c r="R19" s="199">
        <f t="shared" si="0"/>
        <v>4033775.0007830663</v>
      </c>
    </row>
    <row r="20" spans="1:18">
      <c r="A20" s="160" t="s">
        <v>14</v>
      </c>
      <c r="B20" s="56">
        <f>ROUND(+'CALCULO GARANTIA'!C19+'CALCULO GARANTIA'!M19,2)</f>
        <v>14051063.189999999</v>
      </c>
      <c r="C20" s="56">
        <f>ROUND(+'CALCULO GARANTIA'!E19+'CALCULO GARANTIA'!N19,2)</f>
        <v>1956909.51</v>
      </c>
      <c r="D20" s="56">
        <f>+'Art.14 Frac.III'!P18</f>
        <v>372603.1545151032</v>
      </c>
      <c r="E20" s="56">
        <f>ROUND(+'PART MES'!$F$6*+'CALCULO GARANTIA'!F19,2)</f>
        <v>406376.46</v>
      </c>
      <c r="F20" s="56">
        <f>ROUND(+'PART MES'!$F$7*+'CALCULO GARANTIA'!H19,2)</f>
        <v>347943.19</v>
      </c>
      <c r="G20" s="56">
        <f>ROUND(+'CALCULO GARANTIA'!J19+'CALCULO GARANTIA'!Q19,2)</f>
        <v>488391.06</v>
      </c>
      <c r="H20" s="56">
        <f>ROUND(+'CALCULO GARANTIA'!K19+'CALCULO GARANTIA'!R19,2)</f>
        <v>77515.28</v>
      </c>
      <c r="I20" s="56">
        <f>ROUND(+'PART MES'!F$12*'COEF Art 14 F II ieps'!L21,2)</f>
        <v>0</v>
      </c>
      <c r="J20" s="56">
        <f>+'ISR MÁYO '!D19</f>
        <v>0</v>
      </c>
      <c r="K20" s="56">
        <f>+ISAI!D17</f>
        <v>122.58951192607114</v>
      </c>
      <c r="L20" s="56">
        <f>ROUND('PART MES'!$O$4*'COEF Art 14 F I '!AF20,2)</f>
        <v>-590470.62</v>
      </c>
      <c r="M20" s="56">
        <f>ROUND('PART MES'!$O$5*'COEF Art 14 F I '!AF20,2)</f>
        <v>-9994.56</v>
      </c>
      <c r="N20" s="56">
        <f>+'Art.14 Frac.III AJUSTE DEF'!P18</f>
        <v>-50565.489303675051</v>
      </c>
      <c r="O20" s="56">
        <f>ROUND('PART MES'!$O$6*'COEF Art 14 F I '!AF20,2)</f>
        <v>-26952.91</v>
      </c>
      <c r="P20" s="56">
        <f>ROUND('PART MES'!$O$7*'COEF Art 14 F I '!AF20,2)</f>
        <v>-10426.450000000001</v>
      </c>
      <c r="Q20" s="56">
        <f>ROUND('PART MES'!$S$4*'COEF Art 14 F I '!AF20,2)</f>
        <v>-25692.26</v>
      </c>
      <c r="R20" s="199">
        <f t="shared" si="0"/>
        <v>16986822.144723356</v>
      </c>
    </row>
    <row r="21" spans="1:18">
      <c r="A21" s="160" t="s">
        <v>15</v>
      </c>
      <c r="B21" s="56">
        <f>ROUND(+'CALCULO GARANTIA'!C20+'CALCULO GARANTIA'!M20,2)</f>
        <v>1807232.3</v>
      </c>
      <c r="C21" s="56">
        <f>ROUND(+'CALCULO GARANTIA'!E20+'CALCULO GARANTIA'!N20,2)</f>
        <v>252310.3</v>
      </c>
      <c r="D21" s="56">
        <f>+'Art.14 Frac.III'!P19</f>
        <v>380205.23841442802</v>
      </c>
      <c r="E21" s="56">
        <f>ROUND(+'PART MES'!$F$6*+'CALCULO GARANTIA'!F20,2)</f>
        <v>51543.74</v>
      </c>
      <c r="F21" s="56">
        <f>ROUND(+'PART MES'!$F$7*+'CALCULO GARANTIA'!H20,2)</f>
        <v>44132.21</v>
      </c>
      <c r="G21" s="56">
        <f>ROUND(+'CALCULO GARANTIA'!J20+'CALCULO GARANTIA'!Q20,2)</f>
        <v>64391.68</v>
      </c>
      <c r="H21" s="56">
        <f>ROUND(+'CALCULO GARANTIA'!K20+'CALCULO GARANTIA'!R20,2)</f>
        <v>9867.5499999999993</v>
      </c>
      <c r="I21" s="56">
        <f>ROUND(+'PART MES'!F$12*'COEF Art 14 F II ieps'!L22,2)</f>
        <v>0</v>
      </c>
      <c r="J21" s="56">
        <f>+'ISR MÁYO '!D20</f>
        <v>0</v>
      </c>
      <c r="K21" s="56">
        <f>+ISAI!D18</f>
        <v>25.472136679802723</v>
      </c>
      <c r="L21" s="56">
        <f>ROUND('PART MES'!$O$4*'COEF Art 14 F I '!AF21,2)</f>
        <v>-85515.48</v>
      </c>
      <c r="M21" s="56">
        <f>ROUND('PART MES'!$O$5*'COEF Art 14 F I '!AF21,2)</f>
        <v>-1447.47</v>
      </c>
      <c r="N21" s="56">
        <f>+'Art.14 Frac.III AJUSTE DEF'!P19</f>
        <v>-51597.158218548306</v>
      </c>
      <c r="O21" s="56">
        <f>ROUND('PART MES'!$O$6*'COEF Art 14 F I '!AF21,2)</f>
        <v>-3903.48</v>
      </c>
      <c r="P21" s="56">
        <f>ROUND('PART MES'!$O$7*'COEF Art 14 F I '!AF21,2)</f>
        <v>-1510.02</v>
      </c>
      <c r="Q21" s="56">
        <f>ROUND('PART MES'!$S$4*'COEF Art 14 F I '!AF21,2)</f>
        <v>-3720.91</v>
      </c>
      <c r="R21" s="199">
        <f t="shared" si="0"/>
        <v>2462013.9723325595</v>
      </c>
    </row>
    <row r="22" spans="1:18">
      <c r="A22" s="160" t="s">
        <v>16</v>
      </c>
      <c r="B22" s="56">
        <f>ROUND(+'CALCULO GARANTIA'!C21+'CALCULO GARANTIA'!M21,2)</f>
        <v>1270981.49</v>
      </c>
      <c r="C22" s="56">
        <f>ROUND(+'CALCULO GARANTIA'!E21+'CALCULO GARANTIA'!N21,2)</f>
        <v>177546.21</v>
      </c>
      <c r="D22" s="56">
        <f>+'Art.14 Frac.III'!P20</f>
        <v>1248450.5908098032</v>
      </c>
      <c r="E22" s="56">
        <f>ROUND(+'PART MES'!$F$6*+'CALCULO GARANTIA'!F21,2)</f>
        <v>36128.54</v>
      </c>
      <c r="F22" s="56">
        <f>ROUND(+'PART MES'!$F$7*+'CALCULO GARANTIA'!H21,2)</f>
        <v>30933.58</v>
      </c>
      <c r="G22" s="56">
        <f>ROUND(+'CALCULO GARANTIA'!J21+'CALCULO GARANTIA'!Q21,2)</f>
        <v>45548.13</v>
      </c>
      <c r="H22" s="56">
        <f>ROUND(+'CALCULO GARANTIA'!K21+'CALCULO GARANTIA'!R21,2)</f>
        <v>6922.51</v>
      </c>
      <c r="I22" s="56">
        <f>ROUND(+'PART MES'!F$12*'COEF Art 14 F II ieps'!L23,2)</f>
        <v>0</v>
      </c>
      <c r="J22" s="56">
        <f>+'ISR MÁYO '!D21</f>
        <v>202695</v>
      </c>
      <c r="K22" s="56">
        <f>+ISAI!D19</f>
        <v>472.09810818713913</v>
      </c>
      <c r="L22" s="56">
        <f>ROUND('PART MES'!$O$4*'COEF Art 14 F I '!AF22,2)</f>
        <v>-61738.91</v>
      </c>
      <c r="M22" s="56">
        <f>ROUND('PART MES'!$O$5*'COEF Art 14 F I '!AF22,2)</f>
        <v>-1045.02</v>
      </c>
      <c r="N22" s="56">
        <f>+'Art.14 Frac.III AJUSTE DEF'!P20</f>
        <v>-169425.60531435601</v>
      </c>
      <c r="O22" s="56">
        <f>ROUND('PART MES'!$O$6*'COEF Art 14 F I '!AF22,2)</f>
        <v>-2818.16</v>
      </c>
      <c r="P22" s="56">
        <f>ROUND('PART MES'!$O$7*'COEF Art 14 F I '!AF22,2)</f>
        <v>-1090.18</v>
      </c>
      <c r="Q22" s="56">
        <f>ROUND('PART MES'!$S$4*'COEF Art 14 F I '!AF22,2)</f>
        <v>-2686.35</v>
      </c>
      <c r="R22" s="199">
        <f t="shared" si="0"/>
        <v>2780873.9236036339</v>
      </c>
    </row>
    <row r="23" spans="1:18">
      <c r="A23" s="160" t="s">
        <v>17</v>
      </c>
      <c r="B23" s="56">
        <f>ROUND(+'CALCULO GARANTIA'!C22+'CALCULO GARANTIA'!M22,2)</f>
        <v>11105530.57</v>
      </c>
      <c r="C23" s="56">
        <f>ROUND(+'CALCULO GARANTIA'!E22+'CALCULO GARANTIA'!N22,2)</f>
        <v>1552111.9</v>
      </c>
      <c r="D23" s="56">
        <f>+'Art.14 Frac.III'!P21</f>
        <v>230846.64965102228</v>
      </c>
      <c r="E23" s="56">
        <f>ROUND(+'PART MES'!$F$6*+'CALCULO GARANTIA'!F22,2)</f>
        <v>314792.36</v>
      </c>
      <c r="F23" s="56">
        <f>ROUND(+'PART MES'!$F$7*+'CALCULO GARANTIA'!H22,2)</f>
        <v>269528.06</v>
      </c>
      <c r="G23" s="56">
        <f>ROUND(+'CALCULO GARANTIA'!J22+'CALCULO GARANTIA'!Q22,2)</f>
        <v>399925.49</v>
      </c>
      <c r="H23" s="56">
        <f>ROUND(+'CALCULO GARANTIA'!K22+'CALCULO GARANTIA'!R22,2)</f>
        <v>60361.32</v>
      </c>
      <c r="I23" s="56">
        <f>ROUND(+'PART MES'!F$12*'COEF Art 14 F II ieps'!L24,2)</f>
        <v>0</v>
      </c>
      <c r="J23" s="56">
        <f>+'ISR MÁYO '!D22</f>
        <v>534472</v>
      </c>
      <c r="K23" s="56">
        <f>+ISAI!D20</f>
        <v>721.43652337549224</v>
      </c>
      <c r="L23" s="56">
        <f>ROUND('PART MES'!$O$4*'COEF Art 14 F I '!AF23,2)</f>
        <v>-551225.89</v>
      </c>
      <c r="M23" s="56">
        <f>ROUND('PART MES'!$O$5*'COEF Art 14 F I '!AF23,2)</f>
        <v>-9330.2900000000009</v>
      </c>
      <c r="N23" s="56">
        <f>+'Art.14 Frac.III AJUSTE DEF'!P21</f>
        <v>-31327.898468569831</v>
      </c>
      <c r="O23" s="56">
        <f>ROUND('PART MES'!$O$6*'COEF Art 14 F I '!AF23,2)</f>
        <v>-25161.52</v>
      </c>
      <c r="P23" s="56">
        <f>ROUND('PART MES'!$O$7*'COEF Art 14 F I '!AF23,2)</f>
        <v>-9733.4699999999993</v>
      </c>
      <c r="Q23" s="56">
        <f>ROUND('PART MES'!$S$4*'COEF Art 14 F I '!AF23,2)</f>
        <v>-23984.67</v>
      </c>
      <c r="R23" s="199">
        <f t="shared" si="0"/>
        <v>13817526.047705831</v>
      </c>
    </row>
    <row r="24" spans="1:18">
      <c r="A24" s="160" t="s">
        <v>18</v>
      </c>
      <c r="B24" s="56">
        <f>ROUND(+'CALCULO GARANTIA'!C23+'CALCULO GARANTIA'!M23,2)</f>
        <v>17354454.609999999</v>
      </c>
      <c r="C24" s="56">
        <f>ROUND(+'CALCULO GARANTIA'!E23+'CALCULO GARANTIA'!N23,2)</f>
        <v>2512252.2799999998</v>
      </c>
      <c r="D24" s="56">
        <f>+'Art.14 Frac.III'!P22</f>
        <v>790088.81080889609</v>
      </c>
      <c r="E24" s="56">
        <f>ROUND(+'PART MES'!$F$6*+'CALCULO GARANTIA'!F23,2)</f>
        <v>389714.93</v>
      </c>
      <c r="F24" s="56">
        <f>ROUND(+'PART MES'!$F$7*+'CALCULO GARANTIA'!H23,2)</f>
        <v>333677.44</v>
      </c>
      <c r="G24" s="56">
        <f>ROUND(+'CALCULO GARANTIA'!J23+'CALCULO GARANTIA'!Q23,2)</f>
        <v>847363.46</v>
      </c>
      <c r="H24" s="56">
        <f>ROUND(+'CALCULO GARANTIA'!K23+'CALCULO GARANTIA'!R23,2)</f>
        <v>79872.070000000007</v>
      </c>
      <c r="I24" s="56">
        <f>ROUND(+'PART MES'!F$12*'COEF Art 14 F II ieps'!L25,2)</f>
        <v>0</v>
      </c>
      <c r="J24" s="56">
        <f>+'ISR MÁYO '!D23</f>
        <v>0</v>
      </c>
      <c r="K24" s="56">
        <f>+ISAI!D21</f>
        <v>152900.07026834198</v>
      </c>
      <c r="L24" s="56">
        <f>ROUND('PART MES'!$O$4*'COEF Art 14 F I '!AF24,2)</f>
        <v>-2212433.91</v>
      </c>
      <c r="M24" s="56">
        <f>ROUND('PART MES'!$O$5*'COEF Art 14 F I '!AF24,2)</f>
        <v>-37448.620000000003</v>
      </c>
      <c r="N24" s="56">
        <f>+'Art.14 Frac.III AJUSTE DEF'!P22</f>
        <v>-107221.92452691964</v>
      </c>
      <c r="O24" s="56">
        <f>ROUND('PART MES'!$O$6*'COEF Art 14 F I '!AF24,2)</f>
        <v>-100989.83</v>
      </c>
      <c r="P24" s="56">
        <f>ROUND('PART MES'!$O$7*'COEF Art 14 F I '!AF24,2)</f>
        <v>-39066.86</v>
      </c>
      <c r="Q24" s="56">
        <f>ROUND('PART MES'!$S$4*'COEF Art 14 F I '!AF24,2)</f>
        <v>-96266.32</v>
      </c>
      <c r="R24" s="199">
        <f t="shared" si="0"/>
        <v>19866896.206550322</v>
      </c>
    </row>
    <row r="25" spans="1:18">
      <c r="A25" s="160" t="s">
        <v>19</v>
      </c>
      <c r="B25" s="56">
        <f>ROUND(+'CALCULO GARANTIA'!C24+'CALCULO GARANTIA'!M24,2)</f>
        <v>2330780.83</v>
      </c>
      <c r="C25" s="56">
        <f>ROUND(+'CALCULO GARANTIA'!E24+'CALCULO GARANTIA'!N24,2)</f>
        <v>330475.28999999998</v>
      </c>
      <c r="D25" s="56">
        <f>+'Art.14 Frac.III'!P23</f>
        <v>4218284.9581208089</v>
      </c>
      <c r="E25" s="56">
        <f>ROUND(+'PART MES'!$F$6*+'CALCULO GARANTIA'!F24,2)</f>
        <v>60503.199999999997</v>
      </c>
      <c r="F25" s="56">
        <f>ROUND(+'PART MES'!$F$7*+'CALCULO GARANTIA'!H24,2)</f>
        <v>51803.39</v>
      </c>
      <c r="G25" s="56">
        <f>ROUND(+'CALCULO GARANTIA'!J24+'CALCULO GARANTIA'!Q24,2)</f>
        <v>96042.25</v>
      </c>
      <c r="H25" s="56">
        <f>ROUND(+'CALCULO GARANTIA'!K24+'CALCULO GARANTIA'!R24,2)</f>
        <v>11881.52</v>
      </c>
      <c r="I25" s="56">
        <f>ROUND(+'PART MES'!F$12*'COEF Art 14 F II ieps'!L26,2)</f>
        <v>0</v>
      </c>
      <c r="J25" s="56">
        <f>+'ISR MÁYO '!D24</f>
        <v>0</v>
      </c>
      <c r="K25" s="56">
        <f>+ISAI!D22</f>
        <v>287.56304498910021</v>
      </c>
      <c r="L25" s="56">
        <f>ROUND('PART MES'!$O$4*'COEF Art 14 F I '!AF25,2)</f>
        <v>-189238.71</v>
      </c>
      <c r="M25" s="56">
        <f>ROUND('PART MES'!$O$5*'COEF Art 14 F I '!AF25,2)</f>
        <v>-3203.14</v>
      </c>
      <c r="N25" s="56">
        <f>+'Art.14 Frac.III AJUSTE DEF'!P23</f>
        <v>-572457.96323784231</v>
      </c>
      <c r="O25" s="56">
        <f>ROUND('PART MES'!$O$6*'COEF Art 14 F I '!AF25,2)</f>
        <v>-8638.08</v>
      </c>
      <c r="P25" s="56">
        <f>ROUND('PART MES'!$O$7*'COEF Art 14 F I '!AF25,2)</f>
        <v>-3341.55</v>
      </c>
      <c r="Q25" s="56">
        <f>ROUND('PART MES'!$S$4*'COEF Art 14 F I '!AF25,2)</f>
        <v>-8234.06</v>
      </c>
      <c r="R25" s="199">
        <f t="shared" si="0"/>
        <v>6314945.4979279563</v>
      </c>
    </row>
    <row r="26" spans="1:18">
      <c r="A26" s="160" t="s">
        <v>20</v>
      </c>
      <c r="B26" s="56">
        <f>ROUND(+'CALCULO GARANTIA'!C25+'CALCULO GARANTIA'!M25,2)</f>
        <v>33241975.100000001</v>
      </c>
      <c r="C26" s="56">
        <f>ROUND(+'CALCULO GARANTIA'!E25+'CALCULO GARANTIA'!N25,2)</f>
        <v>4743745.9400000004</v>
      </c>
      <c r="D26" s="56">
        <f>+'Art.14 Frac.III'!P24</f>
        <v>1092980.5087565181</v>
      </c>
      <c r="E26" s="56">
        <f>ROUND(+'PART MES'!$F$6*+'CALCULO GARANTIA'!F25,2)</f>
        <v>827042.94</v>
      </c>
      <c r="F26" s="56">
        <f>ROUND(+'PART MES'!$F$7*+'CALCULO GARANTIA'!H25,2)</f>
        <v>708121.62</v>
      </c>
      <c r="G26" s="56">
        <f>ROUND(+'CALCULO GARANTIA'!J25+'CALCULO GARANTIA'!Q25,2)</f>
        <v>1447810.67</v>
      </c>
      <c r="H26" s="56">
        <f>ROUND(+'CALCULO GARANTIA'!K25+'CALCULO GARANTIA'!R25,2)</f>
        <v>164384.51</v>
      </c>
      <c r="I26" s="56">
        <f>ROUND(+'PART MES'!F$12*'COEF Art 14 F II ieps'!L27,2)</f>
        <v>0</v>
      </c>
      <c r="J26" s="56">
        <f>+'ISR MÁYO '!D25</f>
        <v>3103113</v>
      </c>
      <c r="K26" s="56">
        <f>+ISAI!D23</f>
        <v>77869.091899698891</v>
      </c>
      <c r="L26" s="56">
        <f>ROUND('PART MES'!$O$4*'COEF Art 14 F I '!AF26,2)</f>
        <v>-3173023.45</v>
      </c>
      <c r="M26" s="56">
        <f>ROUND('PART MES'!$O$5*'COEF Art 14 F I '!AF26,2)</f>
        <v>-53707.98</v>
      </c>
      <c r="N26" s="56">
        <f>+'Art.14 Frac.III AJUSTE DEF'!P24</f>
        <v>-148326.96276169829</v>
      </c>
      <c r="O26" s="56">
        <f>ROUND('PART MES'!$O$6*'COEF Art 14 F I '!AF26,2)</f>
        <v>-144837.35999999999</v>
      </c>
      <c r="P26" s="56">
        <f>ROUND('PART MES'!$O$7*'COEF Art 14 F I '!AF26,2)</f>
        <v>-56028.83</v>
      </c>
      <c r="Q26" s="56">
        <f>ROUND('PART MES'!$S$4*'COEF Art 14 F I '!AF26,2)</f>
        <v>-138063.01</v>
      </c>
      <c r="R26" s="199">
        <f t="shared" si="0"/>
        <v>41693055.787894517</v>
      </c>
    </row>
    <row r="27" spans="1:18">
      <c r="A27" s="160" t="s">
        <v>21</v>
      </c>
      <c r="B27" s="56">
        <f>ROUND(+'CALCULO GARANTIA'!C26+'CALCULO GARANTIA'!M26,2)</f>
        <v>4405371.6900000004</v>
      </c>
      <c r="C27" s="56">
        <f>ROUND(+'CALCULO GARANTIA'!E26+'CALCULO GARANTIA'!N26,2)</f>
        <v>618042.05000000005</v>
      </c>
      <c r="D27" s="56">
        <f>+'Art.14 Frac.III'!P25</f>
        <v>723227.20719316159</v>
      </c>
      <c r="E27" s="56">
        <f>ROUND(+'PART MES'!$F$6*+'CALCULO GARANTIA'!F26,2)</f>
        <v>122109.75999999999</v>
      </c>
      <c r="F27" s="56">
        <f>ROUND(+'PART MES'!$F$7*+'CALCULO GARANTIA'!H26,2)</f>
        <v>104551.48</v>
      </c>
      <c r="G27" s="56">
        <f>ROUND(+'CALCULO GARANTIA'!J26+'CALCULO GARANTIA'!Q26,2)</f>
        <v>164655.73000000001</v>
      </c>
      <c r="H27" s="56">
        <f>ROUND(+'CALCULO GARANTIA'!K26+'CALCULO GARANTIA'!R26,2)</f>
        <v>23553.57</v>
      </c>
      <c r="I27" s="56">
        <f>ROUND(+'PART MES'!F$12*'COEF Art 14 F II ieps'!L28,2)</f>
        <v>0</v>
      </c>
      <c r="J27" s="56">
        <f>+'ISR MÁYO '!D26</f>
        <v>0</v>
      </c>
      <c r="K27" s="56">
        <f>+ISAI!D24</f>
        <v>2499.8564808862156</v>
      </c>
      <c r="L27" s="56">
        <f>ROUND('PART MES'!$O$4*'COEF Art 14 F I '!AF27,2)</f>
        <v>-255183.96</v>
      </c>
      <c r="M27" s="56">
        <f>ROUND('PART MES'!$O$5*'COEF Art 14 F I '!AF27,2)</f>
        <v>-4319.3599999999997</v>
      </c>
      <c r="N27" s="56">
        <f>+'Art.14 Frac.III AJUSTE DEF'!P25</f>
        <v>-98148.223294148818</v>
      </c>
      <c r="O27" s="56">
        <f>ROUND('PART MES'!$O$6*'COEF Art 14 F I '!AF27,2)</f>
        <v>-11648.25</v>
      </c>
      <c r="P27" s="56">
        <f>ROUND('PART MES'!$O$7*'COEF Art 14 F I '!AF27,2)</f>
        <v>-4506</v>
      </c>
      <c r="Q27" s="56">
        <f>ROUND('PART MES'!$S$4*'COEF Art 14 F I '!AF27,2)</f>
        <v>-11103.44</v>
      </c>
      <c r="R27" s="199">
        <f t="shared" si="0"/>
        <v>5779102.1103798989</v>
      </c>
    </row>
    <row r="28" spans="1:18">
      <c r="A28" s="160" t="s">
        <v>22</v>
      </c>
      <c r="B28" s="56">
        <f>ROUND(+'CALCULO GARANTIA'!C27+'CALCULO GARANTIA'!M27,2)</f>
        <v>737266.05</v>
      </c>
      <c r="C28" s="56">
        <f>ROUND(+'CALCULO GARANTIA'!E27+'CALCULO GARANTIA'!N27,2)</f>
        <v>103902.98</v>
      </c>
      <c r="D28" s="56">
        <f>+'Art.14 Frac.III'!P26</f>
        <v>488845.47389440029</v>
      </c>
      <c r="E28" s="56">
        <f>ROUND(+'PART MES'!$F$6*+'CALCULO GARANTIA'!F27,2)</f>
        <v>19882.509999999998</v>
      </c>
      <c r="F28" s="56">
        <f>ROUND(+'PART MES'!$F$7*+'CALCULO GARANTIA'!H27,2)</f>
        <v>17023.59</v>
      </c>
      <c r="G28" s="56">
        <f>ROUND(+'CALCULO GARANTIA'!J27+'CALCULO GARANTIA'!Q27,2)</f>
        <v>28760.17</v>
      </c>
      <c r="H28" s="56">
        <f>ROUND(+'CALCULO GARANTIA'!K27+'CALCULO GARANTIA'!R27,2)</f>
        <v>3863.59</v>
      </c>
      <c r="I28" s="56">
        <f>ROUND(+'PART MES'!F$12*'COEF Art 14 F II ieps'!L29,2)</f>
        <v>0</v>
      </c>
      <c r="J28" s="56">
        <f>+'ISR MÁYO '!D27</f>
        <v>0</v>
      </c>
      <c r="K28" s="56">
        <f>+ISAI!D25</f>
        <v>24.10652479232219</v>
      </c>
      <c r="L28" s="56">
        <f>ROUND('PART MES'!$O$4*'COEF Art 14 F I '!AF28,2)</f>
        <v>-50020.639999999999</v>
      </c>
      <c r="M28" s="56">
        <f>ROUND('PART MES'!$O$5*'COEF Art 14 F I '!AF28,2)</f>
        <v>-846.67</v>
      </c>
      <c r="N28" s="56">
        <f>+'Art.14 Frac.III AJUSTE DEF'!P26</f>
        <v>-66340.583223256908</v>
      </c>
      <c r="O28" s="56">
        <f>ROUND('PART MES'!$O$6*'COEF Art 14 F I '!AF28,2)</f>
        <v>-2283.27</v>
      </c>
      <c r="P28" s="56">
        <f>ROUND('PART MES'!$O$7*'COEF Art 14 F I '!AF28,2)</f>
        <v>-883.26</v>
      </c>
      <c r="Q28" s="56">
        <f>ROUND('PART MES'!$S$4*'COEF Art 14 F I '!AF28,2)</f>
        <v>-2176.4699999999998</v>
      </c>
      <c r="R28" s="199">
        <f t="shared" si="0"/>
        <v>1277017.5771959359</v>
      </c>
    </row>
    <row r="29" spans="1:18">
      <c r="A29" s="160" t="s">
        <v>23</v>
      </c>
      <c r="B29" s="56">
        <f>ROUND(+'CALCULO GARANTIA'!C28+'CALCULO GARANTIA'!M28,2)</f>
        <v>3166663.04</v>
      </c>
      <c r="C29" s="56">
        <f>ROUND(+'CALCULO GARANTIA'!E28+'CALCULO GARANTIA'!N28,2)</f>
        <v>441668.12</v>
      </c>
      <c r="D29" s="56">
        <f>+'Art.14 Frac.III'!P27</f>
        <v>313609.47879893641</v>
      </c>
      <c r="E29" s="56">
        <f>ROUND(+'PART MES'!$F$6*+'CALCULO GARANTIA'!F28,2)</f>
        <v>90827.21</v>
      </c>
      <c r="F29" s="56">
        <f>ROUND(+'PART MES'!$F$7*+'CALCULO GARANTIA'!H28,2)</f>
        <v>77767.08</v>
      </c>
      <c r="G29" s="56">
        <f>ROUND(+'CALCULO GARANTIA'!J28+'CALCULO GARANTIA'!Q28,2)</f>
        <v>111715.36</v>
      </c>
      <c r="H29" s="56">
        <f>ROUND(+'CALCULO GARANTIA'!K28+'CALCULO GARANTIA'!R28,2)</f>
        <v>17362.41</v>
      </c>
      <c r="I29" s="56">
        <f>ROUND(+'PART MES'!F$12*'COEF Art 14 F II ieps'!L30,2)</f>
        <v>0</v>
      </c>
      <c r="J29" s="56">
        <f>+'ISR MÁYO '!D28</f>
        <v>0</v>
      </c>
      <c r="K29" s="56">
        <f>+ISAI!D26</f>
        <v>2.2327594660897159</v>
      </c>
      <c r="L29" s="56">
        <f>ROUND('PART MES'!$O$4*'COEF Art 14 F I '!AF29,2)</f>
        <v>-143081.54999999999</v>
      </c>
      <c r="M29" s="56">
        <f>ROUND('PART MES'!$O$5*'COEF Art 14 F I '!AF29,2)</f>
        <v>-2421.86</v>
      </c>
      <c r="N29" s="56">
        <f>+'Art.14 Frac.III AJUSTE DEF'!P27</f>
        <v>-42559.53432915968</v>
      </c>
      <c r="O29" s="56">
        <f>ROUND('PART MES'!$O$6*'COEF Art 14 F I '!AF29,2)</f>
        <v>-6531.17</v>
      </c>
      <c r="P29" s="56">
        <f>ROUND('PART MES'!$O$7*'COEF Art 14 F I '!AF29,2)</f>
        <v>-2526.5100000000002</v>
      </c>
      <c r="Q29" s="56">
        <f>ROUND('PART MES'!$S$4*'COEF Art 14 F I '!AF29,2)</f>
        <v>-6225.69</v>
      </c>
      <c r="R29" s="199">
        <f t="shared" si="0"/>
        <v>4016268.6172292442</v>
      </c>
    </row>
    <row r="30" spans="1:18">
      <c r="A30" s="160" t="s">
        <v>24</v>
      </c>
      <c r="B30" s="56">
        <f>ROUND(+'CALCULO GARANTIA'!C29+'CALCULO GARANTIA'!M29,2)</f>
        <v>4062328.94</v>
      </c>
      <c r="C30" s="56">
        <f>ROUND(+'CALCULO GARANTIA'!E29+'CALCULO GARANTIA'!N29,2)</f>
        <v>588827.64</v>
      </c>
      <c r="D30" s="56">
        <f>+'Art.14 Frac.III'!P28</f>
        <v>641039.13855363196</v>
      </c>
      <c r="E30" s="56">
        <f>ROUND(+'PART MES'!$F$6*+'CALCULO GARANTIA'!F29,2)</f>
        <v>90329.56</v>
      </c>
      <c r="F30" s="56">
        <f>ROUND(+'PART MES'!$F$7*+'CALCULO GARANTIA'!H29,2)</f>
        <v>77340.98</v>
      </c>
      <c r="G30" s="56">
        <f>ROUND(+'CALCULO GARANTIA'!J29+'CALCULO GARANTIA'!Q29,2)</f>
        <v>200298.03</v>
      </c>
      <c r="H30" s="56">
        <f>ROUND(+'CALCULO GARANTIA'!K29+'CALCULO GARANTIA'!R29,2)</f>
        <v>18569.89</v>
      </c>
      <c r="I30" s="56">
        <f>ROUND(+'PART MES'!F$12*'COEF Art 14 F II ieps'!L31,2)</f>
        <v>0</v>
      </c>
      <c r="J30" s="56">
        <f>+'ISR MÁYO '!D29</f>
        <v>0</v>
      </c>
      <c r="K30" s="56">
        <f>+ISAI!D27</f>
        <v>3518.9871372097341</v>
      </c>
      <c r="L30" s="56">
        <f>ROUND('PART MES'!$O$4*'COEF Art 14 F I '!AF30,2)</f>
        <v>-529715.39</v>
      </c>
      <c r="M30" s="56">
        <f>ROUND('PART MES'!$O$5*'COEF Art 14 F I '!AF30,2)</f>
        <v>-8966.19</v>
      </c>
      <c r="N30" s="56">
        <f>+'Art.14 Frac.III AJUSTE DEF'!P28</f>
        <v>-86994.587434328481</v>
      </c>
      <c r="O30" s="56">
        <f>ROUND('PART MES'!$O$6*'COEF Art 14 F I '!AF30,2)</f>
        <v>-24179.65</v>
      </c>
      <c r="P30" s="56">
        <f>ROUND('PART MES'!$O$7*'COEF Art 14 F I '!AF30,2)</f>
        <v>-9353.64</v>
      </c>
      <c r="Q30" s="56">
        <f>ROUND('PART MES'!$S$4*'COEF Art 14 F I '!AF30,2)</f>
        <v>-23048.71</v>
      </c>
      <c r="R30" s="199">
        <f t="shared" si="0"/>
        <v>4999994.9982565138</v>
      </c>
    </row>
    <row r="31" spans="1:18">
      <c r="A31" s="160" t="s">
        <v>25</v>
      </c>
      <c r="B31" s="56">
        <f>ROUND(+'CALCULO GARANTIA'!C30+'CALCULO GARANTIA'!M30,2)</f>
        <v>52882808.649999999</v>
      </c>
      <c r="C31" s="56">
        <f>ROUND(+'CALCULO GARANTIA'!E30+'CALCULO GARANTIA'!N30,2)</f>
        <v>7462659.1399999997</v>
      </c>
      <c r="D31" s="56">
        <f>+'Art.14 Frac.III'!P29</f>
        <v>1146609.4277698535</v>
      </c>
      <c r="E31" s="56">
        <f>ROUND(+'PART MES'!$F$6*+'CALCULO GARANTIA'!F30,2)</f>
        <v>1414503.64</v>
      </c>
      <c r="F31" s="56">
        <f>ROUND(+'PART MES'!$F$7*+'CALCULO GARANTIA'!H30,2)</f>
        <v>1211110.77</v>
      </c>
      <c r="G31" s="56">
        <f>ROUND(+'CALCULO GARANTIA'!J30+'CALCULO GARANTIA'!Q30,2)</f>
        <v>2088233.45</v>
      </c>
      <c r="H31" s="56">
        <f>ROUND(+'CALCULO GARANTIA'!K30+'CALCULO GARANTIA'!R30,2)</f>
        <v>275483.13</v>
      </c>
      <c r="I31" s="56">
        <f>ROUND(+'PART MES'!F$12*'COEF Art 14 F II ieps'!L32,2)</f>
        <v>0</v>
      </c>
      <c r="J31" s="56">
        <f>+'ISR MÁYO '!D30</f>
        <v>15371599</v>
      </c>
      <c r="K31" s="56">
        <f>+ISAI!D28</f>
        <v>92684.176765751574</v>
      </c>
      <c r="L31" s="56">
        <f>ROUND('PART MES'!$O$4*'COEF Art 14 F I '!AF31,2)</f>
        <v>-3741683.42</v>
      </c>
      <c r="M31" s="56">
        <f>ROUND('PART MES'!$O$5*'COEF Art 14 F I '!AF31,2)</f>
        <v>-63333.37</v>
      </c>
      <c r="N31" s="56">
        <f>+'Art.14 Frac.III AJUSTE DEF'!P29</f>
        <v>-155604.87358418046</v>
      </c>
      <c r="O31" s="56">
        <f>ROUND('PART MES'!$O$6*'COEF Art 14 F I '!AF31,2)</f>
        <v>-170794.69</v>
      </c>
      <c r="P31" s="56">
        <f>ROUND('PART MES'!$O$7*'COEF Art 14 F I '!AF31,2)</f>
        <v>-66070.149999999994</v>
      </c>
      <c r="Q31" s="56">
        <f>ROUND('PART MES'!$S$4*'COEF Art 14 F I '!AF31,2)</f>
        <v>-162806.26</v>
      </c>
      <c r="R31" s="199">
        <f t="shared" si="0"/>
        <v>77585398.620951429</v>
      </c>
    </row>
    <row r="32" spans="1:18">
      <c r="A32" s="160" t="s">
        <v>26</v>
      </c>
      <c r="B32" s="56">
        <f>ROUND(+'CALCULO GARANTIA'!C31+'CALCULO GARANTIA'!M31,2)</f>
        <v>1257519.9099999999</v>
      </c>
      <c r="C32" s="56">
        <f>ROUND(+'CALCULO GARANTIA'!E31+'CALCULO GARANTIA'!N31,2)</f>
        <v>175090.85</v>
      </c>
      <c r="D32" s="56">
        <f>+'Art.14 Frac.III'!P30</f>
        <v>372916.47465797537</v>
      </c>
      <c r="E32" s="56">
        <f>ROUND(+'PART MES'!$F$6*+'CALCULO GARANTIA'!F31,2)</f>
        <v>36422.89</v>
      </c>
      <c r="F32" s="56">
        <f>ROUND(+'PART MES'!$F$7*+'CALCULO GARANTIA'!H31,2)</f>
        <v>31185.599999999999</v>
      </c>
      <c r="G32" s="56">
        <f>ROUND(+'CALCULO GARANTIA'!J31+'CALCULO GARANTIA'!Q31,2)</f>
        <v>43592.51</v>
      </c>
      <c r="H32" s="56">
        <f>ROUND(+'CALCULO GARANTIA'!K31+'CALCULO GARANTIA'!R31,2)</f>
        <v>6944.93</v>
      </c>
      <c r="I32" s="56">
        <f>ROUND(+'PART MES'!F$12*'COEF Art 14 F II ieps'!L33,2)</f>
        <v>0</v>
      </c>
      <c r="J32" s="56">
        <f>+'ISR MÁYO '!D31</f>
        <v>0</v>
      </c>
      <c r="K32" s="56">
        <f>+ISAI!D29</f>
        <v>17.773129222146476</v>
      </c>
      <c r="L32" s="56">
        <f>ROUND('PART MES'!$O$4*'COEF Art 14 F I '!AF32,2)</f>
        <v>-52135.86</v>
      </c>
      <c r="M32" s="56">
        <f>ROUND('PART MES'!$O$5*'COEF Art 14 F I '!AF32,2)</f>
        <v>-882.47</v>
      </c>
      <c r="N32" s="56">
        <f>+'Art.14 Frac.III AJUSTE DEF'!P30</f>
        <v>-50608.009572602037</v>
      </c>
      <c r="O32" s="56">
        <f>ROUND('PART MES'!$O$6*'COEF Art 14 F I '!AF32,2)</f>
        <v>-2379.8200000000002</v>
      </c>
      <c r="P32" s="56">
        <f>ROUND('PART MES'!$O$7*'COEF Art 14 F I '!AF32,2)</f>
        <v>-920.61</v>
      </c>
      <c r="Q32" s="56">
        <f>ROUND('PART MES'!$S$4*'COEF Art 14 F I '!AF32,2)</f>
        <v>-2268.5100000000002</v>
      </c>
      <c r="R32" s="199">
        <f t="shared" si="0"/>
        <v>1814495.6582145952</v>
      </c>
    </row>
    <row r="33" spans="1:18">
      <c r="A33" s="160" t="s">
        <v>27</v>
      </c>
      <c r="B33" s="56">
        <f>ROUND(+'CALCULO GARANTIA'!C32+'CALCULO GARANTIA'!M32,2)</f>
        <v>2186432.16</v>
      </c>
      <c r="C33" s="56">
        <f>ROUND(+'CALCULO GARANTIA'!E32+'CALCULO GARANTIA'!N32,2)</f>
        <v>304964.31</v>
      </c>
      <c r="D33" s="56">
        <f>+'Art.14 Frac.III'!P31</f>
        <v>317468.60993401502</v>
      </c>
      <c r="E33" s="56">
        <f>ROUND(+'PART MES'!$F$6*+'CALCULO GARANTIA'!F32,2)</f>
        <v>62696.37</v>
      </c>
      <c r="F33" s="56">
        <f>ROUND(+'PART MES'!$F$7*+'CALCULO GARANTIA'!H32,2)</f>
        <v>53681.2</v>
      </c>
      <c r="G33" s="56">
        <f>ROUND(+'CALCULO GARANTIA'!J32+'CALCULO GARANTIA'!Q32,2)</f>
        <v>77168.06</v>
      </c>
      <c r="H33" s="56">
        <f>ROUND(+'CALCULO GARANTIA'!K32+'CALCULO GARANTIA'!R32,2)</f>
        <v>11985.73</v>
      </c>
      <c r="I33" s="56">
        <f>ROUND(+'PART MES'!F$12*'COEF Art 14 F II ieps'!L34,2)</f>
        <v>0</v>
      </c>
      <c r="J33" s="56">
        <f>+'ISR MÁYO '!D32</f>
        <v>724954</v>
      </c>
      <c r="K33" s="56">
        <f>+ISAI!D30</f>
        <v>103.53491117939326</v>
      </c>
      <c r="L33" s="56">
        <f>ROUND('PART MES'!$O$4*'COEF Art 14 F I '!AF33,2)</f>
        <v>-98996.73</v>
      </c>
      <c r="M33" s="56">
        <f>ROUND('PART MES'!$O$5*'COEF Art 14 F I '!AF33,2)</f>
        <v>-1675.66</v>
      </c>
      <c r="N33" s="56">
        <f>+'Art.14 Frac.III AJUSTE DEF'!P31</f>
        <v>-43083.251994369049</v>
      </c>
      <c r="O33" s="56">
        <f>ROUND('PART MES'!$O$6*'COEF Art 14 F I '!AF33,2)</f>
        <v>-4518.8500000000004</v>
      </c>
      <c r="P33" s="56">
        <f>ROUND('PART MES'!$O$7*'COEF Art 14 F I '!AF33,2)</f>
        <v>-1748.07</v>
      </c>
      <c r="Q33" s="56">
        <f>ROUND('PART MES'!$S$4*'COEF Art 14 F I '!AF33,2)</f>
        <v>-4307.5</v>
      </c>
      <c r="R33" s="199">
        <f t="shared" si="0"/>
        <v>3585123.912850826</v>
      </c>
    </row>
    <row r="34" spans="1:18">
      <c r="A34" s="160" t="s">
        <v>28</v>
      </c>
      <c r="B34" s="56">
        <f>ROUND(+'CALCULO GARANTIA'!C33+'CALCULO GARANTIA'!M33,2)</f>
        <v>1297182.77</v>
      </c>
      <c r="C34" s="56">
        <f>ROUND(+'CALCULO GARANTIA'!E33+'CALCULO GARANTIA'!N33,2)</f>
        <v>181962.39</v>
      </c>
      <c r="D34" s="56">
        <f>+'Art.14 Frac.III'!P32</f>
        <v>979206.45861489151</v>
      </c>
      <c r="E34" s="56">
        <f>ROUND(+'PART MES'!$F$6*+'CALCULO GARANTIA'!F33,2)</f>
        <v>35982.94</v>
      </c>
      <c r="F34" s="56">
        <f>ROUND(+'PART MES'!$F$7*+'CALCULO GARANTIA'!H33,2)</f>
        <v>30808.92</v>
      </c>
      <c r="G34" s="56">
        <f>ROUND(+'CALCULO GARANTIA'!J33+'CALCULO GARANTIA'!Q33,2)</f>
        <v>48424.61</v>
      </c>
      <c r="H34" s="56">
        <f>ROUND(+'CALCULO GARANTIA'!K33+'CALCULO GARANTIA'!R33,2)</f>
        <v>6939.3</v>
      </c>
      <c r="I34" s="56">
        <f>ROUND(+'PART MES'!F$12*'COEF Art 14 F II ieps'!L35,2)</f>
        <v>0</v>
      </c>
      <c r="J34" s="56">
        <f>+'ISR MÁYO '!D33</f>
        <v>0</v>
      </c>
      <c r="K34" s="56">
        <f>+ISAI!D31</f>
        <v>139.9663743538851</v>
      </c>
      <c r="L34" s="56">
        <f>ROUND('PART MES'!$O$4*'COEF Art 14 F I '!AF34,2)</f>
        <v>-74781.399999999994</v>
      </c>
      <c r="M34" s="56">
        <f>ROUND('PART MES'!$O$5*'COEF Art 14 F I '!AF34,2)</f>
        <v>-1265.78</v>
      </c>
      <c r="N34" s="56">
        <f>+'Art.14 Frac.III AJUSTE DEF'!P32</f>
        <v>-132886.83444888497</v>
      </c>
      <c r="O34" s="56">
        <f>ROUND('PART MES'!$O$6*'COEF Art 14 F I '!AF34,2)</f>
        <v>-3413.51</v>
      </c>
      <c r="P34" s="56">
        <f>ROUND('PART MES'!$O$7*'COEF Art 14 F I '!AF34,2)</f>
        <v>-1320.48</v>
      </c>
      <c r="Q34" s="56">
        <f>ROUND('PART MES'!$S$4*'COEF Art 14 F I '!AF34,2)</f>
        <v>-3253.85</v>
      </c>
      <c r="R34" s="199">
        <f t="shared" si="0"/>
        <v>2363725.5005403603</v>
      </c>
    </row>
    <row r="35" spans="1:18">
      <c r="A35" s="160" t="s">
        <v>29</v>
      </c>
      <c r="B35" s="56">
        <f>ROUND(+'CALCULO GARANTIA'!C34+'CALCULO GARANTIA'!M34,2)</f>
        <v>1769588.77</v>
      </c>
      <c r="C35" s="56">
        <f>ROUND(+'CALCULO GARANTIA'!E34+'CALCULO GARANTIA'!N34,2)</f>
        <v>247290.8</v>
      </c>
      <c r="D35" s="56">
        <f>+'Art.14 Frac.III'!P33</f>
        <v>429526.03547750431</v>
      </c>
      <c r="E35" s="56">
        <f>ROUND(+'PART MES'!$F$6*+'CALCULO GARANTIA'!F34,2)</f>
        <v>50192.23</v>
      </c>
      <c r="F35" s="56">
        <f>ROUND(+'PART MES'!$F$7*+'CALCULO GARANTIA'!H34,2)</f>
        <v>42975.040000000001</v>
      </c>
      <c r="G35" s="56">
        <f>ROUND(+'CALCULO GARANTIA'!J34+'CALCULO GARANTIA'!Q34,2)</f>
        <v>63655.12</v>
      </c>
      <c r="H35" s="56">
        <f>ROUND(+'CALCULO GARANTIA'!K34+'CALCULO GARANTIA'!R34,2)</f>
        <v>9622.7199999999993</v>
      </c>
      <c r="I35" s="56">
        <f>ROUND(+'PART MES'!F$12*'COEF Art 14 F II ieps'!L36,2)</f>
        <v>0</v>
      </c>
      <c r="J35" s="56">
        <f>+'ISR MÁYO '!D34</f>
        <v>80281</v>
      </c>
      <c r="K35" s="56">
        <f>+ISAI!D32</f>
        <v>633.440117107785</v>
      </c>
      <c r="L35" s="56">
        <f>ROUND('PART MES'!$O$4*'COEF Art 14 F I '!AF35,2)</f>
        <v>-87407.46</v>
      </c>
      <c r="M35" s="56">
        <f>ROUND('PART MES'!$O$5*'COEF Art 14 F I '!AF35,2)</f>
        <v>-1479.5</v>
      </c>
      <c r="N35" s="56">
        <f>+'Art.14 Frac.III AJUSTE DEF'!P33</f>
        <v>-58290.419416476841</v>
      </c>
      <c r="O35" s="56">
        <f>ROUND('PART MES'!$O$6*'COEF Art 14 F I '!AF35,2)</f>
        <v>-3989.84</v>
      </c>
      <c r="P35" s="56">
        <f>ROUND('PART MES'!$O$7*'COEF Art 14 F I '!AF35,2)</f>
        <v>-1543.43</v>
      </c>
      <c r="Q35" s="56">
        <f>ROUND('PART MES'!$S$4*'COEF Art 14 F I '!AF35,2)</f>
        <v>-3803.23</v>
      </c>
      <c r="R35" s="199">
        <f t="shared" si="0"/>
        <v>2537251.2761781355</v>
      </c>
    </row>
    <row r="36" spans="1:18">
      <c r="A36" s="160" t="s">
        <v>30</v>
      </c>
      <c r="B36" s="56">
        <f>ROUND(+'CALCULO GARANTIA'!C35+'CALCULO GARANTIA'!M35,2)</f>
        <v>1705033.12</v>
      </c>
      <c r="C36" s="56">
        <f>ROUND(+'CALCULO GARANTIA'!E35+'CALCULO GARANTIA'!N35,2)</f>
        <v>238717.28</v>
      </c>
      <c r="D36" s="56">
        <f>+'Art.14 Frac.III'!P34</f>
        <v>404288.0872240389</v>
      </c>
      <c r="E36" s="56">
        <f>ROUND(+'PART MES'!$F$6*+'CALCULO GARANTIA'!F35,2)</f>
        <v>47833.84</v>
      </c>
      <c r="F36" s="56">
        <f>ROUND(+'PART MES'!$F$7*+'CALCULO GARANTIA'!H35,2)</f>
        <v>40955.760000000002</v>
      </c>
      <c r="G36" s="56">
        <f>ROUND(+'CALCULO GARANTIA'!J35+'CALCULO GARANTIA'!Q35,2)</f>
        <v>62480.480000000003</v>
      </c>
      <c r="H36" s="56">
        <f>ROUND(+'CALCULO GARANTIA'!K35+'CALCULO GARANTIA'!R35,2)</f>
        <v>9197.1</v>
      </c>
      <c r="I36" s="56">
        <f>ROUND(+'PART MES'!F$12*'COEF Art 14 F II ieps'!L37,2)</f>
        <v>0</v>
      </c>
      <c r="J36" s="56">
        <f>+'ISR MÁYO '!D35</f>
        <v>156849.53205084981</v>
      </c>
      <c r="K36" s="56">
        <f>+ISAI!D33</f>
        <v>12.267037238659046</v>
      </c>
      <c r="L36" s="56">
        <f>ROUND('PART MES'!$O$4*'COEF Art 14 F I '!AF36,2)</f>
        <v>-91189.68</v>
      </c>
      <c r="M36" s="56">
        <f>ROUND('PART MES'!$O$5*'COEF Art 14 F I '!AF36,2)</f>
        <v>-1543.52</v>
      </c>
      <c r="N36" s="56">
        <f>+'Art.14 Frac.III AJUSTE DEF'!P34</f>
        <v>-54865.410296202252</v>
      </c>
      <c r="O36" s="56">
        <f>ROUND('PART MES'!$O$6*'COEF Art 14 F I '!AF36,2)</f>
        <v>-4162.49</v>
      </c>
      <c r="P36" s="56">
        <f>ROUND('PART MES'!$O$7*'COEF Art 14 F I '!AF36,2)</f>
        <v>-1610.22</v>
      </c>
      <c r="Q36" s="56">
        <f>ROUND('PART MES'!$S$4*'COEF Art 14 F I '!AF36,2)</f>
        <v>-3967.8</v>
      </c>
      <c r="R36" s="199">
        <f t="shared" si="0"/>
        <v>2508028.3460159246</v>
      </c>
    </row>
    <row r="37" spans="1:18">
      <c r="A37" s="160" t="s">
        <v>31</v>
      </c>
      <c r="B37" s="56">
        <f>ROUND(+'CALCULO GARANTIA'!C36+'CALCULO GARANTIA'!M36,2)</f>
        <v>20239418.52</v>
      </c>
      <c r="C37" s="56">
        <f>ROUND(+'CALCULO GARANTIA'!E36+'CALCULO GARANTIA'!N36,2)</f>
        <v>2939131.23</v>
      </c>
      <c r="D37" s="56">
        <f>+'Art.14 Frac.III'!P35</f>
        <v>0</v>
      </c>
      <c r="E37" s="56">
        <f>ROUND(+'PART MES'!$F$6*+'CALCULO GARANTIA'!F36,2)</f>
        <v>443609.36</v>
      </c>
      <c r="F37" s="56">
        <f>ROUND(+'PART MES'!$F$7*+'CALCULO GARANTIA'!H36,2)</f>
        <v>379822.33</v>
      </c>
      <c r="G37" s="56">
        <f>ROUND(+'CALCULO GARANTIA'!J36+'CALCULO GARANTIA'!Q36,2)</f>
        <v>1011926.13</v>
      </c>
      <c r="H37" s="56">
        <f>ROUND(+'CALCULO GARANTIA'!K36+'CALCULO GARANTIA'!R36,2)</f>
        <v>91609.66</v>
      </c>
      <c r="I37" s="56">
        <f>ROUND(+'PART MES'!F$12*'COEF Art 14 F II ieps'!L38,2)</f>
        <v>0</v>
      </c>
      <c r="J37" s="56">
        <f>+'ISR MÁYO '!D36</f>
        <v>0</v>
      </c>
      <c r="K37" s="56">
        <f>+ISAI!D34</f>
        <v>48876.774885515901</v>
      </c>
      <c r="L37" s="56">
        <f>ROUND('PART MES'!$O$4*'COEF Art 14 F I '!AF37,2)</f>
        <v>-2724187.13</v>
      </c>
      <c r="M37" s="56">
        <f>ROUND('PART MES'!$O$5*'COEF Art 14 F I '!AF37,2)</f>
        <v>-46110.78</v>
      </c>
      <c r="N37" s="56">
        <f>+'Art.14 Frac.III AJUSTE DEF'!P35</f>
        <v>0</v>
      </c>
      <c r="O37" s="56">
        <f>ROUND('PART MES'!$O$6*'COEF Art 14 F I '!AF37,2)</f>
        <v>-124349.56</v>
      </c>
      <c r="P37" s="56">
        <f>ROUND('PART MES'!$O$7*'COEF Art 14 F I '!AF37,2)</f>
        <v>-48103.34</v>
      </c>
      <c r="Q37" s="56">
        <f>ROUND('PART MES'!$S$4*'COEF Art 14 F I '!AF37,2)</f>
        <v>-118533.47</v>
      </c>
      <c r="R37" s="199">
        <f t="shared" si="0"/>
        <v>22093109.724885516</v>
      </c>
    </row>
    <row r="38" spans="1:18">
      <c r="A38" s="160" t="s">
        <v>32</v>
      </c>
      <c r="B38" s="56">
        <f>ROUND(+'CALCULO GARANTIA'!C37+'CALCULO GARANTIA'!M37,2)</f>
        <v>3175274.66</v>
      </c>
      <c r="C38" s="56">
        <f>ROUND(+'CALCULO GARANTIA'!E37+'CALCULO GARANTIA'!N37,2)</f>
        <v>447582.7</v>
      </c>
      <c r="D38" s="56">
        <f>+'Art.14 Frac.III'!P36</f>
        <v>366763.71973791817</v>
      </c>
      <c r="E38" s="56">
        <f>ROUND(+'PART MES'!$F$6*+'CALCULO GARANTIA'!F37,2)</f>
        <v>85523.41</v>
      </c>
      <c r="F38" s="56">
        <f>ROUND(+'PART MES'!$F$7*+'CALCULO GARANTIA'!H37,2)</f>
        <v>73225.919999999998</v>
      </c>
      <c r="G38" s="56">
        <f>ROUND(+'CALCULO GARANTIA'!J37+'CALCULO GARANTIA'!Q37,2)</f>
        <v>124097.93</v>
      </c>
      <c r="H38" s="56">
        <f>ROUND(+'CALCULO GARANTIA'!K37+'CALCULO GARANTIA'!R37,2)</f>
        <v>16624.650000000001</v>
      </c>
      <c r="I38" s="56">
        <f>ROUND(+'PART MES'!F$12*'COEF Art 14 F II ieps'!L39,2)</f>
        <v>0</v>
      </c>
      <c r="J38" s="56">
        <f>+'ISR MÁYO '!D37</f>
        <v>134323</v>
      </c>
      <c r="K38" s="56">
        <f>+ISAI!D35</f>
        <v>1326.2197084365666</v>
      </c>
      <c r="L38" s="56">
        <f>ROUND('PART MES'!$O$4*'COEF Art 14 F I '!AF38,2)</f>
        <v>-216845.18</v>
      </c>
      <c r="M38" s="56">
        <f>ROUND('PART MES'!$O$5*'COEF Art 14 F I '!AF38,2)</f>
        <v>-3670.42</v>
      </c>
      <c r="N38" s="56">
        <f>+'Art.14 Frac.III AJUSTE DEF'!P36</f>
        <v>-49773.027207777013</v>
      </c>
      <c r="O38" s="56">
        <f>ROUND('PART MES'!$O$6*'COEF Art 14 F I '!AF38,2)</f>
        <v>-9898.2199999999993</v>
      </c>
      <c r="P38" s="56">
        <f>ROUND('PART MES'!$O$7*'COEF Art 14 F I '!AF38,2)</f>
        <v>-3829.02</v>
      </c>
      <c r="Q38" s="56">
        <f>ROUND('PART MES'!$S$4*'COEF Art 14 F I '!AF38,2)</f>
        <v>-9435.26</v>
      </c>
      <c r="R38" s="199">
        <f t="shared" si="0"/>
        <v>4131291.0822385782</v>
      </c>
    </row>
    <row r="39" spans="1:18">
      <c r="A39" s="160" t="s">
        <v>33</v>
      </c>
      <c r="B39" s="56">
        <f>ROUND(+'CALCULO GARANTIA'!C38+'CALCULO GARANTIA'!M38,2)</f>
        <v>11198536.369999999</v>
      </c>
      <c r="C39" s="56">
        <f>ROUND(+'CALCULO GARANTIA'!E38+'CALCULO GARANTIA'!N38,2)</f>
        <v>1568392.39</v>
      </c>
      <c r="D39" s="56">
        <f>+'Art.14 Frac.III'!P37</f>
        <v>578442.40113055264</v>
      </c>
      <c r="E39" s="56">
        <f>ROUND(+'PART MES'!$F$6*+'CALCULO GARANTIA'!F38,2)</f>
        <v>313563.65999999997</v>
      </c>
      <c r="F39" s="56">
        <f>ROUND(+'PART MES'!$F$7*+'CALCULO GARANTIA'!H38,2)</f>
        <v>268476.03999999998</v>
      </c>
      <c r="G39" s="56">
        <f>ROUND(+'CALCULO GARANTIA'!J38+'CALCULO GARANTIA'!Q38,2)</f>
        <v>411685.14</v>
      </c>
      <c r="H39" s="56">
        <f>ROUND(+'CALCULO GARANTIA'!K38+'CALCULO GARANTIA'!R38,2)</f>
        <v>60320.26</v>
      </c>
      <c r="I39" s="56">
        <f>ROUND(+'PART MES'!F$12*'COEF Art 14 F II ieps'!L40,2)</f>
        <v>0</v>
      </c>
      <c r="J39" s="56">
        <f>+'ISR MÁYO '!D38</f>
        <v>1151457</v>
      </c>
      <c r="K39" s="56">
        <f>+ISAI!D36</f>
        <v>5141.9605512233729</v>
      </c>
      <c r="L39" s="56">
        <f>ROUND('PART MES'!$O$4*'COEF Art 14 F I '!AF39,2)</f>
        <v>-606932.56999999995</v>
      </c>
      <c r="M39" s="56">
        <f>ROUND('PART MES'!$O$5*'COEF Art 14 F I '!AF39,2)</f>
        <v>-10273.209999999999</v>
      </c>
      <c r="N39" s="56">
        <f>+'Art.14 Frac.III AJUSTE DEF'!P37</f>
        <v>-78499.665643527114</v>
      </c>
      <c r="O39" s="56">
        <f>ROUND('PART MES'!$O$6*'COEF Art 14 F I '!AF39,2)</f>
        <v>-27704.34</v>
      </c>
      <c r="P39" s="56">
        <f>ROUND('PART MES'!$O$7*'COEF Art 14 F I '!AF39,2)</f>
        <v>-10717.13</v>
      </c>
      <c r="Q39" s="56">
        <f>ROUND('PART MES'!$S$4*'COEF Art 14 F I '!AF39,2)</f>
        <v>-26408.55</v>
      </c>
      <c r="R39" s="199">
        <f t="shared" si="0"/>
        <v>14795479.756038247</v>
      </c>
    </row>
    <row r="40" spans="1:18">
      <c r="A40" s="160" t="s">
        <v>34</v>
      </c>
      <c r="B40" s="56">
        <f>ROUND(+'CALCULO GARANTIA'!C39+'CALCULO GARANTIA'!M39,2)</f>
        <v>2344434.13</v>
      </c>
      <c r="C40" s="56">
        <f>ROUND(+'CALCULO GARANTIA'!E39+'CALCULO GARANTIA'!N39,2)</f>
        <v>327276.93</v>
      </c>
      <c r="D40" s="56">
        <f>+'Art.14 Frac.III'!P38</f>
        <v>533650.46948518918</v>
      </c>
      <c r="E40" s="56">
        <f>ROUND(+'PART MES'!$F$6*+'CALCULO GARANTIA'!F39,2)</f>
        <v>66903.899999999994</v>
      </c>
      <c r="F40" s="56">
        <f>ROUND(+'PART MES'!$F$7*+'CALCULO GARANTIA'!H39,2)</f>
        <v>57283.73</v>
      </c>
      <c r="G40" s="56">
        <f>ROUND(+'CALCULO GARANTIA'!J39+'CALCULO GARANTIA'!Q39,2)</f>
        <v>83447.89</v>
      </c>
      <c r="H40" s="56">
        <f>ROUND(+'CALCULO GARANTIA'!K39+'CALCULO GARANTIA'!R39,2)</f>
        <v>12806.17</v>
      </c>
      <c r="I40" s="56">
        <f>ROUND(+'PART MES'!F$12*'COEF Art 14 F II ieps'!L41,2)</f>
        <v>0</v>
      </c>
      <c r="J40" s="56">
        <f>+'ISR MÁYO '!D39</f>
        <v>0</v>
      </c>
      <c r="K40" s="56">
        <f>+ISAI!D37</f>
        <v>1511.5487859804537</v>
      </c>
      <c r="L40" s="56">
        <f>ROUND('PART MES'!$O$4*'COEF Art 14 F I '!AF40,2)</f>
        <v>-110423.03999999999</v>
      </c>
      <c r="M40" s="56">
        <f>ROUND('PART MES'!$O$5*'COEF Art 14 F I '!AF40,2)</f>
        <v>-1869.07</v>
      </c>
      <c r="N40" s="56">
        <f>+'Art.14 Frac.III AJUSTE DEF'!P38</f>
        <v>-72421.010878910063</v>
      </c>
      <c r="O40" s="56">
        <f>ROUND('PART MES'!$O$6*'COEF Art 14 F I '!AF40,2)</f>
        <v>-5040.42</v>
      </c>
      <c r="P40" s="56">
        <f>ROUND('PART MES'!$O$7*'COEF Art 14 F I '!AF40,2)</f>
        <v>-1949.84</v>
      </c>
      <c r="Q40" s="56">
        <f>ROUND('PART MES'!$S$4*'COEF Art 14 F I '!AF40,2)</f>
        <v>-4804.67</v>
      </c>
      <c r="R40" s="199">
        <f t="shared" si="0"/>
        <v>3230806.7173922602</v>
      </c>
    </row>
    <row r="41" spans="1:18">
      <c r="A41" s="160" t="s">
        <v>35</v>
      </c>
      <c r="B41" s="56">
        <f>ROUND(+'CALCULO GARANTIA'!C40+'CALCULO GARANTIA'!M40,2)</f>
        <v>2051025.36</v>
      </c>
      <c r="C41" s="56">
        <f>ROUND(+'CALCULO GARANTIA'!E40+'CALCULO GARANTIA'!N40,2)</f>
        <v>281411.88</v>
      </c>
      <c r="D41" s="56">
        <f>+'Art.14 Frac.III'!P39</f>
        <v>465626.31526892586</v>
      </c>
      <c r="E41" s="56">
        <f>ROUND(+'PART MES'!$F$6*+'CALCULO GARANTIA'!F40,2)</f>
        <v>64308.25</v>
      </c>
      <c r="F41" s="56">
        <f>ROUND(+'PART MES'!$F$7*+'CALCULO GARANTIA'!H40,2)</f>
        <v>55061.31</v>
      </c>
      <c r="G41" s="56">
        <f>ROUND(+'CALCULO GARANTIA'!J40+'CALCULO GARANTIA'!Q40,2)</f>
        <v>60432.32</v>
      </c>
      <c r="H41" s="56">
        <f>ROUND(+'CALCULO GARANTIA'!K40+'CALCULO GARANTIA'!R40,2)</f>
        <v>12020.49</v>
      </c>
      <c r="I41" s="56">
        <f>ROUND(+'PART MES'!F$12*'COEF Art 14 F II ieps'!L42,2)</f>
        <v>0</v>
      </c>
      <c r="J41" s="56">
        <f>+'ISR MÁYO '!D40</f>
        <v>142588</v>
      </c>
      <c r="K41" s="56">
        <f>+ISAI!D38</f>
        <v>53.520239996590625</v>
      </c>
      <c r="L41" s="56">
        <f>ROUND('PART MES'!$O$4*'COEF Art 14 F I '!AF41,2)</f>
        <v>-20232.87</v>
      </c>
      <c r="M41" s="56">
        <f>ROUND('PART MES'!$O$5*'COEF Art 14 F I '!AF41,2)</f>
        <v>-342.47</v>
      </c>
      <c r="N41" s="56">
        <f>+'Art.14 Frac.III AJUSTE DEF'!P39</f>
        <v>-63189.541416741093</v>
      </c>
      <c r="O41" s="56">
        <f>ROUND('PART MES'!$O$6*'COEF Art 14 F I '!AF41,2)</f>
        <v>-923.56</v>
      </c>
      <c r="P41" s="56">
        <f>ROUND('PART MES'!$O$7*'COEF Art 14 F I '!AF41,2)</f>
        <v>-357.27</v>
      </c>
      <c r="Q41" s="56">
        <f>ROUND('PART MES'!$S$4*'COEF Art 14 F I '!AF41,2)</f>
        <v>-880.36</v>
      </c>
      <c r="R41" s="199">
        <f t="shared" si="0"/>
        <v>3046601.3740921817</v>
      </c>
    </row>
    <row r="42" spans="1:18">
      <c r="A42" s="160" t="s">
        <v>36</v>
      </c>
      <c r="B42" s="56">
        <f>ROUND(+'CALCULO GARANTIA'!C41+'CALCULO GARANTIA'!M41,2)</f>
        <v>2527149.14</v>
      </c>
      <c r="C42" s="56">
        <f>ROUND(+'CALCULO GARANTIA'!E41+'CALCULO GARANTIA'!N41,2)</f>
        <v>355259.32</v>
      </c>
      <c r="D42" s="56">
        <f>+'Art.14 Frac.III'!P40</f>
        <v>741911.2961148984</v>
      </c>
      <c r="E42" s="56">
        <f>ROUND(+'PART MES'!$F$6*+'CALCULO GARANTIA'!F41,2)</f>
        <v>69202.44</v>
      </c>
      <c r="F42" s="56">
        <f>ROUND(+'PART MES'!$F$7*+'CALCULO GARANTIA'!H41,2)</f>
        <v>59251.75</v>
      </c>
      <c r="G42" s="56">
        <f>ROUND(+'CALCULO GARANTIA'!J41+'CALCULO GARANTIA'!Q41,2)</f>
        <v>96296.06</v>
      </c>
      <c r="H42" s="56">
        <f>ROUND(+'CALCULO GARANTIA'!K41+'CALCULO GARANTIA'!R41,2)</f>
        <v>13391.9</v>
      </c>
      <c r="I42" s="56">
        <f>ROUND(+'PART MES'!F$12*'COEF Art 14 F II ieps'!L43,2)</f>
        <v>0</v>
      </c>
      <c r="J42" s="56">
        <f>+'ISR MÁYO '!D41</f>
        <v>637212</v>
      </c>
      <c r="K42" s="56">
        <f>+ISAI!D39</f>
        <v>0.95213192261498969</v>
      </c>
      <c r="L42" s="56">
        <f>ROUND('PART MES'!$O$4*'COEF Art 14 F I '!AF42,2)</f>
        <v>-157570.29999999999</v>
      </c>
      <c r="M42" s="56">
        <f>ROUND('PART MES'!$O$5*'COEF Art 14 F I '!AF42,2)</f>
        <v>-2667.1</v>
      </c>
      <c r="N42" s="56">
        <f>+'Art.14 Frac.III AJUSTE DEF'!P40</f>
        <v>-100683.81669176914</v>
      </c>
      <c r="O42" s="56">
        <f>ROUND('PART MES'!$O$6*'COEF Art 14 F I '!AF42,2)</f>
        <v>-7192.53</v>
      </c>
      <c r="P42" s="56">
        <f>ROUND('PART MES'!$O$7*'COEF Art 14 F I '!AF42,2)</f>
        <v>-2782.36</v>
      </c>
      <c r="Q42" s="56">
        <f>ROUND('PART MES'!$S$4*'COEF Art 14 F I '!AF42,2)</f>
        <v>-6856.12</v>
      </c>
      <c r="R42" s="199">
        <f t="shared" si="0"/>
        <v>4221922.6315550515</v>
      </c>
    </row>
    <row r="43" spans="1:18">
      <c r="A43" s="160" t="s">
        <v>37</v>
      </c>
      <c r="B43" s="56">
        <f>ROUND(+'CALCULO GARANTIA'!C42+'CALCULO GARANTIA'!M42,2)</f>
        <v>3447726.15</v>
      </c>
      <c r="C43" s="56">
        <f>ROUND(+'CALCULO GARANTIA'!E42+'CALCULO GARANTIA'!N42,2)</f>
        <v>484078.87</v>
      </c>
      <c r="D43" s="56">
        <f>+'Art.14 Frac.III'!P41</f>
        <v>238968.9140041949</v>
      </c>
      <c r="E43" s="56">
        <f>ROUND(+'PART MES'!$F$6*+'CALCULO GARANTIA'!F42,2)</f>
        <v>95108.91</v>
      </c>
      <c r="F43" s="56">
        <f>ROUND(+'PART MES'!$F$7*+'CALCULO GARANTIA'!H42,2)</f>
        <v>81433.11</v>
      </c>
      <c r="G43" s="56">
        <f>ROUND(+'CALCULO GARANTIA'!J42+'CALCULO GARANTIA'!Q42,2)</f>
        <v>129855.94</v>
      </c>
      <c r="H43" s="56">
        <f>ROUND(+'CALCULO GARANTIA'!K42+'CALCULO GARANTIA'!R42,2)</f>
        <v>18368.91</v>
      </c>
      <c r="I43" s="56">
        <f>ROUND(+'PART MES'!F$12*'COEF Art 14 F II ieps'!L44,2)</f>
        <v>0</v>
      </c>
      <c r="J43" s="56">
        <f>+'ISR MÁYO '!D42</f>
        <v>188647</v>
      </c>
      <c r="K43" s="56">
        <f>+ISAI!D40</f>
        <v>398.61932835572514</v>
      </c>
      <c r="L43" s="56">
        <f>ROUND('PART MES'!$O$4*'COEF Art 14 F I '!AF43,2)</f>
        <v>-205745.68</v>
      </c>
      <c r="M43" s="56">
        <f>ROUND('PART MES'!$O$5*'COEF Art 14 F I '!AF43,2)</f>
        <v>-3482.54</v>
      </c>
      <c r="N43" s="56">
        <f>+'Art.14 Frac.III AJUSTE DEF'!P41</f>
        <v>-32430.160396025738</v>
      </c>
      <c r="O43" s="56">
        <f>ROUND('PART MES'!$O$6*'COEF Art 14 F I '!AF43,2)</f>
        <v>-9391.57</v>
      </c>
      <c r="P43" s="56">
        <f>ROUND('PART MES'!$O$7*'COEF Art 14 F I '!AF43,2)</f>
        <v>-3633.03</v>
      </c>
      <c r="Q43" s="56">
        <f>ROUND('PART MES'!$S$4*'COEF Art 14 F I '!AF43,2)</f>
        <v>-8952.2999999999993</v>
      </c>
      <c r="R43" s="199">
        <f t="shared" si="0"/>
        <v>4420951.1429365259</v>
      </c>
    </row>
    <row r="44" spans="1:18">
      <c r="A44" s="160" t="s">
        <v>38</v>
      </c>
      <c r="B44" s="56">
        <f>ROUND(+'CALCULO GARANTIA'!C43+'CALCULO GARANTIA'!M43,2)</f>
        <v>8061539.4100000001</v>
      </c>
      <c r="C44" s="56">
        <f>ROUND(+'CALCULO GARANTIA'!E43+'CALCULO GARANTIA'!N43,2)</f>
        <v>1131246.6299999999</v>
      </c>
      <c r="D44" s="56">
        <f>+'Art.14 Frac.III'!P42</f>
        <v>717578.07666069036</v>
      </c>
      <c r="E44" s="56">
        <f>ROUND(+'PART MES'!$F$6*+'CALCULO GARANTIA'!F43,2)</f>
        <v>223134.29</v>
      </c>
      <c r="F44" s="56">
        <f>ROUND(+'PART MES'!$F$7*+'CALCULO GARANTIA'!H43,2)</f>
        <v>191049.59</v>
      </c>
      <c r="G44" s="56">
        <f>ROUND(+'CALCULO GARANTIA'!J43+'CALCULO GARANTIA'!Q43,2)</f>
        <v>302002.21999999997</v>
      </c>
      <c r="H44" s="56">
        <f>ROUND(+'CALCULO GARANTIA'!K43+'CALCULO GARANTIA'!R43,2)</f>
        <v>43056.43</v>
      </c>
      <c r="I44" s="56">
        <f>ROUND(+'PART MES'!F$12*'COEF Art 14 F II ieps'!L45,2)</f>
        <v>0</v>
      </c>
      <c r="J44" s="56">
        <f>+'ISR MÁYO '!D43</f>
        <v>5347207.120540957</v>
      </c>
      <c r="K44" s="56">
        <f>+ISAI!D41</f>
        <v>20439.869306732769</v>
      </c>
      <c r="L44" s="56">
        <f>ROUND('PART MES'!$O$4*'COEF Art 14 F I '!AF44,2)</f>
        <v>-471180.2</v>
      </c>
      <c r="M44" s="56">
        <f>ROUND('PART MES'!$O$5*'COEF Art 14 F I '!AF44,2)</f>
        <v>-7975.4</v>
      </c>
      <c r="N44" s="56">
        <f>+'Art.14 Frac.III AJUSTE DEF'!P42</f>
        <v>-97381.587139695228</v>
      </c>
      <c r="O44" s="56">
        <f>ROUND('PART MES'!$O$6*'COEF Art 14 F I '!AF44,2)</f>
        <v>-21507.72</v>
      </c>
      <c r="P44" s="56">
        <f>ROUND('PART MES'!$O$7*'COEF Art 14 F I '!AF44,2)</f>
        <v>-8320.0400000000009</v>
      </c>
      <c r="Q44" s="56">
        <f>ROUND('PART MES'!$S$4*'COEF Art 14 F I '!AF44,2)</f>
        <v>-20501.759999999998</v>
      </c>
      <c r="R44" s="199">
        <f t="shared" si="0"/>
        <v>15410386.929368684</v>
      </c>
    </row>
    <row r="45" spans="1:18">
      <c r="A45" s="160" t="s">
        <v>39</v>
      </c>
      <c r="B45" s="56">
        <f>ROUND(+'CALCULO GARANTIA'!C44+'CALCULO GARANTIA'!M44,2)</f>
        <v>181788906.19</v>
      </c>
      <c r="C45" s="56">
        <f>ROUND(+'CALCULO GARANTIA'!E44+'CALCULO GARANTIA'!N44,2)</f>
        <v>25861243.640000001</v>
      </c>
      <c r="D45" s="56">
        <f>+'Art.14 Frac.III'!P43</f>
        <v>0</v>
      </c>
      <c r="E45" s="56">
        <f>ROUND(+'PART MES'!$F$6*+'CALCULO GARANTIA'!F44,2)</f>
        <v>4617811.16</v>
      </c>
      <c r="F45" s="56">
        <f>ROUND(+'PART MES'!$F$7*+'CALCULO GARANTIA'!H44,2)</f>
        <v>3953811.55</v>
      </c>
      <c r="G45" s="56">
        <f>ROUND(+'CALCULO GARANTIA'!J44+'CALCULO GARANTIA'!Q44,2)</f>
        <v>7710857.5199999996</v>
      </c>
      <c r="H45" s="56">
        <f>ROUND(+'CALCULO GARANTIA'!K44+'CALCULO GARANTIA'!R44,2)</f>
        <v>912396.59</v>
      </c>
      <c r="I45" s="56">
        <f>ROUND(+'PART MES'!F$12*'COEF Art 14 F II ieps'!L46,2)</f>
        <v>0</v>
      </c>
      <c r="J45" s="56">
        <f>+'ISR MÁYO '!D44</f>
        <v>16053450</v>
      </c>
      <c r="K45" s="56">
        <f>+ISAI!D42</f>
        <v>423602.23802351509</v>
      </c>
      <c r="L45" s="56">
        <f>ROUND('PART MES'!$O$4*'COEF Art 14 F I '!AF45,2)</f>
        <v>-16096415.07</v>
      </c>
      <c r="M45" s="56">
        <f>ROUND('PART MES'!$O$5*'COEF Art 14 F I '!AF45,2)</f>
        <v>-272454.96000000002</v>
      </c>
      <c r="N45" s="56">
        <f>+'Art.14 Frac.III AJUSTE DEF'!P43</f>
        <v>0</v>
      </c>
      <c r="O45" s="56">
        <f>ROUND('PART MES'!$O$6*'COEF Art 14 F I '!AF45,2)</f>
        <v>-734744.75</v>
      </c>
      <c r="P45" s="56">
        <f>ROUND('PART MES'!$O$7*'COEF Art 14 F I '!AF45,2)</f>
        <v>-284228.37</v>
      </c>
      <c r="Q45" s="56">
        <f>ROUND('PART MES'!$S$4*'COEF Art 14 F I '!AF45,2)</f>
        <v>-700379.16</v>
      </c>
      <c r="R45" s="199">
        <f t="shared" si="0"/>
        <v>223233856.57802352</v>
      </c>
    </row>
    <row r="46" spans="1:18">
      <c r="A46" s="160" t="s">
        <v>40</v>
      </c>
      <c r="B46" s="56">
        <f>ROUND(+'CALCULO GARANTIA'!C45+'CALCULO GARANTIA'!M45,2)</f>
        <v>1007928.67</v>
      </c>
      <c r="C46" s="56">
        <f>ROUND(+'CALCULO GARANTIA'!E45+'CALCULO GARANTIA'!N45,2)</f>
        <v>144300.25</v>
      </c>
      <c r="D46" s="56">
        <f>+'Art.14 Frac.III'!P44</f>
        <v>327504.21750462585</v>
      </c>
      <c r="E46" s="56">
        <f>ROUND(+'PART MES'!$F$6*+'CALCULO GARANTIA'!F45,2)</f>
        <v>24528.77</v>
      </c>
      <c r="F46" s="56">
        <f>ROUND(+'PART MES'!$F$7*+'CALCULO GARANTIA'!H45,2)</f>
        <v>21001.759999999998</v>
      </c>
      <c r="G46" s="56">
        <f>ROUND(+'CALCULO GARANTIA'!J45+'CALCULO GARANTIA'!Q45,2)</f>
        <v>45091.4</v>
      </c>
      <c r="H46" s="56">
        <f>ROUND(+'CALCULO GARANTIA'!K45+'CALCULO GARANTIA'!R45,2)</f>
        <v>4906.8100000000004</v>
      </c>
      <c r="I46" s="56">
        <f>ROUND(+'PART MES'!F$12*'COEF Art 14 F II ieps'!L47,2)</f>
        <v>0</v>
      </c>
      <c r="J46" s="56">
        <f>+'ISR MÁYO '!D45</f>
        <v>0</v>
      </c>
      <c r="K46" s="56">
        <f>+ISAI!D43</f>
        <v>84.375869040397134</v>
      </c>
      <c r="L46" s="56">
        <f>ROUND('PART MES'!$O$4*'COEF Art 14 F I '!AF46,2)</f>
        <v>-103452.5</v>
      </c>
      <c r="M46" s="56">
        <f>ROUND('PART MES'!$O$5*'COEF Art 14 F I '!AF46,2)</f>
        <v>-1751.08</v>
      </c>
      <c r="N46" s="56">
        <f>+'Art.14 Frac.III AJUSTE DEF'!P44</f>
        <v>-44445.171240404408</v>
      </c>
      <c r="O46" s="56">
        <f>ROUND('PART MES'!$O$6*'COEF Art 14 F I '!AF46,2)</f>
        <v>-4722.24</v>
      </c>
      <c r="P46" s="56">
        <f>ROUND('PART MES'!$O$7*'COEF Art 14 F I '!AF46,2)</f>
        <v>-1826.75</v>
      </c>
      <c r="Q46" s="56">
        <f>ROUND('PART MES'!$S$4*'COEF Art 14 F I '!AF46,2)</f>
        <v>-4501.37</v>
      </c>
      <c r="R46" s="199">
        <f t="shared" si="0"/>
        <v>1414647.1421332615</v>
      </c>
    </row>
    <row r="47" spans="1:18">
      <c r="A47" s="160" t="s">
        <v>41</v>
      </c>
      <c r="B47" s="56">
        <f>ROUND(+'CALCULO GARANTIA'!C46+'CALCULO GARANTIA'!M46,2)</f>
        <v>4974974.38</v>
      </c>
      <c r="C47" s="56">
        <f>ROUND(+'CALCULO GARANTIA'!E46+'CALCULO GARANTIA'!N46,2)</f>
        <v>728140.79</v>
      </c>
      <c r="D47" s="56">
        <f>+'Art.14 Frac.III'!P45</f>
        <v>568149.63758215797</v>
      </c>
      <c r="E47" s="56">
        <f>ROUND(+'PART MES'!$F$6*+'CALCULO GARANTIA'!F46,2)</f>
        <v>102348.04</v>
      </c>
      <c r="F47" s="56">
        <f>ROUND(+'PART MES'!$F$7*+'CALCULO GARANTIA'!H46,2)</f>
        <v>87631.31</v>
      </c>
      <c r="G47" s="56">
        <f>ROUND(+'CALCULO GARANTIA'!J46+'CALCULO GARANTIA'!Q46,2)</f>
        <v>263303.87</v>
      </c>
      <c r="H47" s="56">
        <f>ROUND(+'CALCULO GARANTIA'!K46+'CALCULO GARANTIA'!R46,2)</f>
        <v>21571.59</v>
      </c>
      <c r="I47" s="56">
        <f>ROUND(+'PART MES'!F$12*'COEF Art 14 F II ieps'!L48,2)</f>
        <v>0</v>
      </c>
      <c r="J47" s="56">
        <f>+'ISR MÁYO '!D46</f>
        <v>1704827</v>
      </c>
      <c r="K47" s="56">
        <f>+ISAI!D44</f>
        <v>15720.94120120106</v>
      </c>
      <c r="L47" s="56">
        <f>ROUND('PART MES'!$O$4*'COEF Art 14 F I '!AF47,2)</f>
        <v>-758106.72</v>
      </c>
      <c r="M47" s="56">
        <f>ROUND('PART MES'!$O$5*'COEF Art 14 F I '!AF47,2)</f>
        <v>-12832.05</v>
      </c>
      <c r="N47" s="56">
        <f>+'Art.14 Frac.III AJUSTE DEF'!P45</f>
        <v>-77102.848094333473</v>
      </c>
      <c r="O47" s="56">
        <f>ROUND('PART MES'!$O$6*'COEF Art 14 F I '!AF47,2)</f>
        <v>-34604.910000000003</v>
      </c>
      <c r="P47" s="56">
        <f>ROUND('PART MES'!$O$7*'COEF Art 14 F I '!AF47,2)</f>
        <v>-13386.55</v>
      </c>
      <c r="Q47" s="56">
        <f>ROUND('PART MES'!$S$4*'COEF Art 14 F I '!AF47,2)</f>
        <v>-32986.36</v>
      </c>
      <c r="R47" s="199">
        <f t="shared" si="0"/>
        <v>7537648.1206890242</v>
      </c>
    </row>
    <row r="48" spans="1:18">
      <c r="A48" s="160" t="s">
        <v>42</v>
      </c>
      <c r="B48" s="56">
        <f>ROUND(+'CALCULO GARANTIA'!C47+'CALCULO GARANTIA'!M47,2)</f>
        <v>1848906.77</v>
      </c>
      <c r="C48" s="56">
        <f>ROUND(+'CALCULO GARANTIA'!E47+'CALCULO GARANTIA'!N47,2)</f>
        <v>259953.35</v>
      </c>
      <c r="D48" s="56">
        <f>+'Art.14 Frac.III'!P46</f>
        <v>357411.06419466436</v>
      </c>
      <c r="E48" s="56">
        <f>ROUND(+'PART MES'!$F$6*+'CALCULO GARANTIA'!F47,2)</f>
        <v>50583.34</v>
      </c>
      <c r="F48" s="56">
        <f>ROUND(+'PART MES'!$F$7*+'CALCULO GARANTIA'!H47,2)</f>
        <v>43309.91</v>
      </c>
      <c r="G48" s="56">
        <f>ROUND(+'CALCULO GARANTIA'!J47+'CALCULO GARANTIA'!Q47,2)</f>
        <v>70552.820000000007</v>
      </c>
      <c r="H48" s="56">
        <f>ROUND(+'CALCULO GARANTIA'!K47+'CALCULO GARANTIA'!R47,2)</f>
        <v>9791.19</v>
      </c>
      <c r="I48" s="56">
        <f>ROUND(+'PART MES'!F$12*'COEF Art 14 F II ieps'!L49,2)</f>
        <v>0</v>
      </c>
      <c r="J48" s="56">
        <f>+'ISR MÁYO '!D47</f>
        <v>0</v>
      </c>
      <c r="K48" s="56">
        <f>+ISAI!D45</f>
        <v>1375.0865300058463</v>
      </c>
      <c r="L48" s="56">
        <f>ROUND('PART MES'!$O$4*'COEF Art 14 F I '!AF48,2)</f>
        <v>-115894.32</v>
      </c>
      <c r="M48" s="56">
        <f>ROUND('PART MES'!$O$5*'COEF Art 14 F I '!AF48,2)</f>
        <v>-1961.68</v>
      </c>
      <c r="N48" s="56">
        <f>+'Art.14 Frac.III AJUSTE DEF'!P46</f>
        <v>-48503.790492782464</v>
      </c>
      <c r="O48" s="56">
        <f>ROUND('PART MES'!$O$6*'COEF Art 14 F I '!AF48,2)</f>
        <v>-5290.17</v>
      </c>
      <c r="P48" s="56">
        <f>ROUND('PART MES'!$O$7*'COEF Art 14 F I '!AF48,2)</f>
        <v>-2046.45</v>
      </c>
      <c r="Q48" s="56">
        <f>ROUND('PART MES'!$S$4*'COEF Art 14 F I '!AF48,2)</f>
        <v>-5042.74</v>
      </c>
      <c r="R48" s="199">
        <f t="shared" si="0"/>
        <v>2463144.3802318876</v>
      </c>
    </row>
    <row r="49" spans="1:19">
      <c r="A49" s="160" t="s">
        <v>43</v>
      </c>
      <c r="B49" s="56">
        <f>ROUND(+'CALCULO GARANTIA'!C48+'CALCULO GARANTIA'!M48,2)</f>
        <v>2017828.37</v>
      </c>
      <c r="C49" s="56">
        <f>ROUND(+'CALCULO GARANTIA'!E48+'CALCULO GARANTIA'!N48,2)</f>
        <v>282448.74</v>
      </c>
      <c r="D49" s="56">
        <f>+'Art.14 Frac.III'!P47</f>
        <v>641082.76379219792</v>
      </c>
      <c r="E49" s="56">
        <f>ROUND(+'PART MES'!$F$6*+'CALCULO GARANTIA'!F48,2)</f>
        <v>56682.39</v>
      </c>
      <c r="F49" s="56">
        <f>ROUND(+'PART MES'!$F$7*+'CALCULO GARANTIA'!H48,2)</f>
        <v>48531.97</v>
      </c>
      <c r="G49" s="56">
        <f>ROUND(+'CALCULO GARANTIA'!J48+'CALCULO GARANTIA'!Q48,2)</f>
        <v>73783.399999999994</v>
      </c>
      <c r="H49" s="56">
        <f>ROUND(+'CALCULO GARANTIA'!K48+'CALCULO GARANTIA'!R48,2)</f>
        <v>10894.7</v>
      </c>
      <c r="I49" s="56">
        <f>ROUND(+'PART MES'!F$12*'COEF Art 14 F II ieps'!L50,2)</f>
        <v>0</v>
      </c>
      <c r="J49" s="56">
        <f>+'ISR MÁYO '!D48</f>
        <v>68039</v>
      </c>
      <c r="K49" s="56">
        <f>+ISAI!D46</f>
        <v>64.079190974797129</v>
      </c>
      <c r="L49" s="56">
        <f>ROUND('PART MES'!$O$4*'COEF Art 14 F I '!AF49,2)</f>
        <v>-106950.66</v>
      </c>
      <c r="M49" s="56">
        <f>ROUND('PART MES'!$O$5*'COEF Art 14 F I '!AF49,2)</f>
        <v>-1810.29</v>
      </c>
      <c r="N49" s="56">
        <f>+'Art.14 Frac.III AJUSTE DEF'!P47</f>
        <v>-87000.507758693246</v>
      </c>
      <c r="O49" s="56">
        <f>ROUND('PART MES'!$O$6*'COEF Art 14 F I '!AF49,2)</f>
        <v>-4881.92</v>
      </c>
      <c r="P49" s="56">
        <f>ROUND('PART MES'!$O$7*'COEF Art 14 F I '!AF49,2)</f>
        <v>-1888.52</v>
      </c>
      <c r="Q49" s="56">
        <f>ROUND('PART MES'!$S$4*'COEF Art 14 F I '!AF49,2)</f>
        <v>-4653.58</v>
      </c>
      <c r="R49" s="199">
        <f t="shared" si="0"/>
        <v>2992169.93522448</v>
      </c>
    </row>
    <row r="50" spans="1:19">
      <c r="A50" s="160" t="s">
        <v>44</v>
      </c>
      <c r="B50" s="56">
        <f>ROUND(+'CALCULO GARANTIA'!C49+'CALCULO GARANTIA'!M49,2)</f>
        <v>5746582.0300000003</v>
      </c>
      <c r="C50" s="56">
        <f>ROUND(+'CALCULO GARANTIA'!E49+'CALCULO GARANTIA'!N49,2)</f>
        <v>802979</v>
      </c>
      <c r="D50" s="56">
        <f>+'Art.14 Frac.III'!P48</f>
        <v>541948.64937606617</v>
      </c>
      <c r="E50" s="56">
        <f>ROUND(+'PART MES'!$F$6*+'CALCULO GARANTIA'!F49,2)</f>
        <v>163084.13</v>
      </c>
      <c r="F50" s="56">
        <f>ROUND(+'PART MES'!$F$7*+'CALCULO GARANTIA'!H49,2)</f>
        <v>139634.1</v>
      </c>
      <c r="G50" s="56">
        <f>ROUND(+'CALCULO GARANTIA'!J49+'CALCULO GARANTIA'!Q49,2)</f>
        <v>206519.97</v>
      </c>
      <c r="H50" s="56">
        <f>ROUND(+'CALCULO GARANTIA'!K49+'CALCULO GARANTIA'!R49,2)</f>
        <v>31261.55</v>
      </c>
      <c r="I50" s="56">
        <f>ROUND(+'PART MES'!F$12*'COEF Art 14 F II ieps'!L51,2)</f>
        <v>0</v>
      </c>
      <c r="J50" s="56">
        <f>+'ISR MÁYO '!D49</f>
        <v>894101</v>
      </c>
      <c r="K50" s="56">
        <f>+ISAI!D47</f>
        <v>1969.9694534001044</v>
      </c>
      <c r="L50" s="56">
        <f>ROUND('PART MES'!$O$4*'COEF Art 14 F I '!AF50,2)</f>
        <v>-282667.23</v>
      </c>
      <c r="M50" s="56">
        <f>ROUND('PART MES'!$O$5*'COEF Art 14 F I '!AF50,2)</f>
        <v>-4784.55</v>
      </c>
      <c r="N50" s="56">
        <f>+'Art.14 Frac.III AJUSTE DEF'!P48</f>
        <v>-73547.146075103374</v>
      </c>
      <c r="O50" s="56">
        <f>ROUND('PART MES'!$O$6*'COEF Art 14 F I '!AF50,2)</f>
        <v>-12902.77</v>
      </c>
      <c r="P50" s="56">
        <f>ROUND('PART MES'!$O$7*'COEF Art 14 F I '!AF50,2)</f>
        <v>-4991.3</v>
      </c>
      <c r="Q50" s="56">
        <f>ROUND('PART MES'!$S$4*'COEF Art 14 F I '!AF50,2)</f>
        <v>-12299.27</v>
      </c>
      <c r="R50" s="199">
        <f t="shared" si="0"/>
        <v>8136888.1327543631</v>
      </c>
    </row>
    <row r="51" spans="1:19">
      <c r="A51" s="160" t="s">
        <v>45</v>
      </c>
      <c r="B51" s="56">
        <f>ROUND(+'CALCULO GARANTIA'!C50+'CALCULO GARANTIA'!M50,2)</f>
        <v>5767083.2599999998</v>
      </c>
      <c r="C51" s="56">
        <f>ROUND(+'CALCULO GARANTIA'!E50+'CALCULO GARANTIA'!N50,2)</f>
        <v>824914.82</v>
      </c>
      <c r="D51" s="56">
        <f>+'Art.14 Frac.III'!P49</f>
        <v>574501.21514308325</v>
      </c>
      <c r="E51" s="56">
        <f>ROUND(+'PART MES'!$F$6*+'CALCULO GARANTIA'!F50,2)</f>
        <v>141206.93</v>
      </c>
      <c r="F51" s="56">
        <f>ROUND(+'PART MES'!$F$7*+'CALCULO GARANTIA'!H50,2)</f>
        <v>120902.64</v>
      </c>
      <c r="G51" s="56">
        <f>ROUND(+'CALCULO GARANTIA'!J50+'CALCULO GARANTIA'!Q50,2)</f>
        <v>256128.43</v>
      </c>
      <c r="H51" s="56">
        <f>ROUND(+'CALCULO GARANTIA'!K50+'CALCULO GARANTIA'!R50,2)</f>
        <v>28197</v>
      </c>
      <c r="I51" s="56">
        <f>ROUND(+'PART MES'!F$12*'COEF Art 14 F II ieps'!L52,2)</f>
        <v>0</v>
      </c>
      <c r="J51" s="56">
        <f>+'ISR MÁYO '!D50</f>
        <v>1090006</v>
      </c>
      <c r="K51" s="56">
        <f>+ISAI!D48</f>
        <v>22692.207642472495</v>
      </c>
      <c r="L51" s="56">
        <f>ROUND('PART MES'!$O$4*'COEF Art 14 F I '!AF51,2)</f>
        <v>-580555.18999999994</v>
      </c>
      <c r="M51" s="56">
        <f>ROUND('PART MES'!$O$5*'COEF Art 14 F I '!AF51,2)</f>
        <v>-9826.73</v>
      </c>
      <c r="N51" s="56">
        <f>+'Art.14 Frac.III AJUSTE DEF'!P49</f>
        <v>-77964.81242106171</v>
      </c>
      <c r="O51" s="56">
        <f>ROUND('PART MES'!$O$6*'COEF Art 14 F I '!AF51,2)</f>
        <v>-26500.3</v>
      </c>
      <c r="P51" s="56">
        <f>ROUND('PART MES'!$O$7*'COEF Art 14 F I '!AF51,2)</f>
        <v>-10251.370000000001</v>
      </c>
      <c r="Q51" s="56">
        <f>ROUND('PART MES'!$S$4*'COEF Art 14 F I '!AF51,2)</f>
        <v>-25260.83</v>
      </c>
      <c r="R51" s="199">
        <f t="shared" si="0"/>
        <v>8095273.2703644941</v>
      </c>
    </row>
    <row r="52" spans="1:19">
      <c r="A52" s="160" t="s">
        <v>46</v>
      </c>
      <c r="B52" s="56">
        <f>ROUND(+'CALCULO GARANTIA'!C51+'CALCULO GARANTIA'!M51,2)</f>
        <v>48578290.75</v>
      </c>
      <c r="C52" s="56">
        <f>ROUND(+'CALCULO GARANTIA'!E51+'CALCULO GARANTIA'!N51,2)</f>
        <v>6880244.4100000001</v>
      </c>
      <c r="D52" s="56">
        <f>+'Art.14 Frac.III'!P50</f>
        <v>1751068.5831607606</v>
      </c>
      <c r="E52" s="56">
        <f>ROUND(+'PART MES'!$F$6*+'CALCULO GARANTIA'!F51,2)</f>
        <v>1269895.6399999999</v>
      </c>
      <c r="F52" s="56">
        <f>ROUND(+'PART MES'!$F$7*+'CALCULO GARANTIA'!H51,2)</f>
        <v>1087296.1000000001</v>
      </c>
      <c r="G52" s="56">
        <f>ROUND(+'CALCULO GARANTIA'!J51+'CALCULO GARANTIA'!Q51,2)</f>
        <v>1982387.4</v>
      </c>
      <c r="H52" s="56">
        <f>ROUND(+'CALCULO GARANTIA'!K51+'CALCULO GARANTIA'!R51,2)</f>
        <v>248891.83</v>
      </c>
      <c r="I52" s="56">
        <f>ROUND(+'PART MES'!F$12*'COEF Art 14 F II ieps'!L53,2)</f>
        <v>0</v>
      </c>
      <c r="J52" s="56">
        <f>+'ISR MÁYO '!D51</f>
        <v>289693</v>
      </c>
      <c r="K52" s="56">
        <f>+ISAI!D49</f>
        <v>57340.931121824207</v>
      </c>
      <c r="L52" s="56">
        <f>ROUND('PART MES'!$O$4*'COEF Art 14 F I '!AF52,2)</f>
        <v>-3826692.36</v>
      </c>
      <c r="M52" s="56">
        <f>ROUND('PART MES'!$O$5*'COEF Art 14 F I '!AF52,2)</f>
        <v>-64772.27</v>
      </c>
      <c r="N52" s="56">
        <f>+'Art.14 Frac.III AJUSTE DEF'!P50</f>
        <v>-237635.23909786926</v>
      </c>
      <c r="O52" s="56">
        <f>ROUND('PART MES'!$O$6*'COEF Art 14 F I '!AF52,2)</f>
        <v>-174675.05</v>
      </c>
      <c r="P52" s="56">
        <f>ROUND('PART MES'!$O$7*'COEF Art 14 F I '!AF52,2)</f>
        <v>-67571.23</v>
      </c>
      <c r="Q52" s="56">
        <f>ROUND('PART MES'!$S$4*'COEF Art 14 F I '!AF52,2)</f>
        <v>-166505.12</v>
      </c>
      <c r="R52" s="199">
        <f t="shared" si="0"/>
        <v>57607257.375184715</v>
      </c>
    </row>
    <row r="53" spans="1:19">
      <c r="A53" s="160" t="s">
        <v>47</v>
      </c>
      <c r="B53" s="56">
        <f>ROUND(+'CALCULO GARANTIA'!C52+'CALCULO GARANTIA'!M52,2)</f>
        <v>93641583.280000001</v>
      </c>
      <c r="C53" s="56">
        <f>ROUND(+'CALCULO GARANTIA'!E52+'CALCULO GARANTIA'!N52,2)</f>
        <v>13257678.77</v>
      </c>
      <c r="D53" s="56">
        <f>+'Art.14 Frac.III'!P51</f>
        <v>3114362.7190172584</v>
      </c>
      <c r="E53" s="56">
        <f>ROUND(+'PART MES'!$F$6*+'CALCULO GARANTIA'!F52,2)</f>
        <v>2453762.02</v>
      </c>
      <c r="F53" s="56">
        <f>ROUND(+'PART MES'!$F$7*+'CALCULO GARANTIA'!H52,2)</f>
        <v>2100933.16</v>
      </c>
      <c r="G53" s="56">
        <f>ROUND(+'CALCULO GARANTIA'!J52+'CALCULO GARANTIA'!Q52,2)</f>
        <v>3808589.23</v>
      </c>
      <c r="H53" s="56">
        <f>ROUND(+'CALCULO GARANTIA'!K52+'CALCULO GARANTIA'!R52,2)</f>
        <v>480602.78</v>
      </c>
      <c r="I53" s="56">
        <f>ROUND(+'PART MES'!F$12*'COEF Art 14 F II ieps'!L54,2)</f>
        <v>0</v>
      </c>
      <c r="J53" s="56">
        <f>+'ISR MÁYO '!D52</f>
        <v>31585527</v>
      </c>
      <c r="K53" s="56">
        <f>+ISAI!D50</f>
        <v>240594.96958980631</v>
      </c>
      <c r="L53" s="56">
        <f>ROUND('PART MES'!$O$4*'COEF Art 14 F I '!AF53,2)</f>
        <v>-7299072.3600000003</v>
      </c>
      <c r="M53" s="56">
        <f>ROUND('PART MES'!$O$5*'COEF Art 14 F I '!AF53,2)</f>
        <v>-123547.29</v>
      </c>
      <c r="N53" s="56">
        <f>+'Art.14 Frac.III AJUSTE DEF'!P51</f>
        <v>-422646.11248708097</v>
      </c>
      <c r="O53" s="56">
        <f>ROUND('PART MES'!$O$6*'COEF Art 14 F I '!AF53,2)</f>
        <v>-333176.99</v>
      </c>
      <c r="P53" s="56">
        <f>ROUND('PART MES'!$O$7*'COEF Art 14 F I '!AF53,2)</f>
        <v>-128886.05</v>
      </c>
      <c r="Q53" s="56">
        <f>ROUND('PART MES'!$S$4*'COEF Art 14 F I '!AF53,2)</f>
        <v>-317593.58</v>
      </c>
      <c r="R53" s="199">
        <f t="shared" si="0"/>
        <v>142058711.54611993</v>
      </c>
    </row>
    <row r="54" spans="1:19">
      <c r="A54" s="160" t="s">
        <v>48</v>
      </c>
      <c r="B54" s="56">
        <f>ROUND(+'CALCULO GARANTIA'!C53+'CALCULO GARANTIA'!M53,2)</f>
        <v>25425238.48</v>
      </c>
      <c r="C54" s="56">
        <f>ROUND(+'CALCULO GARANTIA'!E53+'CALCULO GARANTIA'!N53,2)</f>
        <v>3603954.04</v>
      </c>
      <c r="D54" s="56">
        <f>+'Art.14 Frac.III'!P52</f>
        <v>1038996.5219972298</v>
      </c>
      <c r="E54" s="56">
        <f>ROUND(+'PART MES'!$F$6*+'CALCULO GARANTIA'!F53,2)</f>
        <v>661202.54</v>
      </c>
      <c r="F54" s="56">
        <f>ROUND(+'PART MES'!$F$7*+'CALCULO GARANTIA'!H53,2)</f>
        <v>566127.57999999996</v>
      </c>
      <c r="G54" s="56">
        <f>ROUND(+'CALCULO GARANTIA'!J53+'CALCULO GARANTIA'!Q53,2)</f>
        <v>1045050.06</v>
      </c>
      <c r="H54" s="56">
        <f>ROUND(+'CALCULO GARANTIA'!K53+'CALCULO GARANTIA'!R53,2)</f>
        <v>129779.65</v>
      </c>
      <c r="I54" s="56">
        <f>ROUND(+'PART MES'!F$12*'COEF Art 14 F II ieps'!L55,2)</f>
        <v>0</v>
      </c>
      <c r="J54" s="56">
        <f>+'ISR MÁYO '!D53</f>
        <v>8792951.6004356425</v>
      </c>
      <c r="K54" s="56">
        <f>+ISAI!D51</f>
        <v>86432.176927074906</v>
      </c>
      <c r="L54" s="56">
        <f>ROUND('PART MES'!$O$4*'COEF Art 14 F I '!AF54,2)</f>
        <v>-2048367.51</v>
      </c>
      <c r="M54" s="56">
        <f>ROUND('PART MES'!$O$5*'COEF Art 14 F I '!AF54,2)</f>
        <v>-34671.56</v>
      </c>
      <c r="N54" s="56">
        <f>+'Art.14 Frac.III AJUSTE DEF'!P52</f>
        <v>-141000.866157393</v>
      </c>
      <c r="O54" s="56">
        <f>ROUND('PART MES'!$O$6*'COEF Art 14 F I '!AF54,2)</f>
        <v>-93500.77</v>
      </c>
      <c r="P54" s="56">
        <f>ROUND('PART MES'!$O$7*'COEF Art 14 F I '!AF54,2)</f>
        <v>-36169.800000000003</v>
      </c>
      <c r="Q54" s="56">
        <f>ROUND('PART MES'!$S$4*'COEF Art 14 F I '!AF54,2)</f>
        <v>-89127.54</v>
      </c>
      <c r="R54" s="199">
        <f t="shared" si="0"/>
        <v>38906894.603202552</v>
      </c>
    </row>
    <row r="55" spans="1:19">
      <c r="A55" s="160" t="s">
        <v>49</v>
      </c>
      <c r="B55" s="56">
        <f>ROUND(+'CALCULO GARANTIA'!C54+'CALCULO GARANTIA'!M54,2)</f>
        <v>8803117.6699999999</v>
      </c>
      <c r="C55" s="56">
        <f>ROUND(+'CALCULO GARANTIA'!E54+'CALCULO GARANTIA'!N54,2)</f>
        <v>1260591.3</v>
      </c>
      <c r="D55" s="56">
        <f>+'Art.14 Frac.III'!P53</f>
        <v>963921.33817990602</v>
      </c>
      <c r="E55" s="56">
        <f>ROUND(+'PART MES'!$F$6*+'CALCULO GARANTIA'!F54,2)</f>
        <v>213887.55</v>
      </c>
      <c r="F55" s="56">
        <f>ROUND(+'PART MES'!$F$7*+'CALCULO GARANTIA'!H54,2)</f>
        <v>183132.45</v>
      </c>
      <c r="G55" s="56">
        <f>ROUND(+'CALCULO GARANTIA'!J54+'CALCULO GARANTIA'!Q54,2)</f>
        <v>394570.06</v>
      </c>
      <c r="H55" s="56">
        <f>ROUND(+'CALCULO GARANTIA'!K54+'CALCULO GARANTIA'!R54,2)</f>
        <v>42806.81</v>
      </c>
      <c r="I55" s="56">
        <f>ROUND(+'PART MES'!F$12*'COEF Art 14 F II ieps'!L56,2)</f>
        <v>0</v>
      </c>
      <c r="J55" s="56">
        <f>+'ISR MÁYO '!D54</f>
        <v>710392</v>
      </c>
      <c r="K55" s="56">
        <f>+ISAI!D52</f>
        <v>83083.153151193954</v>
      </c>
      <c r="L55" s="56">
        <f>ROUND('PART MES'!$O$4*'COEF Art 14 F I '!AF55,2)</f>
        <v>-908082.26</v>
      </c>
      <c r="M55" s="56">
        <f>ROUND('PART MES'!$O$5*'COEF Art 14 F I '!AF55,2)</f>
        <v>-15370.6</v>
      </c>
      <c r="N55" s="56">
        <f>+'Art.14 Frac.III AJUSTE DEF'!P53</f>
        <v>-130812.5106421891</v>
      </c>
      <c r="O55" s="56">
        <f>ROUND('PART MES'!$O$6*'COEF Art 14 F I '!AF55,2)</f>
        <v>-41450.76</v>
      </c>
      <c r="P55" s="56">
        <f>ROUND('PART MES'!$O$7*'COEF Art 14 F I '!AF55,2)</f>
        <v>-16034.8</v>
      </c>
      <c r="Q55" s="56">
        <f>ROUND('PART MES'!$S$4*'COEF Art 14 F I '!AF55,2)</f>
        <v>-39512.019999999997</v>
      </c>
      <c r="R55" s="199">
        <f t="shared" si="0"/>
        <v>11504239.380688913</v>
      </c>
    </row>
    <row r="56" spans="1:19">
      <c r="A56" s="160" t="s">
        <v>50</v>
      </c>
      <c r="B56" s="56">
        <f>ROUND(+'CALCULO GARANTIA'!C55+'CALCULO GARANTIA'!M55,2)</f>
        <v>1721233.78</v>
      </c>
      <c r="C56" s="56">
        <f>ROUND(+'CALCULO GARANTIA'!E55+'CALCULO GARANTIA'!N55,2)</f>
        <v>245411.46</v>
      </c>
      <c r="D56" s="56">
        <f>+'Art.14 Frac.III'!P54</f>
        <v>316970.90290588891</v>
      </c>
      <c r="E56" s="56">
        <f>ROUND(+'PART MES'!$F$6*+'CALCULO GARANTIA'!F55,2)</f>
        <v>43076.13</v>
      </c>
      <c r="F56" s="56">
        <f>ROUND(+'PART MES'!$F$7*+'CALCULO GARANTIA'!H55,2)</f>
        <v>36882.17</v>
      </c>
      <c r="G56" s="56">
        <f>ROUND(+'CALCULO GARANTIA'!J55+'CALCULO GARANTIA'!Q55,2)</f>
        <v>74416.12</v>
      </c>
      <c r="H56" s="56">
        <f>ROUND(+'CALCULO GARANTIA'!K55+'CALCULO GARANTIA'!R55,2)</f>
        <v>8547.39</v>
      </c>
      <c r="I56" s="56">
        <f>ROUND(+'PART MES'!F$12*'COEF Art 14 F II ieps'!L57,2)</f>
        <v>0</v>
      </c>
      <c r="J56" s="56">
        <f>+'ISR MÁYO '!D55</f>
        <v>0</v>
      </c>
      <c r="K56" s="56">
        <f>+ISAI!D53</f>
        <v>366.12795284095819</v>
      </c>
      <c r="L56" s="56">
        <f>ROUND('PART MES'!$O$4*'COEF Art 14 F I '!AF56,2)</f>
        <v>-160954.9</v>
      </c>
      <c r="M56" s="56">
        <f>ROUND('PART MES'!$O$5*'COEF Art 14 F I '!AF56,2)</f>
        <v>-2724.39</v>
      </c>
      <c r="N56" s="56">
        <f>+'Art.14 Frac.III AJUSTE DEF'!P54</f>
        <v>-43015.708821150816</v>
      </c>
      <c r="O56" s="56">
        <f>ROUND('PART MES'!$O$6*'COEF Art 14 F I '!AF56,2)</f>
        <v>-7347.03</v>
      </c>
      <c r="P56" s="56">
        <f>ROUND('PART MES'!$O$7*'COEF Art 14 F I '!AF56,2)</f>
        <v>-2842.12</v>
      </c>
      <c r="Q56" s="56">
        <f>ROUND('PART MES'!$S$4*'COEF Art 14 F I '!AF56,2)</f>
        <v>-7003.39</v>
      </c>
      <c r="R56" s="199">
        <f t="shared" si="0"/>
        <v>2223016.5420375792</v>
      </c>
    </row>
    <row r="57" spans="1:19" ht="13.5" thickBot="1">
      <c r="A57" s="161" t="s">
        <v>51</v>
      </c>
      <c r="B57" s="56">
        <f>ROUND(+'CALCULO GARANTIA'!C56+'CALCULO GARANTIA'!M56,2)</f>
        <v>2141451.15</v>
      </c>
      <c r="C57" s="56">
        <f>ROUND(+'CALCULO GARANTIA'!E56+'CALCULO GARANTIA'!N56,2)</f>
        <v>301293.36</v>
      </c>
      <c r="D57" s="56">
        <f>+'Art.14 Frac.III'!P55</f>
        <v>261476.49921407606</v>
      </c>
      <c r="E57" s="56">
        <f>ROUND(+'PART MES'!$F$6*+'CALCULO GARANTIA'!F56,2)</f>
        <v>58341.1</v>
      </c>
      <c r="F57" s="56">
        <f>ROUND(+'PART MES'!$F$7*+'CALCULO GARANTIA'!H56,2)</f>
        <v>49952.18</v>
      </c>
      <c r="G57" s="56">
        <f>ROUND(+'CALCULO GARANTIA'!J56+'CALCULO GARANTIA'!Q56,2)</f>
        <v>82250.990000000005</v>
      </c>
      <c r="H57" s="56">
        <f>ROUND(+'CALCULO GARANTIA'!K56+'CALCULO GARANTIA'!R56,2)</f>
        <v>11305.65</v>
      </c>
      <c r="I57" s="56">
        <f>ROUND(+'PART MES'!F$12*'COEF Art 14 F II ieps'!L58,2)</f>
        <v>0</v>
      </c>
      <c r="J57" s="56">
        <f>+'ISR MÁYO '!D56</f>
        <v>165386</v>
      </c>
      <c r="K57" s="56">
        <f>+ISAI!D54</f>
        <v>290.81464625773333</v>
      </c>
      <c r="L57" s="56">
        <f>ROUND('PART MES'!$O$4*'COEF Art 14 F I '!AF57,2)</f>
        <v>-137481.17000000001</v>
      </c>
      <c r="M57" s="56">
        <f>ROUND('PART MES'!$O$5*'COEF Art 14 F I '!AF57,2)</f>
        <v>-2327.0700000000002</v>
      </c>
      <c r="N57" s="56">
        <f>+'Art.14 Frac.III AJUSTE DEF'!P55</f>
        <v>-35484.635500142627</v>
      </c>
      <c r="O57" s="56">
        <f>ROUND('PART MES'!$O$6*'COEF Art 14 F I '!AF57,2)</f>
        <v>-6275.53</v>
      </c>
      <c r="P57" s="56">
        <f>ROUND('PART MES'!$O$7*'COEF Art 14 F I '!AF57,2)</f>
        <v>-2427.62</v>
      </c>
      <c r="Q57" s="56">
        <f>ROUND('PART MES'!$S$4*'COEF Art 14 F I '!AF57,2)</f>
        <v>-5982.01</v>
      </c>
      <c r="R57" s="199">
        <f t="shared" si="0"/>
        <v>2881769.7083601914</v>
      </c>
    </row>
    <row r="58" spans="1:19" ht="13.5" thickBot="1">
      <c r="A58" s="155" t="s">
        <v>52</v>
      </c>
      <c r="B58" s="156">
        <f t="shared" ref="B58:F58" si="1">SUM(B7:B57)</f>
        <v>682657269.78999996</v>
      </c>
      <c r="C58" s="156">
        <f t="shared" si="1"/>
        <v>96904206.999999985</v>
      </c>
      <c r="D58" s="157">
        <f t="shared" si="1"/>
        <v>36408403</v>
      </c>
      <c r="E58" s="156">
        <f t="shared" si="1"/>
        <v>17588721.790000003</v>
      </c>
      <c r="F58" s="156">
        <f t="shared" si="1"/>
        <v>15059622.200000001</v>
      </c>
      <c r="G58" s="156">
        <f t="shared" ref="G58:R58" si="2">SUM(G7:G57)</f>
        <v>28416682.979999997</v>
      </c>
      <c r="H58" s="156">
        <f t="shared" si="2"/>
        <v>3461296.3899999997</v>
      </c>
      <c r="I58" s="156">
        <f t="shared" si="2"/>
        <v>0</v>
      </c>
      <c r="J58" s="156">
        <f t="shared" si="2"/>
        <v>97925660.253027439</v>
      </c>
      <c r="K58" s="156">
        <f t="shared" si="2"/>
        <v>1644476.9999999998</v>
      </c>
      <c r="L58" s="157">
        <f t="shared" si="2"/>
        <v>-57169621.179999985</v>
      </c>
      <c r="M58" s="157">
        <f t="shared" si="2"/>
        <v>-967677.9800000001</v>
      </c>
      <c r="N58" s="157">
        <f t="shared" si="2"/>
        <v>-4940937</v>
      </c>
      <c r="O58" s="157">
        <f t="shared" si="2"/>
        <v>-2609592.1999999988</v>
      </c>
      <c r="P58" s="157">
        <f t="shared" si="2"/>
        <v>-1009493.6000000002</v>
      </c>
      <c r="Q58" s="157">
        <f t="shared" si="2"/>
        <v>-2487535.9500000007</v>
      </c>
      <c r="R58" s="158">
        <f t="shared" si="2"/>
        <v>910881482.49302733</v>
      </c>
      <c r="S58" s="16" t="s">
        <v>155</v>
      </c>
    </row>
    <row r="59" spans="1:19">
      <c r="A59" s="351" t="s">
        <v>330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 t="s">
        <v>155</v>
      </c>
    </row>
    <row r="60" spans="1:19" ht="16.5" customHeight="1">
      <c r="A60" s="15" t="s">
        <v>108</v>
      </c>
      <c r="B60" s="52"/>
      <c r="C60" s="52"/>
      <c r="D60" s="52"/>
      <c r="E60" s="52"/>
    </row>
    <row r="61" spans="1:19">
      <c r="A61" s="17"/>
    </row>
    <row r="62" spans="1:19">
      <c r="A62" s="17"/>
    </row>
    <row r="63" spans="1:19" ht="16.5" customHeight="1">
      <c r="A63" s="411"/>
      <c r="B63" s="411"/>
      <c r="C63" s="411"/>
      <c r="D63" s="411"/>
      <c r="E63" s="411"/>
      <c r="F63" s="411"/>
    </row>
    <row r="64" spans="1:19">
      <c r="A64" s="411"/>
      <c r="B64" s="411"/>
      <c r="C64" s="411"/>
      <c r="D64" s="411"/>
      <c r="E64" s="411"/>
      <c r="F64" s="411"/>
    </row>
    <row r="65" spans="1:6">
      <c r="A65" s="411"/>
      <c r="B65" s="411"/>
      <c r="C65" s="411"/>
      <c r="D65" s="411"/>
      <c r="E65" s="411"/>
      <c r="F65" s="411"/>
    </row>
    <row r="66" spans="1:6">
      <c r="A66" s="412"/>
      <c r="B66" s="413"/>
      <c r="C66" s="413"/>
      <c r="D66" s="413"/>
      <c r="E66" s="413"/>
      <c r="F66" s="414"/>
    </row>
    <row r="67" spans="1:6">
      <c r="A67" s="412"/>
      <c r="B67" s="413"/>
      <c r="C67" s="413"/>
      <c r="D67" s="413"/>
      <c r="E67" s="413"/>
      <c r="F67" s="414"/>
    </row>
    <row r="68" spans="1:6">
      <c r="A68" s="383"/>
      <c r="B68" s="56"/>
      <c r="C68" s="56"/>
      <c r="D68" s="56"/>
      <c r="E68" s="56"/>
      <c r="F68" s="384"/>
    </row>
    <row r="69" spans="1:6">
      <c r="A69" s="383"/>
      <c r="B69" s="56"/>
      <c r="C69" s="56"/>
      <c r="D69" s="56"/>
      <c r="E69" s="56"/>
      <c r="F69" s="384"/>
    </row>
    <row r="70" spans="1:6">
      <c r="A70" s="383"/>
      <c r="B70" s="56"/>
      <c r="C70" s="56"/>
      <c r="D70" s="56"/>
      <c r="E70" s="56"/>
      <c r="F70" s="384"/>
    </row>
    <row r="71" spans="1:6">
      <c r="A71" s="383"/>
      <c r="B71" s="56"/>
      <c r="C71" s="56"/>
      <c r="D71" s="56"/>
      <c r="E71" s="56"/>
      <c r="F71" s="384"/>
    </row>
    <row r="72" spans="1:6">
      <c r="A72" s="383"/>
      <c r="B72" s="56"/>
      <c r="C72" s="56"/>
      <c r="D72" s="56"/>
      <c r="E72" s="56"/>
      <c r="F72" s="384"/>
    </row>
    <row r="73" spans="1:6">
      <c r="A73" s="383"/>
      <c r="B73" s="56"/>
      <c r="C73" s="56"/>
      <c r="D73" s="56"/>
      <c r="E73" s="56"/>
      <c r="F73" s="384"/>
    </row>
    <row r="74" spans="1:6">
      <c r="A74" s="383"/>
      <c r="B74" s="56"/>
      <c r="C74" s="56"/>
      <c r="D74" s="56"/>
      <c r="E74" s="56"/>
      <c r="F74" s="384"/>
    </row>
    <row r="75" spans="1:6">
      <c r="A75" s="383"/>
      <c r="B75" s="56"/>
      <c r="C75" s="56"/>
      <c r="D75" s="56"/>
      <c r="E75" s="56"/>
      <c r="F75" s="384"/>
    </row>
    <row r="76" spans="1:6">
      <c r="A76" s="383"/>
      <c r="B76" s="56"/>
      <c r="C76" s="56"/>
      <c r="D76" s="56"/>
      <c r="E76" s="56"/>
      <c r="F76" s="384"/>
    </row>
    <row r="77" spans="1:6">
      <c r="A77" s="383"/>
      <c r="B77" s="56"/>
      <c r="C77" s="56"/>
      <c r="D77" s="56"/>
      <c r="E77" s="56"/>
      <c r="F77" s="384"/>
    </row>
    <row r="78" spans="1:6">
      <c r="A78" s="383"/>
      <c r="B78" s="56"/>
      <c r="C78" s="56"/>
      <c r="D78" s="56"/>
      <c r="E78" s="56"/>
      <c r="F78" s="384"/>
    </row>
    <row r="79" spans="1:6">
      <c r="A79" s="383"/>
      <c r="B79" s="56"/>
      <c r="C79" s="56"/>
      <c r="D79" s="56"/>
      <c r="E79" s="56"/>
      <c r="F79" s="384"/>
    </row>
    <row r="80" spans="1:6">
      <c r="A80" s="383"/>
      <c r="B80" s="56"/>
      <c r="C80" s="56"/>
      <c r="D80" s="56"/>
      <c r="E80" s="56"/>
      <c r="F80" s="384"/>
    </row>
    <row r="81" spans="1:6">
      <c r="A81" s="383"/>
      <c r="B81" s="56"/>
      <c r="C81" s="56"/>
      <c r="D81" s="56"/>
      <c r="E81" s="56"/>
      <c r="F81" s="384"/>
    </row>
    <row r="82" spans="1:6">
      <c r="A82" s="383"/>
      <c r="B82" s="56"/>
      <c r="C82" s="56"/>
      <c r="D82" s="56"/>
      <c r="E82" s="56"/>
      <c r="F82" s="384"/>
    </row>
    <row r="83" spans="1:6">
      <c r="A83" s="383"/>
      <c r="B83" s="56"/>
      <c r="C83" s="56"/>
      <c r="D83" s="56"/>
      <c r="E83" s="56"/>
      <c r="F83" s="384"/>
    </row>
    <row r="84" spans="1:6">
      <c r="A84" s="383"/>
      <c r="B84" s="56"/>
      <c r="C84" s="56"/>
      <c r="D84" s="56"/>
      <c r="E84" s="56"/>
      <c r="F84" s="384"/>
    </row>
    <row r="85" spans="1:6">
      <c r="A85" s="383"/>
      <c r="B85" s="56"/>
      <c r="C85" s="56"/>
      <c r="D85" s="56"/>
      <c r="E85" s="56"/>
      <c r="F85" s="384"/>
    </row>
    <row r="86" spans="1:6">
      <c r="A86" s="383"/>
      <c r="B86" s="56"/>
      <c r="C86" s="56"/>
      <c r="D86" s="56"/>
      <c r="E86" s="56"/>
      <c r="F86" s="384"/>
    </row>
    <row r="87" spans="1:6">
      <c r="A87" s="383"/>
      <c r="B87" s="56"/>
      <c r="C87" s="56"/>
      <c r="D87" s="56"/>
      <c r="E87" s="56"/>
      <c r="F87" s="384"/>
    </row>
    <row r="88" spans="1:6">
      <c r="A88" s="383"/>
      <c r="B88" s="56"/>
      <c r="C88" s="56"/>
      <c r="D88" s="56"/>
      <c r="E88" s="56"/>
      <c r="F88" s="384"/>
    </row>
    <row r="89" spans="1:6">
      <c r="A89" s="383"/>
      <c r="B89" s="56"/>
      <c r="C89" s="56"/>
      <c r="D89" s="56"/>
      <c r="E89" s="56"/>
      <c r="F89" s="384"/>
    </row>
    <row r="90" spans="1:6">
      <c r="A90" s="383"/>
      <c r="B90" s="56"/>
      <c r="C90" s="56"/>
      <c r="D90" s="56"/>
      <c r="E90" s="56"/>
      <c r="F90" s="384"/>
    </row>
    <row r="91" spans="1:6">
      <c r="A91" s="383"/>
      <c r="B91" s="56"/>
      <c r="C91" s="56"/>
      <c r="D91" s="56"/>
      <c r="E91" s="56"/>
      <c r="F91" s="384"/>
    </row>
    <row r="92" spans="1:6">
      <c r="A92" s="383"/>
      <c r="B92" s="56"/>
      <c r="C92" s="56"/>
      <c r="D92" s="56"/>
      <c r="E92" s="56"/>
      <c r="F92" s="384"/>
    </row>
    <row r="93" spans="1:6">
      <c r="A93" s="383"/>
      <c r="B93" s="56"/>
      <c r="C93" s="56"/>
      <c r="D93" s="56"/>
      <c r="E93" s="56"/>
      <c r="F93" s="384"/>
    </row>
    <row r="94" spans="1:6">
      <c r="A94" s="383"/>
      <c r="B94" s="56"/>
      <c r="C94" s="56"/>
      <c r="D94" s="56"/>
      <c r="E94" s="56"/>
      <c r="F94" s="384"/>
    </row>
    <row r="95" spans="1:6">
      <c r="A95" s="383"/>
      <c r="B95" s="56"/>
      <c r="C95" s="56"/>
      <c r="D95" s="56"/>
      <c r="E95" s="56"/>
      <c r="F95" s="384"/>
    </row>
    <row r="96" spans="1:6">
      <c r="A96" s="383"/>
      <c r="B96" s="56"/>
      <c r="C96" s="56"/>
      <c r="D96" s="56"/>
      <c r="E96" s="56"/>
      <c r="F96" s="384"/>
    </row>
    <row r="97" spans="1:6">
      <c r="A97" s="383"/>
      <c r="B97" s="56"/>
      <c r="C97" s="56"/>
      <c r="D97" s="56"/>
      <c r="E97" s="56"/>
      <c r="F97" s="384"/>
    </row>
    <row r="98" spans="1:6">
      <c r="A98" s="383"/>
      <c r="B98" s="56"/>
      <c r="C98" s="56"/>
      <c r="D98" s="56"/>
      <c r="E98" s="56"/>
      <c r="F98" s="384"/>
    </row>
    <row r="99" spans="1:6">
      <c r="A99" s="383"/>
      <c r="B99" s="56"/>
      <c r="C99" s="56"/>
      <c r="D99" s="56"/>
      <c r="E99" s="56"/>
      <c r="F99" s="384"/>
    </row>
    <row r="100" spans="1:6">
      <c r="A100" s="383"/>
      <c r="B100" s="56"/>
      <c r="C100" s="56"/>
      <c r="D100" s="56"/>
      <c r="E100" s="56"/>
      <c r="F100" s="384"/>
    </row>
    <row r="101" spans="1:6">
      <c r="A101" s="383"/>
      <c r="B101" s="56"/>
      <c r="C101" s="56"/>
      <c r="D101" s="56"/>
      <c r="E101" s="56"/>
      <c r="F101" s="384"/>
    </row>
    <row r="102" spans="1:6">
      <c r="A102" s="383"/>
      <c r="B102" s="56"/>
      <c r="C102" s="56"/>
      <c r="D102" s="56"/>
      <c r="E102" s="56"/>
      <c r="F102" s="384"/>
    </row>
    <row r="103" spans="1:6">
      <c r="A103" s="383"/>
      <c r="B103" s="56"/>
      <c r="C103" s="56"/>
      <c r="D103" s="56"/>
      <c r="E103" s="56"/>
      <c r="F103" s="384"/>
    </row>
    <row r="104" spans="1:6">
      <c r="A104" s="383"/>
      <c r="B104" s="56"/>
      <c r="C104" s="56"/>
      <c r="D104" s="56"/>
      <c r="E104" s="56"/>
      <c r="F104" s="384"/>
    </row>
    <row r="105" spans="1:6">
      <c r="A105" s="383"/>
      <c r="B105" s="56"/>
      <c r="C105" s="56"/>
      <c r="D105" s="56"/>
      <c r="E105" s="56"/>
      <c r="F105" s="384"/>
    </row>
    <row r="106" spans="1:6">
      <c r="A106" s="383"/>
      <c r="B106" s="56"/>
      <c r="C106" s="56"/>
      <c r="D106" s="56"/>
      <c r="E106" s="56"/>
      <c r="F106" s="384"/>
    </row>
    <row r="107" spans="1:6">
      <c r="A107" s="383"/>
      <c r="B107" s="56"/>
      <c r="C107" s="56"/>
      <c r="D107" s="56"/>
      <c r="E107" s="56"/>
      <c r="F107" s="384"/>
    </row>
    <row r="108" spans="1:6">
      <c r="A108" s="383"/>
      <c r="B108" s="56"/>
      <c r="C108" s="56"/>
      <c r="D108" s="56"/>
      <c r="E108" s="56"/>
      <c r="F108" s="384"/>
    </row>
    <row r="109" spans="1:6">
      <c r="A109" s="383"/>
      <c r="B109" s="56"/>
      <c r="C109" s="56"/>
      <c r="D109" s="56"/>
      <c r="E109" s="56"/>
      <c r="F109" s="384"/>
    </row>
    <row r="110" spans="1:6">
      <c r="A110" s="383"/>
      <c r="B110" s="56"/>
      <c r="C110" s="56"/>
      <c r="D110" s="56"/>
      <c r="E110" s="56"/>
      <c r="F110" s="384"/>
    </row>
    <row r="111" spans="1:6">
      <c r="A111" s="383"/>
      <c r="B111" s="56"/>
      <c r="C111" s="56"/>
      <c r="D111" s="56"/>
      <c r="E111" s="56"/>
      <c r="F111" s="384"/>
    </row>
    <row r="112" spans="1:6">
      <c r="A112" s="383"/>
      <c r="B112" s="56"/>
      <c r="C112" s="56"/>
      <c r="D112" s="56"/>
      <c r="E112" s="56"/>
      <c r="F112" s="384"/>
    </row>
    <row r="113" spans="1:6">
      <c r="A113" s="383"/>
      <c r="B113" s="56"/>
      <c r="C113" s="56"/>
      <c r="D113" s="56"/>
      <c r="E113" s="56"/>
      <c r="F113" s="384"/>
    </row>
    <row r="114" spans="1:6">
      <c r="A114" s="383"/>
      <c r="B114" s="56"/>
      <c r="C114" s="56"/>
      <c r="D114" s="56"/>
      <c r="E114" s="56"/>
      <c r="F114" s="384"/>
    </row>
    <row r="115" spans="1:6">
      <c r="A115" s="383"/>
      <c r="B115" s="56"/>
      <c r="C115" s="56"/>
      <c r="D115" s="56"/>
      <c r="E115" s="56"/>
      <c r="F115" s="384"/>
    </row>
    <row r="116" spans="1:6">
      <c r="A116" s="383"/>
      <c r="B116" s="56"/>
      <c r="C116" s="56"/>
      <c r="D116" s="56"/>
      <c r="E116" s="56"/>
      <c r="F116" s="384"/>
    </row>
    <row r="117" spans="1:6">
      <c r="A117" s="383"/>
      <c r="B117" s="56"/>
      <c r="C117" s="56"/>
      <c r="D117" s="56"/>
      <c r="E117" s="56"/>
      <c r="F117" s="384"/>
    </row>
    <row r="118" spans="1:6">
      <c r="A118" s="383"/>
      <c r="B118" s="56"/>
      <c r="C118" s="56"/>
      <c r="D118" s="56"/>
      <c r="E118" s="56"/>
      <c r="F118" s="384"/>
    </row>
    <row r="119" spans="1:6">
      <c r="A119" s="383"/>
      <c r="B119" s="384"/>
      <c r="C119" s="384"/>
      <c r="D119" s="384"/>
      <c r="E119" s="384"/>
      <c r="F119" s="384"/>
    </row>
    <row r="120" spans="1:6">
      <c r="A120" s="385"/>
      <c r="B120" s="51"/>
      <c r="C120" s="51"/>
      <c r="D120" s="51"/>
      <c r="E120" s="51"/>
      <c r="F120" s="51"/>
    </row>
    <row r="121" spans="1:6">
      <c r="A121" s="386"/>
      <c r="B121" s="387"/>
      <c r="C121" s="387"/>
      <c r="D121" s="387"/>
      <c r="E121" s="388"/>
      <c r="F121" s="388"/>
    </row>
  </sheetData>
  <mergeCells count="31">
    <mergeCell ref="A63:F63"/>
    <mergeCell ref="A64:F64"/>
    <mergeCell ref="A65:F65"/>
    <mergeCell ref="A66:A67"/>
    <mergeCell ref="B66:B67"/>
    <mergeCell ref="C66:C67"/>
    <mergeCell ref="D66:D67"/>
    <mergeCell ref="E66:E67"/>
    <mergeCell ref="F66:F67"/>
    <mergeCell ref="A1:R1"/>
    <mergeCell ref="A2:R2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A3:R3"/>
    <mergeCell ref="L4:P4"/>
    <mergeCell ref="Q5:Q6"/>
    <mergeCell ref="R5:R6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X5" activePane="bottomRight" state="frozen"/>
      <selection activeCell="A4" sqref="A4"/>
      <selection pane="topRight" activeCell="B4" sqref="B4"/>
      <selection pane="bottomLeft" activeCell="A6" sqref="A6"/>
      <selection pane="bottomRight" activeCell="C54" sqref="C54:C57"/>
    </sheetView>
  </sheetViews>
  <sheetFormatPr baseColWidth="10" defaultColWidth="9.7109375" defaultRowHeight="12.75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5" customWidth="1"/>
    <col min="11" max="11" width="12.28515625" style="2" customWidth="1"/>
    <col min="12" max="12" width="15.5703125" style="2" customWidth="1"/>
    <col min="13" max="13" width="12" style="5" customWidth="1"/>
    <col min="14" max="14" width="17.7109375" style="6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5" customWidth="1"/>
    <col min="26" max="26" width="18.42578125" style="2" bestFit="1" customWidth="1"/>
    <col min="27" max="27" width="3.7109375" style="1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26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8.75" thickBot="1">
      <c r="C3" s="416" t="s">
        <v>99</v>
      </c>
      <c r="D3" s="416"/>
      <c r="E3" s="416"/>
      <c r="F3" s="416"/>
      <c r="G3" s="416"/>
      <c r="H3" s="415" t="s">
        <v>60</v>
      </c>
      <c r="I3" s="415"/>
      <c r="J3" s="415"/>
      <c r="K3" s="415"/>
      <c r="L3" s="415"/>
      <c r="M3" s="415"/>
      <c r="N3" s="415"/>
      <c r="O3" s="415" t="s">
        <v>87</v>
      </c>
      <c r="P3" s="415"/>
      <c r="Q3" s="415"/>
      <c r="R3" s="415"/>
      <c r="S3" s="415"/>
      <c r="T3" s="415"/>
      <c r="U3" s="415"/>
      <c r="V3" s="415"/>
      <c r="W3" s="10"/>
      <c r="X3" s="415"/>
      <c r="Y3" s="415"/>
      <c r="Z3" s="253" t="s">
        <v>87</v>
      </c>
      <c r="AB3" s="416" t="s">
        <v>113</v>
      </c>
      <c r="AC3" s="416"/>
      <c r="AD3" s="416"/>
      <c r="AE3" s="416"/>
      <c r="AF3" s="416"/>
    </row>
    <row r="4" spans="1:32" ht="64.5" thickBot="1">
      <c r="B4" s="205" t="s">
        <v>0</v>
      </c>
      <c r="C4" s="205" t="s">
        <v>332</v>
      </c>
      <c r="D4" s="205" t="s">
        <v>333</v>
      </c>
      <c r="E4" s="261" t="s">
        <v>111</v>
      </c>
      <c r="F4" s="262" t="s">
        <v>112</v>
      </c>
      <c r="G4" s="263" t="s">
        <v>77</v>
      </c>
      <c r="H4" s="205" t="s">
        <v>219</v>
      </c>
      <c r="I4" s="261" t="s">
        <v>73</v>
      </c>
      <c r="J4" s="264">
        <v>0.85</v>
      </c>
      <c r="K4" s="205" t="s">
        <v>58</v>
      </c>
      <c r="L4" s="261" t="s">
        <v>74</v>
      </c>
      <c r="M4" s="264">
        <v>0.15</v>
      </c>
      <c r="N4" s="265" t="s">
        <v>75</v>
      </c>
      <c r="O4" s="201" t="s">
        <v>256</v>
      </c>
      <c r="P4" s="201" t="s">
        <v>257</v>
      </c>
      <c r="Q4" s="201" t="s">
        <v>258</v>
      </c>
      <c r="R4" s="205" t="s">
        <v>259</v>
      </c>
      <c r="S4" s="255" t="s">
        <v>314</v>
      </c>
      <c r="T4" s="255" t="s">
        <v>315</v>
      </c>
      <c r="U4" s="205" t="s">
        <v>316</v>
      </c>
      <c r="V4" s="201" t="s">
        <v>317</v>
      </c>
      <c r="W4" s="258" t="s">
        <v>318</v>
      </c>
      <c r="X4" s="255" t="s">
        <v>319</v>
      </c>
      <c r="Y4" s="205" t="s">
        <v>89</v>
      </c>
      <c r="Z4" s="266" t="s">
        <v>76</v>
      </c>
      <c r="AB4" s="267" t="s">
        <v>90</v>
      </c>
      <c r="AC4" s="267" t="s">
        <v>88</v>
      </c>
      <c r="AD4" s="267" t="s">
        <v>89</v>
      </c>
      <c r="AE4" s="267" t="s">
        <v>119</v>
      </c>
      <c r="AF4" s="267" t="s">
        <v>78</v>
      </c>
    </row>
    <row r="5" spans="1:32" s="3" customFormat="1" ht="22.5">
      <c r="B5" s="257"/>
      <c r="C5" s="268" t="s">
        <v>152</v>
      </c>
      <c r="D5" s="259" t="s">
        <v>153</v>
      </c>
      <c r="E5" s="259" t="s">
        <v>54</v>
      </c>
      <c r="F5" s="259" t="s">
        <v>55</v>
      </c>
      <c r="G5" s="269" t="s">
        <v>68</v>
      </c>
      <c r="H5" s="257" t="s">
        <v>57</v>
      </c>
      <c r="I5" s="259" t="s">
        <v>66</v>
      </c>
      <c r="J5" s="270" t="s">
        <v>69</v>
      </c>
      <c r="K5" s="256" t="s">
        <v>59</v>
      </c>
      <c r="L5" s="259" t="s">
        <v>70</v>
      </c>
      <c r="M5" s="270" t="s">
        <v>71</v>
      </c>
      <c r="N5" s="271" t="s">
        <v>61</v>
      </c>
      <c r="O5" s="256" t="s">
        <v>320</v>
      </c>
      <c r="P5" s="256" t="s">
        <v>321</v>
      </c>
      <c r="Q5" s="256" t="s">
        <v>322</v>
      </c>
      <c r="R5" s="256" t="s">
        <v>323</v>
      </c>
      <c r="S5" s="257" t="s">
        <v>324</v>
      </c>
      <c r="T5" s="257" t="s">
        <v>260</v>
      </c>
      <c r="U5" s="256" t="s">
        <v>325</v>
      </c>
      <c r="V5" s="256" t="s">
        <v>326</v>
      </c>
      <c r="W5" s="256" t="s">
        <v>261</v>
      </c>
      <c r="X5" s="256" t="s">
        <v>327</v>
      </c>
      <c r="Y5" s="259" t="s">
        <v>328</v>
      </c>
      <c r="Z5" s="260" t="s">
        <v>329</v>
      </c>
      <c r="AA5" s="272"/>
      <c r="AB5" s="256">
        <f>+AE5*0.5</f>
        <v>428748290.78999978</v>
      </c>
      <c r="AC5" s="256">
        <f>+AE5*0.25</f>
        <v>214374145.39499989</v>
      </c>
      <c r="AD5" s="256">
        <f>+AE5*0.25</f>
        <v>214374145.39499989</v>
      </c>
      <c r="AE5" s="256">
        <f>+'PART PEF2022 '!F10</f>
        <v>857496581.57999957</v>
      </c>
    </row>
    <row r="6" spans="1:32" s="4" customFormat="1" ht="23.25" customHeight="1" thickBot="1">
      <c r="B6" s="273"/>
      <c r="C6" s="274"/>
      <c r="D6" s="274"/>
      <c r="E6" s="274"/>
      <c r="F6" s="274"/>
      <c r="G6" s="275"/>
      <c r="H6" s="273"/>
      <c r="I6" s="274"/>
      <c r="J6" s="276"/>
      <c r="K6" s="274"/>
      <c r="L6" s="274"/>
      <c r="M6" s="276"/>
      <c r="N6" s="277"/>
      <c r="O6" s="278"/>
      <c r="P6" s="278"/>
      <c r="Q6" s="278"/>
      <c r="R6" s="278"/>
      <c r="S6" s="279"/>
      <c r="T6" s="279"/>
      <c r="U6" s="278"/>
      <c r="V6" s="278"/>
      <c r="W6" s="278"/>
      <c r="X6" s="280"/>
      <c r="Y6" s="1"/>
      <c r="Z6" s="281"/>
      <c r="AA6" s="274"/>
      <c r="AB6" s="256" t="s">
        <v>100</v>
      </c>
      <c r="AC6" s="256" t="s">
        <v>101</v>
      </c>
      <c r="AD6" s="256" t="s">
        <v>65</v>
      </c>
      <c r="AE6" s="282" t="s">
        <v>102</v>
      </c>
      <c r="AF6" s="282" t="s">
        <v>63</v>
      </c>
    </row>
    <row r="7" spans="1:32" ht="13.5" thickTop="1">
      <c r="A7" s="18" t="s">
        <v>262</v>
      </c>
      <c r="B7" s="208" t="s">
        <v>1</v>
      </c>
      <c r="C7" s="283">
        <v>626624</v>
      </c>
      <c r="D7" s="283">
        <v>200922.61</v>
      </c>
      <c r="E7" s="284">
        <f t="shared" ref="E7:E58" si="0">+D7/C7</f>
        <v>0.32064301718414867</v>
      </c>
      <c r="F7" s="285">
        <f>+E7*D7</f>
        <v>64424.431890913998</v>
      </c>
      <c r="G7" s="292">
        <f t="shared" ref="G7:G57" si="1">+F7/F$58</f>
        <v>3.4038473246129935E-5</v>
      </c>
      <c r="H7" s="286">
        <v>2974</v>
      </c>
      <c r="I7" s="287">
        <f t="shared" ref="I7:I57" si="2">+H7/$H$58</f>
        <v>5.141377508841821E-4</v>
      </c>
      <c r="J7" s="287">
        <f>+I7*J$4</f>
        <v>4.3701708825155477E-4</v>
      </c>
      <c r="K7" s="283">
        <v>46.9</v>
      </c>
      <c r="L7" s="331">
        <f t="shared" ref="L7:L58" si="3">+K7/$K$58</f>
        <v>7.3102605507790314E-4</v>
      </c>
      <c r="M7" s="288">
        <f>+L7*M$4</f>
        <v>1.0965390826168547E-4</v>
      </c>
      <c r="N7" s="292">
        <f>+M7+J7</f>
        <v>5.4667099651324028E-4</v>
      </c>
      <c r="O7" s="289">
        <v>296</v>
      </c>
      <c r="P7" s="289">
        <v>291</v>
      </c>
      <c r="Q7" s="290">
        <v>1.7570912812999999</v>
      </c>
      <c r="R7" s="291">
        <f>+P7/P$58</f>
        <v>2.7055597858981759E-4</v>
      </c>
      <c r="S7" s="290">
        <f t="shared" ref="S7:S57" si="4">+Q7*R7</f>
        <v>4.7539155108375792E-4</v>
      </c>
      <c r="T7" s="290">
        <f>+S7/S$58</f>
        <v>2.4656536212427173E-4</v>
      </c>
      <c r="U7" s="289">
        <f>+AD$5*0.85*T7</f>
        <v>44928.652970989511</v>
      </c>
      <c r="V7" s="291">
        <f t="shared" ref="V7:V57" si="5">+O7/P7</f>
        <v>1.0171821305841924</v>
      </c>
      <c r="W7" s="291">
        <f>+V7/V$58</f>
        <v>1.351657209931304E-2</v>
      </c>
      <c r="X7" s="289">
        <f>AD$5*0.15*W7</f>
        <v>434640.53886901983</v>
      </c>
      <c r="Y7" s="283">
        <f t="shared" ref="Y7:Y57" si="6">+X7+U7</f>
        <v>479569.19184000936</v>
      </c>
      <c r="Z7" s="292">
        <f>+Y7/Y$58</f>
        <v>2.2370663727025869E-3</v>
      </c>
      <c r="AB7" s="293">
        <f t="shared" ref="AB7:AB57" si="7">+G7*AB$5</f>
        <v>14593.937225379344</v>
      </c>
      <c r="AC7" s="294">
        <f t="shared" ref="AC7:AC57" si="8">+N7*AC$5</f>
        <v>117192.12768975885</v>
      </c>
      <c r="AD7" s="294">
        <f>+Z7*AD$5</f>
        <v>479569.19184000936</v>
      </c>
      <c r="AE7" s="294">
        <f>SUM(AB7:AD7)</f>
        <v>611355.25675514759</v>
      </c>
      <c r="AF7" s="328">
        <f>+AE7/AE$58</f>
        <v>7.1295357892702178E-4</v>
      </c>
    </row>
    <row r="8" spans="1:32">
      <c r="A8" s="18" t="s">
        <v>263</v>
      </c>
      <c r="B8" s="213" t="s">
        <v>2</v>
      </c>
      <c r="C8" s="295">
        <v>2597546</v>
      </c>
      <c r="D8" s="295">
        <v>996274</v>
      </c>
      <c r="E8" s="296">
        <f t="shared" si="0"/>
        <v>0.38354431451839543</v>
      </c>
      <c r="F8" s="297">
        <f t="shared" ref="F8:F57" si="9">+E8*D8</f>
        <v>382115.22840249987</v>
      </c>
      <c r="G8" s="304">
        <f t="shared" si="1"/>
        <v>2.0188954092665722E-4</v>
      </c>
      <c r="H8" s="298">
        <v>3382</v>
      </c>
      <c r="I8" s="299">
        <f t="shared" si="2"/>
        <v>5.8467177992276519E-4</v>
      </c>
      <c r="J8" s="299">
        <f t="shared" ref="J8:J57" si="10">+I8*J$4</f>
        <v>4.9697101293435045E-4</v>
      </c>
      <c r="K8" s="295">
        <v>980.9</v>
      </c>
      <c r="L8" s="332">
        <f t="shared" si="3"/>
        <v>1.528919951867623E-2</v>
      </c>
      <c r="M8" s="300">
        <f t="shared" ref="M8:M57" si="11">+L8*M$4</f>
        <v>2.2933799278014345E-3</v>
      </c>
      <c r="N8" s="304">
        <f t="shared" ref="N8:N57" si="12">+M8+J8</f>
        <v>2.7903509407357849E-3</v>
      </c>
      <c r="O8" s="301">
        <v>250</v>
      </c>
      <c r="P8" s="301">
        <v>278</v>
      </c>
      <c r="Q8" s="302">
        <v>1.7189329948000001</v>
      </c>
      <c r="R8" s="303">
        <f t="shared" ref="R8:R57" si="13">+P8/P$58</f>
        <v>2.5846928538821062E-4</v>
      </c>
      <c r="S8" s="302">
        <f t="shared" si="4"/>
        <v>4.4429138279617278E-4</v>
      </c>
      <c r="T8" s="302">
        <f t="shared" ref="T8:T57" si="14">+S8/S$58</f>
        <v>2.3043502863712235E-4</v>
      </c>
      <c r="U8" s="301">
        <f t="shared" ref="U8:U57" si="15">+AD$5*0.85*T8</f>
        <v>41989.415483182114</v>
      </c>
      <c r="V8" s="303">
        <f t="shared" si="5"/>
        <v>0.89928057553956831</v>
      </c>
      <c r="W8" s="303">
        <f t="shared" ref="W8:W57" si="16">+V8/V$58</f>
        <v>1.1949866568941082E-2</v>
      </c>
      <c r="X8" s="301">
        <f t="shared" ref="X8:X57" si="17">AD$5*0.15*W8</f>
        <v>384261.36499515356</v>
      </c>
      <c r="Y8" s="295">
        <f t="shared" si="6"/>
        <v>426250.78047833568</v>
      </c>
      <c r="Z8" s="304">
        <f t="shared" ref="Z8:Z57" si="18">+Y8/Y$58</f>
        <v>1.9883497596827164E-3</v>
      </c>
      <c r="AB8" s="305">
        <f t="shared" si="7"/>
        <v>86559.795600681988</v>
      </c>
      <c r="AC8" s="306">
        <f t="shared" si="8"/>
        <v>598179.09827236785</v>
      </c>
      <c r="AD8" s="306">
        <f t="shared" ref="AD8:AD57" si="19">+Z8*AD$5</f>
        <v>426250.78047833574</v>
      </c>
      <c r="AE8" s="306">
        <f t="shared" ref="AE8:AE57" si="20">SUM(AB8:AD8)</f>
        <v>1110989.6743513856</v>
      </c>
      <c r="AF8" s="329">
        <f t="shared" ref="AF8:AF57" si="21">+AE8/AE$58</f>
        <v>1.2956199455679538E-3</v>
      </c>
    </row>
    <row r="9" spans="1:32">
      <c r="A9" s="18" t="s">
        <v>264</v>
      </c>
      <c r="B9" s="213" t="s">
        <v>212</v>
      </c>
      <c r="C9" s="295">
        <v>1129316</v>
      </c>
      <c r="D9" s="295">
        <v>288767</v>
      </c>
      <c r="E9" s="296">
        <f t="shared" si="0"/>
        <v>0.25570079587998401</v>
      </c>
      <c r="F9" s="297">
        <f t="shared" si="9"/>
        <v>73837.951723875347</v>
      </c>
      <c r="G9" s="304">
        <f t="shared" si="1"/>
        <v>3.90120808291773E-5</v>
      </c>
      <c r="H9" s="298">
        <v>1407</v>
      </c>
      <c r="I9" s="299">
        <f t="shared" si="2"/>
        <v>2.4323867366981983E-4</v>
      </c>
      <c r="J9" s="299">
        <f t="shared" si="10"/>
        <v>2.0675287261934686E-4</v>
      </c>
      <c r="K9" s="295">
        <v>694.5</v>
      </c>
      <c r="L9" s="332">
        <f t="shared" si="3"/>
        <v>1.0825108640759142E-2</v>
      </c>
      <c r="M9" s="300">
        <f t="shared" si="11"/>
        <v>1.6237662961138713E-3</v>
      </c>
      <c r="N9" s="304">
        <f t="shared" si="12"/>
        <v>1.8305191687332182E-3</v>
      </c>
      <c r="O9" s="301">
        <v>366</v>
      </c>
      <c r="P9" s="301">
        <v>167</v>
      </c>
      <c r="Q9" s="302">
        <v>1.7050555638</v>
      </c>
      <c r="R9" s="303">
        <f t="shared" si="13"/>
        <v>1.5526752035910496E-4</v>
      </c>
      <c r="S9" s="302">
        <f t="shared" si="4"/>
        <v>2.6473974946572169E-4</v>
      </c>
      <c r="T9" s="302">
        <f t="shared" si="14"/>
        <v>1.3730923918798022E-4</v>
      </c>
      <c r="U9" s="301">
        <f t="shared" si="15"/>
        <v>25020.218184896756</v>
      </c>
      <c r="V9" s="303">
        <f t="shared" si="5"/>
        <v>2.191616766467066</v>
      </c>
      <c r="W9" s="303">
        <f t="shared" si="16"/>
        <v>2.9122755057643529E-2</v>
      </c>
      <c r="X9" s="301">
        <f t="shared" si="17"/>
        <v>936474.85905453633</v>
      </c>
      <c r="Y9" s="295">
        <f t="shared" si="6"/>
        <v>961495.07723943307</v>
      </c>
      <c r="Z9" s="304">
        <f t="shared" si="18"/>
        <v>4.485126111956313E-3</v>
      </c>
      <c r="AB9" s="305">
        <f t="shared" si="7"/>
        <v>16726.362975671083</v>
      </c>
      <c r="AC9" s="306">
        <f t="shared" si="8"/>
        <v>392415.98242634925</v>
      </c>
      <c r="AD9" s="306">
        <f t="shared" si="19"/>
        <v>961495.07723943319</v>
      </c>
      <c r="AE9" s="306">
        <f t="shared" si="20"/>
        <v>1370637.4226414536</v>
      </c>
      <c r="AF9" s="329">
        <f t="shared" si="21"/>
        <v>1.5984173605869715E-3</v>
      </c>
    </row>
    <row r="10" spans="1:32" ht="13.5" customHeight="1">
      <c r="A10" s="18" t="s">
        <v>265</v>
      </c>
      <c r="B10" s="213" t="s">
        <v>4</v>
      </c>
      <c r="C10" s="295">
        <v>54890194.010000005</v>
      </c>
      <c r="D10" s="295">
        <v>25832482</v>
      </c>
      <c r="E10" s="296">
        <f t="shared" si="0"/>
        <v>0.47062107296056899</v>
      </c>
      <c r="F10" s="297">
        <f t="shared" si="9"/>
        <v>12157310.396074586</v>
      </c>
      <c r="G10" s="304">
        <f t="shared" si="1"/>
        <v>6.4232818593165444E-3</v>
      </c>
      <c r="H10" s="298">
        <v>35289</v>
      </c>
      <c r="I10" s="299">
        <f t="shared" si="2"/>
        <v>6.1006748792709828E-3</v>
      </c>
      <c r="J10" s="299">
        <f t="shared" si="10"/>
        <v>5.1855736473803348E-3</v>
      </c>
      <c r="K10" s="295">
        <v>190.5</v>
      </c>
      <c r="L10" s="332">
        <f t="shared" si="3"/>
        <v>2.9693062578324213E-3</v>
      </c>
      <c r="M10" s="300">
        <f t="shared" si="11"/>
        <v>4.4539593867486317E-4</v>
      </c>
      <c r="N10" s="304">
        <f t="shared" si="12"/>
        <v>5.6309695860551979E-3</v>
      </c>
      <c r="O10" s="301">
        <v>6372</v>
      </c>
      <c r="P10" s="301">
        <v>6876</v>
      </c>
      <c r="Q10" s="302">
        <v>1.5964581414000001</v>
      </c>
      <c r="R10" s="303">
        <f t="shared" si="13"/>
        <v>6.3929309580191959E-3</v>
      </c>
      <c r="S10" s="302">
        <f t="shared" si="4"/>
        <v>1.0206046675337848E-2</v>
      </c>
      <c r="T10" s="302">
        <f t="shared" si="14"/>
        <v>5.2934419819306551E-3</v>
      </c>
      <c r="U10" s="301">
        <f t="shared" si="15"/>
        <v>964560.53591323877</v>
      </c>
      <c r="V10" s="303">
        <f t="shared" si="5"/>
        <v>0.92670157068062831</v>
      </c>
      <c r="W10" s="303">
        <f t="shared" si="16"/>
        <v>1.2314243652174133E-2</v>
      </c>
      <c r="X10" s="301">
        <f t="shared" si="17"/>
        <v>395978.31886809482</v>
      </c>
      <c r="Y10" s="295">
        <f t="shared" si="6"/>
        <v>1360538.8547813336</v>
      </c>
      <c r="Z10" s="304">
        <f t="shared" si="18"/>
        <v>6.3465622324671775E-3</v>
      </c>
      <c r="AB10" s="305">
        <f t="shared" si="7"/>
        <v>2753971.1184443804</v>
      </c>
      <c r="AC10" s="306">
        <f t="shared" si="8"/>
        <v>1207134.2927558194</v>
      </c>
      <c r="AD10" s="306">
        <f t="shared" si="19"/>
        <v>1360538.8547813338</v>
      </c>
      <c r="AE10" s="306">
        <f t="shared" si="20"/>
        <v>5321644.2659815336</v>
      </c>
      <c r="AF10" s="329">
        <f t="shared" si="21"/>
        <v>6.2060238842888658E-3</v>
      </c>
    </row>
    <row r="11" spans="1:32">
      <c r="A11" s="18" t="s">
        <v>266</v>
      </c>
      <c r="B11" s="213" t="s">
        <v>236</v>
      </c>
      <c r="C11" s="295">
        <v>10678636</v>
      </c>
      <c r="D11" s="295">
        <v>1947895</v>
      </c>
      <c r="E11" s="296">
        <f t="shared" si="0"/>
        <v>0.1824104689025827</v>
      </c>
      <c r="F11" s="297">
        <f t="shared" si="9"/>
        <v>355316.44032299629</v>
      </c>
      <c r="G11" s="304">
        <f t="shared" si="1"/>
        <v>1.8773047418288764E-4</v>
      </c>
      <c r="H11" s="298">
        <v>18030</v>
      </c>
      <c r="I11" s="299">
        <f t="shared" si="2"/>
        <v>3.1169817244256232E-3</v>
      </c>
      <c r="J11" s="299">
        <f t="shared" si="10"/>
        <v>2.6494344657617798E-3</v>
      </c>
      <c r="K11" s="295">
        <v>4539.2</v>
      </c>
      <c r="L11" s="332">
        <f t="shared" si="3"/>
        <v>7.0752099556708276E-2</v>
      </c>
      <c r="M11" s="300">
        <f t="shared" si="11"/>
        <v>1.0612814933506241E-2</v>
      </c>
      <c r="N11" s="304">
        <f t="shared" si="12"/>
        <v>1.3262249399268022E-2</v>
      </c>
      <c r="O11" s="301">
        <v>7349</v>
      </c>
      <c r="P11" s="301">
        <v>5491</v>
      </c>
      <c r="Q11" s="302">
        <v>1.7933312159000001</v>
      </c>
      <c r="R11" s="303">
        <f t="shared" si="13"/>
        <v>5.1052332592326066E-3</v>
      </c>
      <c r="S11" s="302">
        <f t="shared" si="4"/>
        <v>9.1553741682327307E-3</v>
      </c>
      <c r="T11" s="302">
        <f t="shared" si="14"/>
        <v>4.7485028752136602E-3</v>
      </c>
      <c r="U11" s="301">
        <f t="shared" si="15"/>
        <v>865262.80891268386</v>
      </c>
      <c r="V11" s="303">
        <f t="shared" si="5"/>
        <v>1.3383718812602441</v>
      </c>
      <c r="W11" s="303">
        <f t="shared" si="16"/>
        <v>1.7784622325559021E-2</v>
      </c>
      <c r="X11" s="301">
        <f t="shared" si="17"/>
        <v>571884.48183218262</v>
      </c>
      <c r="Y11" s="295">
        <f t="shared" si="6"/>
        <v>1437147.2907448665</v>
      </c>
      <c r="Z11" s="304">
        <f t="shared" si="18"/>
        <v>6.7039207927654648E-3</v>
      </c>
      <c r="AB11" s="305">
        <f t="shared" si="7"/>
        <v>80489.119935109251</v>
      </c>
      <c r="AC11" s="306">
        <f t="shared" si="8"/>
        <v>2843083.3809834328</v>
      </c>
      <c r="AD11" s="306">
        <f t="shared" si="19"/>
        <v>1437147.2907448667</v>
      </c>
      <c r="AE11" s="306">
        <f t="shared" si="20"/>
        <v>4360719.7916634083</v>
      </c>
      <c r="AF11" s="329">
        <f t="shared" si="21"/>
        <v>5.0854077850998151E-3</v>
      </c>
    </row>
    <row r="12" spans="1:32">
      <c r="A12" s="18" t="s">
        <v>267</v>
      </c>
      <c r="B12" s="213" t="s">
        <v>6</v>
      </c>
      <c r="C12" s="295">
        <v>683317463.73000002</v>
      </c>
      <c r="D12" s="295">
        <v>336540527.27999997</v>
      </c>
      <c r="E12" s="296">
        <f t="shared" si="0"/>
        <v>0.49250977055809247</v>
      </c>
      <c r="F12" s="297">
        <f t="shared" si="9"/>
        <v>165749497.87417224</v>
      </c>
      <c r="G12" s="304">
        <f t="shared" si="1"/>
        <v>8.757329608280448E-2</v>
      </c>
      <c r="H12" s="298">
        <v>656464</v>
      </c>
      <c r="I12" s="299">
        <f t="shared" si="2"/>
        <v>0.11348786970290306</v>
      </c>
      <c r="J12" s="299">
        <f t="shared" si="10"/>
        <v>9.6464689247467594E-2</v>
      </c>
      <c r="K12" s="295">
        <v>224</v>
      </c>
      <c r="L12" s="332">
        <f t="shared" si="3"/>
        <v>3.4914677257452094E-3</v>
      </c>
      <c r="M12" s="300">
        <f t="shared" si="11"/>
        <v>5.2372015886178135E-4</v>
      </c>
      <c r="N12" s="304">
        <f t="shared" si="12"/>
        <v>9.6988409406329371E-2</v>
      </c>
      <c r="O12" s="301">
        <v>77936</v>
      </c>
      <c r="P12" s="301">
        <v>87455</v>
      </c>
      <c r="Q12" s="302">
        <v>1.8323297204</v>
      </c>
      <c r="R12" s="303">
        <f t="shared" si="13"/>
        <v>8.1310904149733673E-2</v>
      </c>
      <c r="S12" s="302">
        <f t="shared" si="4"/>
        <v>0.14898838626615271</v>
      </c>
      <c r="T12" s="302">
        <f t="shared" si="14"/>
        <v>7.7273934146028844E-2</v>
      </c>
      <c r="U12" s="301">
        <f t="shared" si="15"/>
        <v>14080703.554784767</v>
      </c>
      <c r="V12" s="303">
        <f t="shared" si="5"/>
        <v>0.89115545137499286</v>
      </c>
      <c r="W12" s="303">
        <f t="shared" si="16"/>
        <v>1.1841897874560577E-2</v>
      </c>
      <c r="X12" s="301">
        <f t="shared" si="17"/>
        <v>380789.51050706836</v>
      </c>
      <c r="Y12" s="295">
        <f t="shared" si="6"/>
        <v>14461493.065291835</v>
      </c>
      <c r="Z12" s="304">
        <f t="shared" si="18"/>
        <v>6.7459128705308596E-2</v>
      </c>
      <c r="AB12" s="305">
        <f t="shared" si="7"/>
        <v>37546901.014349006</v>
      </c>
      <c r="AC12" s="306">
        <f t="shared" si="8"/>
        <v>20791807.379702229</v>
      </c>
      <c r="AD12" s="306">
        <f t="shared" si="19"/>
        <v>14461493.065291835</v>
      </c>
      <c r="AE12" s="306">
        <f t="shared" si="20"/>
        <v>72800201.459343076</v>
      </c>
      <c r="AF12" s="329">
        <f t="shared" si="21"/>
        <v>8.4898532569311735E-2</v>
      </c>
    </row>
    <row r="13" spans="1:32">
      <c r="A13" s="18" t="s">
        <v>268</v>
      </c>
      <c r="B13" s="213" t="s">
        <v>7</v>
      </c>
      <c r="C13" s="295">
        <v>1836204</v>
      </c>
      <c r="D13" s="295">
        <v>792296.3</v>
      </c>
      <c r="E13" s="296">
        <f t="shared" si="0"/>
        <v>0.43148598957414319</v>
      </c>
      <c r="F13" s="297">
        <f t="shared" si="9"/>
        <v>341864.75304143224</v>
      </c>
      <c r="G13" s="304">
        <f t="shared" si="1"/>
        <v>1.8062331181901742E-4</v>
      </c>
      <c r="H13" s="298">
        <v>14992</v>
      </c>
      <c r="I13" s="299">
        <f t="shared" si="2"/>
        <v>2.5917798121236242E-3</v>
      </c>
      <c r="J13" s="299">
        <f t="shared" si="10"/>
        <v>2.2030128403050806E-3</v>
      </c>
      <c r="K13" s="295">
        <v>2688.6</v>
      </c>
      <c r="L13" s="332">
        <f t="shared" si="3"/>
        <v>4.1906964854636471E-2</v>
      </c>
      <c r="M13" s="300">
        <f t="shared" si="11"/>
        <v>6.2860447281954702E-3</v>
      </c>
      <c r="N13" s="304">
        <f t="shared" si="12"/>
        <v>8.48905756850055E-3</v>
      </c>
      <c r="O13" s="301">
        <v>10274</v>
      </c>
      <c r="P13" s="301">
        <v>7471</v>
      </c>
      <c r="Q13" s="302">
        <v>2.3084826450000002</v>
      </c>
      <c r="R13" s="303">
        <f t="shared" si="13"/>
        <v>6.9461296084004373E-3</v>
      </c>
      <c r="S13" s="302">
        <f t="shared" si="4"/>
        <v>1.6035019650913057E-2</v>
      </c>
      <c r="T13" s="302">
        <f t="shared" si="14"/>
        <v>8.3166821494490614E-3</v>
      </c>
      <c r="U13" s="301">
        <f t="shared" si="15"/>
        <v>1515449.3840634942</v>
      </c>
      <c r="V13" s="303">
        <f t="shared" si="5"/>
        <v>1.375184044973899</v>
      </c>
      <c r="W13" s="303">
        <f t="shared" si="16"/>
        <v>1.8273791619834338E-2</v>
      </c>
      <c r="X13" s="301">
        <f t="shared" si="17"/>
        <v>587614.26924424456</v>
      </c>
      <c r="Y13" s="295">
        <f t="shared" si="6"/>
        <v>2103063.6533077387</v>
      </c>
      <c r="Z13" s="304">
        <f t="shared" si="18"/>
        <v>9.8102485700068531E-3</v>
      </c>
      <c r="AB13" s="305">
        <f t="shared" si="7"/>
        <v>77441.936219232884</v>
      </c>
      <c r="AC13" s="306">
        <f t="shared" si="8"/>
        <v>1819834.4614562611</v>
      </c>
      <c r="AD13" s="306">
        <f t="shared" si="19"/>
        <v>2103063.6533077387</v>
      </c>
      <c r="AE13" s="306">
        <f t="shared" si="20"/>
        <v>4000340.0509832324</v>
      </c>
      <c r="AF13" s="329">
        <f t="shared" si="21"/>
        <v>4.6651381905363585E-3</v>
      </c>
    </row>
    <row r="14" spans="1:32">
      <c r="A14" s="18" t="s">
        <v>269</v>
      </c>
      <c r="B14" s="213" t="s">
        <v>8</v>
      </c>
      <c r="C14" s="295">
        <v>2185720</v>
      </c>
      <c r="D14" s="295">
        <v>960189</v>
      </c>
      <c r="E14" s="296">
        <f t="shared" si="0"/>
        <v>0.43930100836337682</v>
      </c>
      <c r="F14" s="297">
        <f t="shared" si="9"/>
        <v>421811.99591942242</v>
      </c>
      <c r="G14" s="304">
        <f t="shared" si="1"/>
        <v>2.2286322000186494E-4</v>
      </c>
      <c r="H14" s="298">
        <v>3661</v>
      </c>
      <c r="I14" s="299">
        <f t="shared" si="2"/>
        <v>6.329046086035611E-4</v>
      </c>
      <c r="J14" s="299">
        <f t="shared" si="10"/>
        <v>5.3796891731302697E-4</v>
      </c>
      <c r="K14" s="295">
        <v>466.7</v>
      </c>
      <c r="L14" s="332">
        <f t="shared" si="3"/>
        <v>7.2744106589521839E-3</v>
      </c>
      <c r="M14" s="300">
        <f t="shared" si="11"/>
        <v>1.0911615988428275E-3</v>
      </c>
      <c r="N14" s="304">
        <f t="shared" si="12"/>
        <v>1.6291305161558545E-3</v>
      </c>
      <c r="O14" s="301">
        <v>1472</v>
      </c>
      <c r="P14" s="301">
        <v>1100</v>
      </c>
      <c r="Q14" s="302">
        <v>1.4822637890000001</v>
      </c>
      <c r="R14" s="303">
        <f t="shared" si="13"/>
        <v>1.0227201939821285E-3</v>
      </c>
      <c r="S14" s="302">
        <f t="shared" si="4"/>
        <v>1.515941109818765E-3</v>
      </c>
      <c r="T14" s="302">
        <f t="shared" si="14"/>
        <v>7.8625412641311154E-4</v>
      </c>
      <c r="U14" s="301">
        <f t="shared" si="15"/>
        <v>143269.67295113753</v>
      </c>
      <c r="V14" s="303">
        <f t="shared" si="5"/>
        <v>1.3381818181818181</v>
      </c>
      <c r="W14" s="303">
        <f t="shared" si="16"/>
        <v>1.7782096719548338E-2</v>
      </c>
      <c r="X14" s="301">
        <f t="shared" si="17"/>
        <v>571803.26813766093</v>
      </c>
      <c r="Y14" s="295">
        <f t="shared" si="6"/>
        <v>715072.94108879846</v>
      </c>
      <c r="Z14" s="304">
        <f t="shared" si="18"/>
        <v>3.3356305153833961E-3</v>
      </c>
      <c r="AB14" s="305">
        <f t="shared" si="7"/>
        <v>95552.224655755286</v>
      </c>
      <c r="AC14" s="306">
        <f t="shared" si="8"/>
        <v>349243.46213782637</v>
      </c>
      <c r="AD14" s="306">
        <f t="shared" si="19"/>
        <v>715072.94108879857</v>
      </c>
      <c r="AE14" s="306">
        <f t="shared" si="20"/>
        <v>1159868.6278823803</v>
      </c>
      <c r="AF14" s="329">
        <f t="shared" si="21"/>
        <v>1.3526218678857451E-3</v>
      </c>
    </row>
    <row r="15" spans="1:32">
      <c r="A15" s="18" t="s">
        <v>270</v>
      </c>
      <c r="B15" s="213" t="s">
        <v>237</v>
      </c>
      <c r="C15" s="295">
        <v>110141115</v>
      </c>
      <c r="D15" s="295">
        <v>36285132.439999998</v>
      </c>
      <c r="E15" s="296">
        <f t="shared" si="0"/>
        <v>0.32944221093094977</v>
      </c>
      <c r="F15" s="297">
        <f t="shared" si="9"/>
        <v>11953854.254955927</v>
      </c>
      <c r="G15" s="304">
        <f t="shared" si="1"/>
        <v>6.315786360901369E-3</v>
      </c>
      <c r="H15" s="298">
        <v>122337</v>
      </c>
      <c r="I15" s="299">
        <f t="shared" si="2"/>
        <v>2.1149317427679282E-2</v>
      </c>
      <c r="J15" s="299">
        <f t="shared" si="10"/>
        <v>1.7976919813527389E-2</v>
      </c>
      <c r="K15" s="295">
        <v>1140.9000000000001</v>
      </c>
      <c r="L15" s="332">
        <f t="shared" si="3"/>
        <v>1.7783105037065667E-2</v>
      </c>
      <c r="M15" s="300">
        <f t="shared" si="11"/>
        <v>2.6674657555598499E-3</v>
      </c>
      <c r="N15" s="304">
        <f t="shared" si="12"/>
        <v>2.0644385569087237E-2</v>
      </c>
      <c r="O15" s="301">
        <v>26523</v>
      </c>
      <c r="P15" s="301">
        <v>24758</v>
      </c>
      <c r="Q15" s="302">
        <v>1.8739893594999999</v>
      </c>
      <c r="R15" s="303">
        <f t="shared" si="13"/>
        <v>2.3018642329645032E-2</v>
      </c>
      <c r="S15" s="302">
        <f t="shared" si="4"/>
        <v>4.3136690795891081E-2</v>
      </c>
      <c r="T15" s="302">
        <f t="shared" si="14"/>
        <v>2.2373165367967789E-2</v>
      </c>
      <c r="U15" s="301">
        <f t="shared" si="15"/>
        <v>4076793.9747082372</v>
      </c>
      <c r="V15" s="303">
        <f t="shared" si="5"/>
        <v>1.0712900880523468</v>
      </c>
      <c r="W15" s="303">
        <f t="shared" si="16"/>
        <v>1.4235572253046412E-2</v>
      </c>
      <c r="X15" s="301">
        <f t="shared" si="17"/>
        <v>457760.79539333965</v>
      </c>
      <c r="Y15" s="295">
        <f t="shared" si="6"/>
        <v>4534554.770101577</v>
      </c>
      <c r="Z15" s="304">
        <f t="shared" si="18"/>
        <v>2.1152526400729583E-2</v>
      </c>
      <c r="AB15" s="305">
        <f t="shared" si="7"/>
        <v>2707882.6072312547</v>
      </c>
      <c r="AC15" s="306">
        <f t="shared" si="8"/>
        <v>4425622.5135779446</v>
      </c>
      <c r="AD15" s="306">
        <f t="shared" si="19"/>
        <v>4534554.770101577</v>
      </c>
      <c r="AE15" s="306">
        <f t="shared" si="20"/>
        <v>11668059.890910776</v>
      </c>
      <c r="AF15" s="329">
        <f t="shared" si="21"/>
        <v>1.3607121172904888E-2</v>
      </c>
    </row>
    <row r="16" spans="1:32">
      <c r="A16" s="18" t="s">
        <v>271</v>
      </c>
      <c r="B16" s="213" t="s">
        <v>238</v>
      </c>
      <c r="C16" s="295">
        <v>32779189</v>
      </c>
      <c r="D16" s="295">
        <v>5537234.6299999999</v>
      </c>
      <c r="E16" s="296">
        <f t="shared" si="0"/>
        <v>0.1689253089818665</v>
      </c>
      <c r="F16" s="297">
        <f t="shared" si="9"/>
        <v>935379.07077784126</v>
      </c>
      <c r="G16" s="304">
        <f t="shared" si="1"/>
        <v>4.9420498623212194E-4</v>
      </c>
      <c r="H16" s="298">
        <v>104478</v>
      </c>
      <c r="I16" s="299">
        <f t="shared" si="2"/>
        <v>1.8061897759541888E-2</v>
      </c>
      <c r="J16" s="299">
        <f t="shared" si="10"/>
        <v>1.5352613095610604E-2</v>
      </c>
      <c r="K16" s="295">
        <v>104.3</v>
      </c>
      <c r="L16" s="332">
        <f t="shared" si="3"/>
        <v>1.6257146598001131E-3</v>
      </c>
      <c r="M16" s="300">
        <f t="shared" si="11"/>
        <v>2.4385719897001694E-4</v>
      </c>
      <c r="N16" s="304">
        <f t="shared" si="12"/>
        <v>1.5596470294580621E-2</v>
      </c>
      <c r="O16" s="301">
        <v>8234</v>
      </c>
      <c r="P16" s="301">
        <v>27842</v>
      </c>
      <c r="Q16" s="302">
        <v>1.8343045897000001</v>
      </c>
      <c r="R16" s="303">
        <f t="shared" si="13"/>
        <v>2.5885977855318563E-2</v>
      </c>
      <c r="S16" s="302">
        <f t="shared" si="4"/>
        <v>4.7482767988883408E-2</v>
      </c>
      <c r="T16" s="302">
        <f t="shared" si="14"/>
        <v>2.4627290613709465E-2</v>
      </c>
      <c r="U16" s="301">
        <f t="shared" si="15"/>
        <v>4487536.2219020287</v>
      </c>
      <c r="V16" s="303">
        <f t="shared" si="5"/>
        <v>0.29574024854536313</v>
      </c>
      <c r="W16" s="303">
        <f t="shared" si="16"/>
        <v>3.9298708382110078E-3</v>
      </c>
      <c r="X16" s="301">
        <f t="shared" si="17"/>
        <v>126369.4053681325</v>
      </c>
      <c r="Y16" s="295">
        <f t="shared" si="6"/>
        <v>4613905.6272701612</v>
      </c>
      <c r="Z16" s="304">
        <f t="shared" si="18"/>
        <v>2.1522677647384698E-2</v>
      </c>
      <c r="AB16" s="305">
        <f t="shared" si="7"/>
        <v>211889.54314691765</v>
      </c>
      <c r="AC16" s="306">
        <f t="shared" si="8"/>
        <v>3343479.9905792228</v>
      </c>
      <c r="AD16" s="306">
        <f t="shared" si="19"/>
        <v>4613905.6272701612</v>
      </c>
      <c r="AE16" s="306">
        <f t="shared" si="20"/>
        <v>8169275.1609963011</v>
      </c>
      <c r="AF16" s="329">
        <f t="shared" si="21"/>
        <v>9.52688947860739E-3</v>
      </c>
    </row>
    <row r="17" spans="1:32">
      <c r="A17" s="18" t="s">
        <v>272</v>
      </c>
      <c r="B17" s="213" t="s">
        <v>227</v>
      </c>
      <c r="C17" s="295">
        <v>2853628</v>
      </c>
      <c r="D17" s="295">
        <v>1064298</v>
      </c>
      <c r="E17" s="296">
        <f t="shared" si="0"/>
        <v>0.37296311922927583</v>
      </c>
      <c r="F17" s="297">
        <f t="shared" si="9"/>
        <v>396943.9018694798</v>
      </c>
      <c r="G17" s="304">
        <f t="shared" si="1"/>
        <v>2.097242301938602E-4</v>
      </c>
      <c r="H17" s="298">
        <v>7340</v>
      </c>
      <c r="I17" s="299">
        <f t="shared" si="2"/>
        <v>1.2689210126058832E-3</v>
      </c>
      <c r="J17" s="299">
        <f t="shared" si="10"/>
        <v>1.0785828607150008E-3</v>
      </c>
      <c r="K17" s="295">
        <v>1007.4</v>
      </c>
      <c r="L17" s="332">
        <f t="shared" si="3"/>
        <v>1.5702252620159483E-2</v>
      </c>
      <c r="M17" s="300">
        <f t="shared" si="11"/>
        <v>2.3553378930239225E-3</v>
      </c>
      <c r="N17" s="304">
        <f t="shared" si="12"/>
        <v>3.4339207537389233E-3</v>
      </c>
      <c r="O17" s="301">
        <v>3737</v>
      </c>
      <c r="P17" s="301">
        <v>763</v>
      </c>
      <c r="Q17" s="302">
        <v>1.7930753231000001</v>
      </c>
      <c r="R17" s="303">
        <f t="shared" si="13"/>
        <v>7.0939591637123999E-4</v>
      </c>
      <c r="S17" s="302">
        <f t="shared" si="4"/>
        <v>1.2720003119531817E-3</v>
      </c>
      <c r="T17" s="302">
        <f t="shared" si="14"/>
        <v>6.5973241809605702E-4</v>
      </c>
      <c r="U17" s="301">
        <f t="shared" si="15"/>
        <v>120215.13732091113</v>
      </c>
      <c r="V17" s="303">
        <f t="shared" si="5"/>
        <v>4.8977719528178243</v>
      </c>
      <c r="W17" s="303">
        <f t="shared" si="16"/>
        <v>6.5082826109257794E-2</v>
      </c>
      <c r="X17" s="301">
        <f t="shared" si="17"/>
        <v>2092811.2840595287</v>
      </c>
      <c r="Y17" s="295">
        <f t="shared" si="6"/>
        <v>2213026.4213804398</v>
      </c>
      <c r="Z17" s="304">
        <f t="shared" si="18"/>
        <v>1.0323196471770319E-2</v>
      </c>
      <c r="AB17" s="305">
        <f t="shared" si="7"/>
        <v>89918.905232866033</v>
      </c>
      <c r="AC17" s="306">
        <f t="shared" si="8"/>
        <v>736143.82693693554</v>
      </c>
      <c r="AD17" s="306">
        <f t="shared" si="19"/>
        <v>2213026.4213804402</v>
      </c>
      <c r="AE17" s="306">
        <f t="shared" si="20"/>
        <v>3039089.1535502421</v>
      </c>
      <c r="AF17" s="329">
        <f t="shared" si="21"/>
        <v>3.5441414214742411E-3</v>
      </c>
    </row>
    <row r="18" spans="1:32">
      <c r="A18" s="18" t="s">
        <v>273</v>
      </c>
      <c r="B18" s="213" t="s">
        <v>12</v>
      </c>
      <c r="C18" s="295">
        <v>4729640</v>
      </c>
      <c r="D18" s="295">
        <v>1864847</v>
      </c>
      <c r="E18" s="296">
        <f t="shared" si="0"/>
        <v>0.39428941737637535</v>
      </c>
      <c r="F18" s="297">
        <f t="shared" si="9"/>
        <v>735289.43712608144</v>
      </c>
      <c r="G18" s="304">
        <f t="shared" si="1"/>
        <v>3.8848817287448782E-4</v>
      </c>
      <c r="H18" s="298">
        <v>9930</v>
      </c>
      <c r="I18" s="299">
        <f t="shared" si="2"/>
        <v>1.7166737949831634E-3</v>
      </c>
      <c r="J18" s="299">
        <f t="shared" si="10"/>
        <v>1.4591727257356889E-3</v>
      </c>
      <c r="K18" s="295">
        <v>4265.7</v>
      </c>
      <c r="L18" s="332">
        <f t="shared" si="3"/>
        <v>6.6489079811211327E-2</v>
      </c>
      <c r="M18" s="300">
        <f t="shared" si="11"/>
        <v>9.9733619716816987E-3</v>
      </c>
      <c r="N18" s="304">
        <f t="shared" si="12"/>
        <v>1.1432534697417387E-2</v>
      </c>
      <c r="O18" s="301">
        <v>4127</v>
      </c>
      <c r="P18" s="301">
        <v>1614</v>
      </c>
      <c r="Q18" s="302">
        <v>1.7681716602999999</v>
      </c>
      <c r="R18" s="303">
        <f t="shared" si="13"/>
        <v>1.5006094482610502E-3</v>
      </c>
      <c r="S18" s="302">
        <f t="shared" si="4"/>
        <v>2.6533350995936078E-3</v>
      </c>
      <c r="T18" s="302">
        <f t="shared" si="14"/>
        <v>1.3761719748213892E-3</v>
      </c>
      <c r="U18" s="301">
        <f t="shared" si="15"/>
        <v>250763.33736605191</v>
      </c>
      <c r="V18" s="303">
        <f t="shared" si="5"/>
        <v>2.5570012391573731</v>
      </c>
      <c r="W18" s="303">
        <f t="shared" si="16"/>
        <v>3.3978075870496942E-2</v>
      </c>
      <c r="X18" s="301">
        <f t="shared" si="17"/>
        <v>1092603.1465356373</v>
      </c>
      <c r="Y18" s="295">
        <f t="shared" si="6"/>
        <v>1343366.4839016893</v>
      </c>
      <c r="Z18" s="304">
        <f t="shared" si="18"/>
        <v>6.2664575591727233E-3</v>
      </c>
      <c r="AB18" s="305">
        <f t="shared" si="7"/>
        <v>166563.64011206661</v>
      </c>
      <c r="AC18" s="306">
        <f t="shared" si="8"/>
        <v>2450839.8554575359</v>
      </c>
      <c r="AD18" s="306">
        <f t="shared" si="19"/>
        <v>1343366.4839016895</v>
      </c>
      <c r="AE18" s="306">
        <f t="shared" si="20"/>
        <v>3960769.9794712923</v>
      </c>
      <c r="AF18" s="329">
        <f t="shared" si="21"/>
        <v>4.6189921505847718E-3</v>
      </c>
    </row>
    <row r="19" spans="1:32">
      <c r="A19" s="18" t="s">
        <v>274</v>
      </c>
      <c r="B19" s="213" t="s">
        <v>239</v>
      </c>
      <c r="C19" s="295">
        <v>49791403.200000003</v>
      </c>
      <c r="D19" s="295">
        <v>14209085</v>
      </c>
      <c r="E19" s="296">
        <f t="shared" si="0"/>
        <v>0.28537225478313089</v>
      </c>
      <c r="F19" s="297">
        <f t="shared" si="9"/>
        <v>4054878.6248551635</v>
      </c>
      <c r="G19" s="304">
        <f t="shared" si="1"/>
        <v>2.1423840853131734E-3</v>
      </c>
      <c r="H19" s="298">
        <v>68747</v>
      </c>
      <c r="I19" s="299">
        <f t="shared" si="2"/>
        <v>1.1884811015479108E-2</v>
      </c>
      <c r="J19" s="299">
        <f t="shared" si="10"/>
        <v>1.0102089363157242E-2</v>
      </c>
      <c r="K19" s="295">
        <v>138.69999999999999</v>
      </c>
      <c r="L19" s="332">
        <f t="shared" si="3"/>
        <v>2.1619043462538417E-3</v>
      </c>
      <c r="M19" s="300">
        <f t="shared" si="11"/>
        <v>3.2428565193807623E-4</v>
      </c>
      <c r="N19" s="304">
        <f t="shared" si="12"/>
        <v>1.0426375015095319E-2</v>
      </c>
      <c r="O19" s="301">
        <v>10747</v>
      </c>
      <c r="P19" s="301">
        <v>15877</v>
      </c>
      <c r="Q19" s="302">
        <v>1.8900298334000001</v>
      </c>
      <c r="R19" s="303">
        <f t="shared" si="13"/>
        <v>1.4761571381685684E-2</v>
      </c>
      <c r="S19" s="302">
        <f t="shared" si="4"/>
        <v>2.7899810299249601E-2</v>
      </c>
      <c r="T19" s="302">
        <f t="shared" si="14"/>
        <v>1.4470444024405789E-2</v>
      </c>
      <c r="U19" s="301">
        <f t="shared" si="15"/>
        <v>2636775.7105354476</v>
      </c>
      <c r="V19" s="303">
        <f t="shared" si="5"/>
        <v>0.67689110033381616</v>
      </c>
      <c r="W19" s="303">
        <f t="shared" si="16"/>
        <v>8.9946992637304091E-3</v>
      </c>
      <c r="X19" s="301">
        <f t="shared" si="17"/>
        <v>289234.64516208618</v>
      </c>
      <c r="Y19" s="295">
        <f t="shared" si="6"/>
        <v>2926010.3556975336</v>
      </c>
      <c r="Z19" s="304">
        <f t="shared" si="18"/>
        <v>1.3649082310304482E-2</v>
      </c>
      <c r="AB19" s="305">
        <f t="shared" si="7"/>
        <v>918543.51479372021</v>
      </c>
      <c r="AC19" s="306">
        <f t="shared" si="8"/>
        <v>2235145.2334288382</v>
      </c>
      <c r="AD19" s="306">
        <f t="shared" si="19"/>
        <v>2926010.355697534</v>
      </c>
      <c r="AE19" s="306">
        <f t="shared" si="20"/>
        <v>6079699.1039200928</v>
      </c>
      <c r="AF19" s="329">
        <f t="shared" si="21"/>
        <v>7.0900563740065375E-3</v>
      </c>
    </row>
    <row r="20" spans="1:32">
      <c r="A20" s="18" t="s">
        <v>275</v>
      </c>
      <c r="B20" s="213" t="s">
        <v>14</v>
      </c>
      <c r="C20" s="295">
        <v>6711875</v>
      </c>
      <c r="D20" s="295">
        <v>838434</v>
      </c>
      <c r="E20" s="296">
        <f t="shared" si="0"/>
        <v>0.12491799981376292</v>
      </c>
      <c r="F20" s="297">
        <f t="shared" si="9"/>
        <v>104735.49825585249</v>
      </c>
      <c r="G20" s="304">
        <f t="shared" si="1"/>
        <v>5.5336715445754879E-5</v>
      </c>
      <c r="H20" s="298">
        <v>36088</v>
      </c>
      <c r="I20" s="299">
        <f t="shared" si="2"/>
        <v>6.2388040194715413E-3</v>
      </c>
      <c r="J20" s="299">
        <f t="shared" si="10"/>
        <v>5.3029834165508102E-3</v>
      </c>
      <c r="K20" s="295">
        <v>5053.7</v>
      </c>
      <c r="L20" s="332">
        <f t="shared" si="3"/>
        <v>7.87715644892793E-2</v>
      </c>
      <c r="M20" s="300">
        <f t="shared" si="11"/>
        <v>1.1815734673391894E-2</v>
      </c>
      <c r="N20" s="304">
        <f t="shared" si="12"/>
        <v>1.7118718089942704E-2</v>
      </c>
      <c r="O20" s="301">
        <v>25568</v>
      </c>
      <c r="P20" s="301">
        <v>20948</v>
      </c>
      <c r="Q20" s="302">
        <v>2.5216163224999999</v>
      </c>
      <c r="R20" s="303">
        <f t="shared" si="13"/>
        <v>1.9476311475943298E-2</v>
      </c>
      <c r="S20" s="302">
        <f t="shared" si="4"/>
        <v>4.9111784919832688E-2</v>
      </c>
      <c r="T20" s="302">
        <f t="shared" si="14"/>
        <v>2.5472192355379904E-2</v>
      </c>
      <c r="U20" s="301">
        <f t="shared" si="15"/>
        <v>4641492.5473933732</v>
      </c>
      <c r="V20" s="303">
        <f t="shared" si="5"/>
        <v>1.220546114187512</v>
      </c>
      <c r="W20" s="303">
        <f t="shared" si="16"/>
        <v>1.6218923884827686E-2</v>
      </c>
      <c r="X20" s="301">
        <f t="shared" si="17"/>
        <v>521537.69205547299</v>
      </c>
      <c r="Y20" s="295">
        <f t="shared" si="6"/>
        <v>5163030.2394488463</v>
      </c>
      <c r="Z20" s="304">
        <f t="shared" si="18"/>
        <v>2.4084202084797071E-2</v>
      </c>
      <c r="AB20" s="305">
        <f t="shared" si="7"/>
        <v>23725.522165299986</v>
      </c>
      <c r="AC20" s="306">
        <f t="shared" si="8"/>
        <v>3669810.5607893919</v>
      </c>
      <c r="AD20" s="306">
        <f t="shared" si="19"/>
        <v>5163030.2394488472</v>
      </c>
      <c r="AE20" s="306">
        <f t="shared" si="20"/>
        <v>8856566.322403539</v>
      </c>
      <c r="AF20" s="329">
        <f t="shared" si="21"/>
        <v>1.0328398401407821E-2</v>
      </c>
    </row>
    <row r="21" spans="1:32">
      <c r="A21" s="18" t="s">
        <v>276</v>
      </c>
      <c r="B21" s="213" t="s">
        <v>15</v>
      </c>
      <c r="C21" s="295">
        <v>1548836</v>
      </c>
      <c r="D21" s="295">
        <v>363195</v>
      </c>
      <c r="E21" s="296">
        <f t="shared" si="0"/>
        <v>0.23449545335981342</v>
      </c>
      <c r="F21" s="297">
        <f t="shared" si="9"/>
        <v>85167.576183017431</v>
      </c>
      <c r="G21" s="304">
        <f t="shared" si="1"/>
        <v>4.4998057076421414E-5</v>
      </c>
      <c r="H21" s="298">
        <v>1360</v>
      </c>
      <c r="I21" s="299">
        <f t="shared" si="2"/>
        <v>2.351134301286105E-4</v>
      </c>
      <c r="J21" s="299">
        <f t="shared" si="10"/>
        <v>1.9984641560931893E-4</v>
      </c>
      <c r="K21" s="295">
        <v>720.7</v>
      </c>
      <c r="L21" s="332">
        <f t="shared" si="3"/>
        <v>1.1233485669395412E-2</v>
      </c>
      <c r="M21" s="300">
        <f t="shared" si="11"/>
        <v>1.6850228504093118E-3</v>
      </c>
      <c r="N21" s="304">
        <f t="shared" si="12"/>
        <v>1.8848692660186307E-3</v>
      </c>
      <c r="O21" s="301">
        <v>347</v>
      </c>
      <c r="P21" s="301">
        <v>179</v>
      </c>
      <c r="Q21" s="302">
        <v>1.9685182910000001</v>
      </c>
      <c r="R21" s="303">
        <f t="shared" si="13"/>
        <v>1.6642446792981908E-4</v>
      </c>
      <c r="S21" s="302">
        <f t="shared" si="4"/>
        <v>3.2760960918979179E-4</v>
      </c>
      <c r="T21" s="302">
        <f t="shared" si="14"/>
        <v>1.699171593208232E-4</v>
      </c>
      <c r="U21" s="301">
        <f t="shared" si="15"/>
        <v>30961.968944745382</v>
      </c>
      <c r="V21" s="303">
        <f t="shared" si="5"/>
        <v>1.9385474860335195</v>
      </c>
      <c r="W21" s="303">
        <f t="shared" si="16"/>
        <v>2.5759906780770288E-2</v>
      </c>
      <c r="X21" s="301">
        <f t="shared" si="17"/>
        <v>828338.70023737394</v>
      </c>
      <c r="Y21" s="295">
        <f t="shared" si="6"/>
        <v>859300.66918211931</v>
      </c>
      <c r="Z21" s="304">
        <f t="shared" si="18"/>
        <v>4.0084156025382428E-3</v>
      </c>
      <c r="AB21" s="305">
        <f t="shared" si="7"/>
        <v>19292.840060386538</v>
      </c>
      <c r="AC21" s="306">
        <f t="shared" si="8"/>
        <v>404067.23808404466</v>
      </c>
      <c r="AD21" s="306">
        <f t="shared" si="19"/>
        <v>859300.66918211931</v>
      </c>
      <c r="AE21" s="306">
        <f t="shared" si="20"/>
        <v>1282660.7473265505</v>
      </c>
      <c r="AF21" s="329">
        <f t="shared" si="21"/>
        <v>1.4958202456774291E-3</v>
      </c>
    </row>
    <row r="22" spans="1:32">
      <c r="A22" s="18" t="s">
        <v>277</v>
      </c>
      <c r="B22" s="213" t="s">
        <v>240</v>
      </c>
      <c r="C22" s="295">
        <v>2192867</v>
      </c>
      <c r="D22" s="295">
        <v>1038863</v>
      </c>
      <c r="E22" s="296">
        <f t="shared" si="0"/>
        <v>0.47374646980414226</v>
      </c>
      <c r="F22" s="297">
        <f t="shared" si="9"/>
        <v>492157.67886014062</v>
      </c>
      <c r="G22" s="304">
        <f t="shared" si="1"/>
        <v>2.6003017012433976E-4</v>
      </c>
      <c r="H22" s="298">
        <v>3256</v>
      </c>
      <c r="I22" s="299">
        <f t="shared" si="2"/>
        <v>5.6288921213143808E-4</v>
      </c>
      <c r="J22" s="299">
        <f t="shared" si="10"/>
        <v>4.7845583031172234E-4</v>
      </c>
      <c r="K22" s="295">
        <v>614.70000000000005</v>
      </c>
      <c r="L22" s="332">
        <f t="shared" si="3"/>
        <v>9.5812732634624129E-3</v>
      </c>
      <c r="M22" s="300">
        <f t="shared" si="11"/>
        <v>1.4371909895193619E-3</v>
      </c>
      <c r="N22" s="304">
        <f t="shared" si="12"/>
        <v>1.9156468198310843E-3</v>
      </c>
      <c r="O22" s="301">
        <v>355</v>
      </c>
      <c r="P22" s="301">
        <v>468</v>
      </c>
      <c r="Q22" s="302">
        <v>1.9393994637</v>
      </c>
      <c r="R22" s="303">
        <f t="shared" si="13"/>
        <v>4.3512095525785101E-4</v>
      </c>
      <c r="S22" s="302">
        <f t="shared" si="4"/>
        <v>8.43873347271708E-4</v>
      </c>
      <c r="T22" s="302">
        <f t="shared" si="14"/>
        <v>4.3768118508360012E-4</v>
      </c>
      <c r="U22" s="301">
        <f t="shared" si="15"/>
        <v>79753.400506602411</v>
      </c>
      <c r="V22" s="303">
        <f t="shared" si="5"/>
        <v>0.75854700854700852</v>
      </c>
      <c r="W22" s="303">
        <f t="shared" si="16"/>
        <v>1.0079763518707652E-2</v>
      </c>
      <c r="X22" s="301">
        <f t="shared" si="17"/>
        <v>324126.10351599747</v>
      </c>
      <c r="Y22" s="295">
        <f t="shared" si="6"/>
        <v>403879.5040225999</v>
      </c>
      <c r="Z22" s="304">
        <f t="shared" si="18"/>
        <v>1.8839935351272082E-3</v>
      </c>
      <c r="AB22" s="305">
        <f t="shared" si="7"/>
        <v>111487.49099464354</v>
      </c>
      <c r="AC22" s="306">
        <f t="shared" si="8"/>
        <v>410665.14987993805</v>
      </c>
      <c r="AD22" s="306">
        <f t="shared" si="19"/>
        <v>403879.50402259995</v>
      </c>
      <c r="AE22" s="306">
        <f t="shared" si="20"/>
        <v>926032.14489718154</v>
      </c>
      <c r="AF22" s="329">
        <f t="shared" si="21"/>
        <v>1.079925173801743E-3</v>
      </c>
    </row>
    <row r="23" spans="1:32">
      <c r="A23" s="18" t="s">
        <v>278</v>
      </c>
      <c r="B23" s="213" t="s">
        <v>17</v>
      </c>
      <c r="C23" s="295">
        <v>10046865</v>
      </c>
      <c r="D23" s="295">
        <v>1281029</v>
      </c>
      <c r="E23" s="296">
        <f t="shared" si="0"/>
        <v>0.12750534619505688</v>
      </c>
      <c r="F23" s="297">
        <f t="shared" si="9"/>
        <v>163338.04613090752</v>
      </c>
      <c r="G23" s="304">
        <f t="shared" si="1"/>
        <v>8.6299212117478498E-5</v>
      </c>
      <c r="H23" s="298">
        <v>40903</v>
      </c>
      <c r="I23" s="299">
        <f t="shared" si="2"/>
        <v>7.0712092886401146E-3</v>
      </c>
      <c r="J23" s="299">
        <f t="shared" si="10"/>
        <v>6.0105278953440974E-3</v>
      </c>
      <c r="K23" s="295">
        <v>7068.3</v>
      </c>
      <c r="L23" s="332">
        <f t="shared" si="3"/>
        <v>0.11017295234770028</v>
      </c>
      <c r="M23" s="300">
        <f t="shared" si="11"/>
        <v>1.6525942852155039E-2</v>
      </c>
      <c r="N23" s="304">
        <f t="shared" si="12"/>
        <v>2.2536470747499135E-2</v>
      </c>
      <c r="O23" s="301">
        <v>23646</v>
      </c>
      <c r="P23" s="301">
        <v>15246</v>
      </c>
      <c r="Q23" s="302">
        <v>2.0430424666000002</v>
      </c>
      <c r="R23" s="303">
        <f t="shared" si="13"/>
        <v>1.4174901888592301E-2</v>
      </c>
      <c r="S23" s="302">
        <f t="shared" si="4"/>
        <v>2.8959926518282615E-2</v>
      </c>
      <c r="T23" s="302">
        <f t="shared" si="14"/>
        <v>1.5020281182520606E-2</v>
      </c>
      <c r="U23" s="301">
        <f t="shared" si="15"/>
        <v>2736965.9507811354</v>
      </c>
      <c r="V23" s="303">
        <f t="shared" si="5"/>
        <v>1.5509641873278237</v>
      </c>
      <c r="W23" s="303">
        <f t="shared" si="16"/>
        <v>2.060960238205228E-2</v>
      </c>
      <c r="X23" s="301">
        <f t="shared" si="17"/>
        <v>662724.88463748165</v>
      </c>
      <c r="Y23" s="295">
        <f t="shared" si="6"/>
        <v>3399690.8354186169</v>
      </c>
      <c r="Z23" s="304">
        <f t="shared" si="18"/>
        <v>1.5858679362450358E-2</v>
      </c>
      <c r="AB23" s="305">
        <f t="shared" si="7"/>
        <v>37000.639691892546</v>
      </c>
      <c r="AC23" s="306">
        <f t="shared" si="8"/>
        <v>4831236.6567145418</v>
      </c>
      <c r="AD23" s="306">
        <f t="shared" si="19"/>
        <v>3399690.8354186174</v>
      </c>
      <c r="AE23" s="306">
        <f t="shared" si="20"/>
        <v>8267928.1318250522</v>
      </c>
      <c r="AF23" s="329">
        <f t="shared" si="21"/>
        <v>9.6419371335461131E-3</v>
      </c>
    </row>
    <row r="24" spans="1:32">
      <c r="A24" s="18" t="s">
        <v>279</v>
      </c>
      <c r="B24" s="213" t="s">
        <v>241</v>
      </c>
      <c r="C24" s="295">
        <v>425436337.39000034</v>
      </c>
      <c r="D24" s="295">
        <v>103525907.23999999</v>
      </c>
      <c r="E24" s="296">
        <f t="shared" si="0"/>
        <v>0.24334053803471212</v>
      </c>
      <c r="F24" s="297">
        <f t="shared" si="9"/>
        <v>25192049.968313295</v>
      </c>
      <c r="G24" s="304">
        <f t="shared" si="1"/>
        <v>1.3310151035767794E-2</v>
      </c>
      <c r="H24" s="298">
        <v>397205</v>
      </c>
      <c r="I24" s="299">
        <f t="shared" si="2"/>
        <v>6.8667816186937305E-2</v>
      </c>
      <c r="J24" s="299">
        <f t="shared" si="10"/>
        <v>5.8367643758896706E-2</v>
      </c>
      <c r="K24" s="295">
        <v>1032</v>
      </c>
      <c r="L24" s="332">
        <f t="shared" si="3"/>
        <v>1.6085690593611857E-2</v>
      </c>
      <c r="M24" s="300">
        <f t="shared" si="11"/>
        <v>2.4128535890417784E-3</v>
      </c>
      <c r="N24" s="304">
        <f t="shared" si="12"/>
        <v>6.0780497347938486E-2</v>
      </c>
      <c r="O24" s="301">
        <v>49018</v>
      </c>
      <c r="P24" s="301">
        <v>87249</v>
      </c>
      <c r="Q24" s="302">
        <v>1.8532766358999999</v>
      </c>
      <c r="R24" s="303">
        <f t="shared" si="13"/>
        <v>8.1119376549769751E-2</v>
      </c>
      <c r="S24" s="302">
        <f t="shared" si="4"/>
        <v>0.15033664527846263</v>
      </c>
      <c r="T24" s="302">
        <f t="shared" si="14"/>
        <v>7.7973218705987155E-2</v>
      </c>
      <c r="U24" s="301">
        <f t="shared" si="15"/>
        <v>14208125.805224402</v>
      </c>
      <c r="V24" s="303">
        <f t="shared" si="5"/>
        <v>0.56181732741922541</v>
      </c>
      <c r="W24" s="303">
        <f t="shared" si="16"/>
        <v>7.4655700138420563E-3</v>
      </c>
      <c r="X24" s="301">
        <f t="shared" si="17"/>
        <v>240063.77874058924</v>
      </c>
      <c r="Y24" s="295">
        <f t="shared" si="6"/>
        <v>14448189.58396499</v>
      </c>
      <c r="Z24" s="304">
        <f t="shared" si="18"/>
        <v>6.7397071402165387E-2</v>
      </c>
      <c r="AB24" s="305">
        <f t="shared" si="7"/>
        <v>5706704.5067421868</v>
      </c>
      <c r="AC24" s="306">
        <f t="shared" si="8"/>
        <v>13029767.175647371</v>
      </c>
      <c r="AD24" s="306">
        <f t="shared" si="19"/>
        <v>14448189.583964992</v>
      </c>
      <c r="AE24" s="306">
        <f t="shared" si="20"/>
        <v>33184661.26635455</v>
      </c>
      <c r="AF24" s="329">
        <f t="shared" si="21"/>
        <v>3.8699467705409864E-2</v>
      </c>
    </row>
    <row r="25" spans="1:32">
      <c r="A25" s="18" t="s">
        <v>280</v>
      </c>
      <c r="B25" s="213" t="s">
        <v>19</v>
      </c>
      <c r="C25" s="295">
        <v>5541859</v>
      </c>
      <c r="D25" s="295">
        <v>3566422</v>
      </c>
      <c r="E25" s="296">
        <f t="shared" si="0"/>
        <v>0.6435425368996216</v>
      </c>
      <c r="F25" s="297">
        <f t="shared" si="9"/>
        <v>2295144.2615346224</v>
      </c>
      <c r="G25" s="304">
        <f t="shared" si="1"/>
        <v>1.2126332239069831E-3</v>
      </c>
      <c r="H25" s="298">
        <v>5506</v>
      </c>
      <c r="I25" s="299">
        <f t="shared" si="2"/>
        <v>9.5186363697656574E-4</v>
      </c>
      <c r="J25" s="299">
        <f t="shared" si="10"/>
        <v>8.0908409143008091E-4</v>
      </c>
      <c r="K25" s="295">
        <v>1888.6</v>
      </c>
      <c r="L25" s="332">
        <f t="shared" si="3"/>
        <v>2.9437437262689294E-2</v>
      </c>
      <c r="M25" s="300">
        <f t="shared" si="11"/>
        <v>4.4156155894033936E-3</v>
      </c>
      <c r="N25" s="304">
        <f t="shared" si="12"/>
        <v>5.2246996808334749E-3</v>
      </c>
      <c r="O25" s="301">
        <v>2284</v>
      </c>
      <c r="P25" s="301">
        <v>950</v>
      </c>
      <c r="Q25" s="302">
        <v>2.0503201405999998</v>
      </c>
      <c r="R25" s="303">
        <f t="shared" si="13"/>
        <v>8.8325834934820178E-4</v>
      </c>
      <c r="S25" s="302">
        <f t="shared" si="4"/>
        <v>1.8109623830217289E-3</v>
      </c>
      <c r="T25" s="302">
        <f t="shared" si="14"/>
        <v>9.3926910300624043E-4</v>
      </c>
      <c r="U25" s="301">
        <f t="shared" si="15"/>
        <v>171151.75956495726</v>
      </c>
      <c r="V25" s="303">
        <f t="shared" si="5"/>
        <v>2.4042105263157896</v>
      </c>
      <c r="W25" s="303">
        <f t="shared" si="16"/>
        <v>3.1947754432346431E-2</v>
      </c>
      <c r="X25" s="301">
        <f t="shared" si="17"/>
        <v>1027315.8830585378</v>
      </c>
      <c r="Y25" s="295">
        <f t="shared" si="6"/>
        <v>1198467.6426234951</v>
      </c>
      <c r="Z25" s="304">
        <f t="shared" si="18"/>
        <v>5.5905419024072697E-3</v>
      </c>
      <c r="AB25" s="305">
        <f t="shared" si="7"/>
        <v>519914.4221052861</v>
      </c>
      <c r="AC25" s="306">
        <f t="shared" si="8"/>
        <v>1120040.5290242049</v>
      </c>
      <c r="AD25" s="306">
        <f t="shared" si="19"/>
        <v>1198467.6426234953</v>
      </c>
      <c r="AE25" s="306">
        <f t="shared" si="20"/>
        <v>2838422.5937529863</v>
      </c>
      <c r="AF25" s="329">
        <f t="shared" si="21"/>
        <v>3.3101270077636777E-3</v>
      </c>
    </row>
    <row r="26" spans="1:32">
      <c r="A26" s="18" t="s">
        <v>281</v>
      </c>
      <c r="B26" s="213" t="s">
        <v>20</v>
      </c>
      <c r="C26" s="295">
        <v>449264751.14000052</v>
      </c>
      <c r="D26" s="295">
        <v>154603349.86000001</v>
      </c>
      <c r="E26" s="296">
        <f t="shared" si="0"/>
        <v>0.34412526125785975</v>
      </c>
      <c r="F26" s="297">
        <f t="shared" si="9"/>
        <v>53202918.161912799</v>
      </c>
      <c r="G26" s="304">
        <f t="shared" si="1"/>
        <v>2.8109617008911698E-2</v>
      </c>
      <c r="H26" s="298">
        <v>481213</v>
      </c>
      <c r="I26" s="299">
        <f t="shared" si="2"/>
        <v>8.3190911067999293E-2</v>
      </c>
      <c r="J26" s="299">
        <f t="shared" si="10"/>
        <v>7.0712274407799397E-2</v>
      </c>
      <c r="K26" s="295">
        <v>149.4</v>
      </c>
      <c r="L26" s="332">
        <f t="shared" si="3"/>
        <v>2.3286842777961352E-3</v>
      </c>
      <c r="M26" s="300">
        <f t="shared" si="11"/>
        <v>3.4930264166942025E-4</v>
      </c>
      <c r="N26" s="304">
        <f t="shared" si="12"/>
        <v>7.1061577049468819E-2</v>
      </c>
      <c r="O26" s="301">
        <v>95635</v>
      </c>
      <c r="P26" s="301">
        <v>113990</v>
      </c>
      <c r="Q26" s="302">
        <v>1.9916235985999999</v>
      </c>
      <c r="R26" s="303">
        <f t="shared" si="13"/>
        <v>0.10598170446547529</v>
      </c>
      <c r="S26" s="302">
        <f t="shared" si="4"/>
        <v>0.21107566363329158</v>
      </c>
      <c r="T26" s="302">
        <f t="shared" si="14"/>
        <v>0.10947596212157762</v>
      </c>
      <c r="U26" s="301">
        <f t="shared" si="15"/>
        <v>19948493.447942294</v>
      </c>
      <c r="V26" s="303">
        <f t="shared" si="5"/>
        <v>0.83897710325467145</v>
      </c>
      <c r="W26" s="303">
        <f t="shared" si="16"/>
        <v>1.1148538855378512E-2</v>
      </c>
      <c r="X26" s="301">
        <f t="shared" si="17"/>
        <v>358493.77342870779</v>
      </c>
      <c r="Y26" s="295">
        <f t="shared" si="6"/>
        <v>20306987.221371002</v>
      </c>
      <c r="Z26" s="304">
        <f t="shared" si="18"/>
        <v>9.4726848631647764E-2</v>
      </c>
      <c r="AB26" s="305">
        <f t="shared" si="7"/>
        <v>12051950.247332396</v>
      </c>
      <c r="AC26" s="306">
        <f t="shared" si="8"/>
        <v>15233764.850400817</v>
      </c>
      <c r="AD26" s="306">
        <f t="shared" si="19"/>
        <v>20306987.221371002</v>
      </c>
      <c r="AE26" s="306">
        <f t="shared" si="20"/>
        <v>47592702.319104217</v>
      </c>
      <c r="AF26" s="329">
        <f t="shared" si="21"/>
        <v>5.5501914924734996E-2</v>
      </c>
    </row>
    <row r="27" spans="1:32">
      <c r="A27" s="18" t="s">
        <v>282</v>
      </c>
      <c r="B27" s="213" t="s">
        <v>242</v>
      </c>
      <c r="C27" s="295">
        <v>12500507</v>
      </c>
      <c r="D27" s="295">
        <v>4608992</v>
      </c>
      <c r="E27" s="296">
        <f t="shared" si="0"/>
        <v>0.36870440534931903</v>
      </c>
      <c r="F27" s="297">
        <f t="shared" si="9"/>
        <v>1699355.6546197687</v>
      </c>
      <c r="G27" s="304">
        <f t="shared" si="1"/>
        <v>8.9784993499636109E-4</v>
      </c>
      <c r="H27" s="298">
        <v>14109</v>
      </c>
      <c r="I27" s="299">
        <f t="shared" si="2"/>
        <v>2.4391289600621804E-3</v>
      </c>
      <c r="J27" s="299">
        <f t="shared" si="10"/>
        <v>2.0732596160528533E-3</v>
      </c>
      <c r="K27" s="295">
        <v>2478.8000000000002</v>
      </c>
      <c r="L27" s="332">
        <f t="shared" si="3"/>
        <v>3.8636831243648327E-2</v>
      </c>
      <c r="M27" s="300">
        <f t="shared" si="11"/>
        <v>5.7955246865472486E-3</v>
      </c>
      <c r="N27" s="304">
        <f t="shared" si="12"/>
        <v>7.8687843026001014E-3</v>
      </c>
      <c r="O27" s="301">
        <v>5621</v>
      </c>
      <c r="P27" s="301">
        <v>1660</v>
      </c>
      <c r="Q27" s="302">
        <v>2.1173054283999999</v>
      </c>
      <c r="R27" s="303">
        <f t="shared" si="13"/>
        <v>1.543377747282121E-3</v>
      </c>
      <c r="S27" s="302">
        <f t="shared" si="4"/>
        <v>3.2678020823921979E-3</v>
      </c>
      <c r="T27" s="302">
        <f t="shared" si="14"/>
        <v>1.6948698435187855E-3</v>
      </c>
      <c r="U27" s="301">
        <f t="shared" si="15"/>
        <v>308835.83312108228</v>
      </c>
      <c r="V27" s="303">
        <f t="shared" si="5"/>
        <v>3.3861445783132531</v>
      </c>
      <c r="W27" s="303">
        <f t="shared" si="16"/>
        <v>4.499594119411314E-2</v>
      </c>
      <c r="X27" s="301">
        <f t="shared" si="17"/>
        <v>1446894.9659597513</v>
      </c>
      <c r="Y27" s="295">
        <f t="shared" si="6"/>
        <v>1755730.7990808336</v>
      </c>
      <c r="Z27" s="304">
        <f t="shared" si="18"/>
        <v>8.1900305461079393E-3</v>
      </c>
      <c r="AB27" s="305">
        <f t="shared" si="7"/>
        <v>384951.62501560221</v>
      </c>
      <c r="AC27" s="306">
        <f t="shared" si="8"/>
        <v>1686863.9101674869</v>
      </c>
      <c r="AD27" s="306">
        <f t="shared" si="19"/>
        <v>1755730.7990808338</v>
      </c>
      <c r="AE27" s="306">
        <f t="shared" si="20"/>
        <v>3827546.3342639226</v>
      </c>
      <c r="AF27" s="329">
        <f t="shared" si="21"/>
        <v>4.4636286796751901E-3</v>
      </c>
    </row>
    <row r="28" spans="1:32">
      <c r="A28" s="18" t="s">
        <v>283</v>
      </c>
      <c r="B28" s="213" t="s">
        <v>22</v>
      </c>
      <c r="C28" s="295">
        <v>796636</v>
      </c>
      <c r="D28" s="295">
        <v>246797</v>
      </c>
      <c r="E28" s="296">
        <f t="shared" si="0"/>
        <v>0.30979895460411028</v>
      </c>
      <c r="F28" s="297">
        <f t="shared" si="9"/>
        <v>76457.452599430602</v>
      </c>
      <c r="G28" s="304">
        <f t="shared" si="1"/>
        <v>4.0396086987303419E-5</v>
      </c>
      <c r="H28" s="298">
        <v>1808</v>
      </c>
      <c r="I28" s="299">
        <f t="shared" si="2"/>
        <v>3.1256256005332924E-4</v>
      </c>
      <c r="J28" s="299">
        <f t="shared" si="10"/>
        <v>2.6567817604532983E-4</v>
      </c>
      <c r="K28" s="295">
        <v>387.9</v>
      </c>
      <c r="L28" s="332">
        <f t="shared" si="3"/>
        <v>6.0461621911453867E-3</v>
      </c>
      <c r="M28" s="300">
        <f t="shared" si="11"/>
        <v>9.0692432867180801E-4</v>
      </c>
      <c r="N28" s="304">
        <f t="shared" si="12"/>
        <v>1.1726025047171379E-3</v>
      </c>
      <c r="O28" s="301">
        <v>196</v>
      </c>
      <c r="P28" s="301">
        <v>185</v>
      </c>
      <c r="Q28" s="302">
        <v>1.7757863003000001</v>
      </c>
      <c r="R28" s="303">
        <f t="shared" si="13"/>
        <v>1.7200294171517615E-4</v>
      </c>
      <c r="S28" s="302">
        <f t="shared" si="4"/>
        <v>3.054404675091092E-4</v>
      </c>
      <c r="T28" s="302">
        <f t="shared" si="14"/>
        <v>1.5841896917835949E-4</v>
      </c>
      <c r="U28" s="301">
        <f t="shared" si="15"/>
        <v>28866.791462172496</v>
      </c>
      <c r="V28" s="303">
        <f t="shared" si="5"/>
        <v>1.0594594594594595</v>
      </c>
      <c r="W28" s="303">
        <f t="shared" si="16"/>
        <v>1.4078363883426199E-2</v>
      </c>
      <c r="X28" s="301">
        <f t="shared" si="17"/>
        <v>452705.58391039848</v>
      </c>
      <c r="Y28" s="295">
        <f t="shared" si="6"/>
        <v>481572.375372571</v>
      </c>
      <c r="Z28" s="304">
        <f t="shared" si="18"/>
        <v>2.2464107063155359E-3</v>
      </c>
      <c r="AB28" s="305">
        <f t="shared" si="7"/>
        <v>17319.753250410493</v>
      </c>
      <c r="AC28" s="306">
        <f t="shared" si="8"/>
        <v>251375.65983677277</v>
      </c>
      <c r="AD28" s="306">
        <f t="shared" si="19"/>
        <v>481572.37537257111</v>
      </c>
      <c r="AE28" s="306">
        <f t="shared" si="20"/>
        <v>750267.78845975432</v>
      </c>
      <c r="AF28" s="329">
        <f t="shared" si="21"/>
        <v>8.7495134625182008E-4</v>
      </c>
    </row>
    <row r="29" spans="1:32">
      <c r="A29" s="18" t="s">
        <v>284</v>
      </c>
      <c r="B29" s="213" t="s">
        <v>23</v>
      </c>
      <c r="C29" s="295">
        <v>1746864</v>
      </c>
      <c r="D29" s="295">
        <v>165744</v>
      </c>
      <c r="E29" s="296">
        <f t="shared" si="0"/>
        <v>9.4880883686423209E-2</v>
      </c>
      <c r="F29" s="297">
        <f t="shared" si="9"/>
        <v>15725.937185722529</v>
      </c>
      <c r="G29" s="304">
        <f t="shared" si="1"/>
        <v>8.3087561109255141E-6</v>
      </c>
      <c r="H29" s="298">
        <v>6282</v>
      </c>
      <c r="I29" s="299">
        <f t="shared" si="2"/>
        <v>1.0860165941675964E-3</v>
      </c>
      <c r="J29" s="299">
        <f t="shared" si="10"/>
        <v>9.2311410504245688E-4</v>
      </c>
      <c r="K29" s="295">
        <v>1306.7</v>
      </c>
      <c r="L29" s="332">
        <f t="shared" si="3"/>
        <v>2.0367414630496718E-2</v>
      </c>
      <c r="M29" s="300">
        <f t="shared" si="11"/>
        <v>3.0551121945745076E-3</v>
      </c>
      <c r="N29" s="304">
        <f t="shared" si="12"/>
        <v>3.9782262996169646E-3</v>
      </c>
      <c r="O29" s="301">
        <v>3611</v>
      </c>
      <c r="P29" s="301">
        <v>3897</v>
      </c>
      <c r="Q29" s="302">
        <v>2.6101222018999999</v>
      </c>
      <c r="R29" s="303">
        <f t="shared" si="13"/>
        <v>3.6232187235894133E-3</v>
      </c>
      <c r="S29" s="302">
        <f t="shared" si="4"/>
        <v>9.4570436327805069E-3</v>
      </c>
      <c r="T29" s="302">
        <f t="shared" si="14"/>
        <v>4.9049659856717437E-3</v>
      </c>
      <c r="U29" s="301">
        <f t="shared" si="15"/>
        <v>893773.2076644348</v>
      </c>
      <c r="V29" s="303">
        <f t="shared" si="5"/>
        <v>0.92661021298434698</v>
      </c>
      <c r="W29" s="303">
        <f t="shared" si="16"/>
        <v>1.2313029668118099E-2</v>
      </c>
      <c r="X29" s="301">
        <f t="shared" si="17"/>
        <v>395939.28184891446</v>
      </c>
      <c r="Y29" s="295">
        <f t="shared" si="6"/>
        <v>1289712.4895133493</v>
      </c>
      <c r="Z29" s="304">
        <f t="shared" si="18"/>
        <v>6.0161755380386973E-3</v>
      </c>
      <c r="AB29" s="305">
        <f t="shared" si="7"/>
        <v>3562.3649811502801</v>
      </c>
      <c r="AC29" s="306">
        <f t="shared" si="8"/>
        <v>852828.86316829955</v>
      </c>
      <c r="AD29" s="306">
        <f t="shared" si="19"/>
        <v>1289712.4895133495</v>
      </c>
      <c r="AE29" s="306">
        <f t="shared" si="20"/>
        <v>2146103.7176627992</v>
      </c>
      <c r="AF29" s="329">
        <f t="shared" si="21"/>
        <v>2.502754837469378E-3</v>
      </c>
    </row>
    <row r="30" spans="1:32">
      <c r="A30" s="18" t="s">
        <v>285</v>
      </c>
      <c r="B30" s="213" t="s">
        <v>24</v>
      </c>
      <c r="C30" s="295">
        <v>63133792</v>
      </c>
      <c r="D30" s="295">
        <v>12472493</v>
      </c>
      <c r="E30" s="296">
        <f t="shared" si="0"/>
        <v>0.1975565320074549</v>
      </c>
      <c r="F30" s="297">
        <f t="shared" si="9"/>
        <v>2464022.4625672572</v>
      </c>
      <c r="G30" s="304">
        <f t="shared" si="1"/>
        <v>1.3018595617881963E-3</v>
      </c>
      <c r="H30" s="298">
        <v>102149</v>
      </c>
      <c r="I30" s="299">
        <f t="shared" si="2"/>
        <v>1.7659266010446643E-2</v>
      </c>
      <c r="J30" s="299">
        <f t="shared" si="10"/>
        <v>1.5010376108879647E-2</v>
      </c>
      <c r="K30" s="295">
        <v>184.5</v>
      </c>
      <c r="L30" s="332">
        <f t="shared" si="3"/>
        <v>2.8757848008928175E-3</v>
      </c>
      <c r="M30" s="300">
        <f t="shared" si="11"/>
        <v>4.3136772013392259E-4</v>
      </c>
      <c r="N30" s="304">
        <f t="shared" si="12"/>
        <v>1.544174382901357E-2</v>
      </c>
      <c r="O30" s="301">
        <v>12989</v>
      </c>
      <c r="P30" s="301">
        <v>23008</v>
      </c>
      <c r="Q30" s="302">
        <v>1.8972127424</v>
      </c>
      <c r="R30" s="303">
        <f t="shared" si="13"/>
        <v>2.1391587475582556E-2</v>
      </c>
      <c r="S30" s="302">
        <f t="shared" si="4"/>
        <v>4.0584392338839474E-2</v>
      </c>
      <c r="T30" s="302">
        <f t="shared" si="14"/>
        <v>2.1049396798927165E-2</v>
      </c>
      <c r="U30" s="301">
        <f t="shared" si="15"/>
        <v>3835579.4823727184</v>
      </c>
      <c r="V30" s="303">
        <f t="shared" si="5"/>
        <v>0.56454276773296241</v>
      </c>
      <c r="W30" s="303">
        <f t="shared" si="16"/>
        <v>7.5017863505189922E-3</v>
      </c>
      <c r="X30" s="301">
        <f t="shared" si="17"/>
        <v>241228.35567425759</v>
      </c>
      <c r="Y30" s="295">
        <f t="shared" si="6"/>
        <v>4076807.8380469759</v>
      </c>
      <c r="Z30" s="304">
        <f t="shared" si="18"/>
        <v>1.901725523166594E-2</v>
      </c>
      <c r="AB30" s="305">
        <f t="shared" si="7"/>
        <v>558170.06196530722</v>
      </c>
      <c r="AC30" s="306">
        <f t="shared" si="8"/>
        <v>3310310.6367532974</v>
      </c>
      <c r="AD30" s="306">
        <f t="shared" si="19"/>
        <v>4076807.8380469768</v>
      </c>
      <c r="AE30" s="306">
        <f t="shared" si="20"/>
        <v>7945288.536765581</v>
      </c>
      <c r="AF30" s="329">
        <f t="shared" si="21"/>
        <v>9.2656795460639759E-3</v>
      </c>
    </row>
    <row r="31" spans="1:32">
      <c r="A31" s="18" t="s">
        <v>286</v>
      </c>
      <c r="B31" s="213" t="s">
        <v>25</v>
      </c>
      <c r="C31" s="295">
        <v>516795710.3599999</v>
      </c>
      <c r="D31" s="295">
        <v>210861820.25999999</v>
      </c>
      <c r="E31" s="296">
        <f t="shared" si="0"/>
        <v>0.40801774479341874</v>
      </c>
      <c r="F31" s="297">
        <f t="shared" si="9"/>
        <v>86035364.365520403</v>
      </c>
      <c r="G31" s="304">
        <f t="shared" si="1"/>
        <v>4.5456550600795065E-2</v>
      </c>
      <c r="H31" s="298">
        <v>643143</v>
      </c>
      <c r="I31" s="299">
        <f t="shared" si="2"/>
        <v>0.11118496823029775</v>
      </c>
      <c r="J31" s="299">
        <f t="shared" si="10"/>
        <v>9.4507222995753079E-2</v>
      </c>
      <c r="K31" s="295">
        <v>118.4</v>
      </c>
      <c r="L31" s="332">
        <f t="shared" si="3"/>
        <v>1.8454900836081822E-3</v>
      </c>
      <c r="M31" s="300">
        <f t="shared" si="11"/>
        <v>2.7682351254122733E-4</v>
      </c>
      <c r="N31" s="304">
        <f t="shared" si="12"/>
        <v>9.4784046508294306E-2</v>
      </c>
      <c r="O31" s="301">
        <v>113831</v>
      </c>
      <c r="P31" s="301">
        <v>95688</v>
      </c>
      <c r="Q31" s="302">
        <v>1.8797706219999999</v>
      </c>
      <c r="R31" s="303">
        <f t="shared" si="13"/>
        <v>8.8965499928874453E-2</v>
      </c>
      <c r="S31" s="302">
        <f t="shared" si="4"/>
        <v>0.16723473313784129</v>
      </c>
      <c r="T31" s="302">
        <f t="shared" si="14"/>
        <v>8.6737537597976422E-2</v>
      </c>
      <c r="U31" s="301">
        <f t="shared" si="15"/>
        <v>15805142.671797937</v>
      </c>
      <c r="V31" s="303">
        <f t="shared" si="5"/>
        <v>1.1896058021904523</v>
      </c>
      <c r="W31" s="303">
        <f t="shared" si="16"/>
        <v>1.5807781233665195E-2</v>
      </c>
      <c r="X31" s="301">
        <f t="shared" si="17"/>
        <v>508316.93888371397</v>
      </c>
      <c r="Y31" s="295">
        <f t="shared" si="6"/>
        <v>16313459.610681651</v>
      </c>
      <c r="Z31" s="304">
        <f t="shared" si="18"/>
        <v>7.6098074143329753E-2</v>
      </c>
      <c r="AB31" s="305">
        <f t="shared" si="7"/>
        <v>19489418.37530002</v>
      </c>
      <c r="AC31" s="306">
        <f t="shared" si="8"/>
        <v>20319248.967295516</v>
      </c>
      <c r="AD31" s="306">
        <f t="shared" si="19"/>
        <v>16313459.610681655</v>
      </c>
      <c r="AE31" s="306">
        <f t="shared" si="20"/>
        <v>56122126.953277186</v>
      </c>
      <c r="AF31" s="329">
        <f t="shared" si="21"/>
        <v>6.5448805463303547E-2</v>
      </c>
    </row>
    <row r="32" spans="1:32">
      <c r="A32" s="18" t="s">
        <v>287</v>
      </c>
      <c r="B32" s="213" t="s">
        <v>213</v>
      </c>
      <c r="C32" s="295">
        <v>997290</v>
      </c>
      <c r="D32" s="295">
        <v>297293.69</v>
      </c>
      <c r="E32" s="296">
        <f t="shared" si="0"/>
        <v>0.29810154518745802</v>
      </c>
      <c r="F32" s="297">
        <f t="shared" si="9"/>
        <v>88623.708363481142</v>
      </c>
      <c r="G32" s="304">
        <f t="shared" si="1"/>
        <v>4.6824095107443525E-5</v>
      </c>
      <c r="H32" s="298">
        <v>1959</v>
      </c>
      <c r="I32" s="299">
        <f t="shared" si="2"/>
        <v>3.3866706589849116E-4</v>
      </c>
      <c r="J32" s="299">
        <f t="shared" si="10"/>
        <v>2.8786700601371749E-4</v>
      </c>
      <c r="K32" s="295">
        <v>496.6</v>
      </c>
      <c r="L32" s="332">
        <f t="shared" si="3"/>
        <v>7.7404592527012097E-3</v>
      </c>
      <c r="M32" s="300">
        <f t="shared" si="11"/>
        <v>1.1610688879051814E-3</v>
      </c>
      <c r="N32" s="304">
        <f t="shared" si="12"/>
        <v>1.4489358939188989E-3</v>
      </c>
      <c r="O32" s="301">
        <v>188</v>
      </c>
      <c r="P32" s="301">
        <v>192</v>
      </c>
      <c r="Q32" s="302">
        <v>1.9505591721</v>
      </c>
      <c r="R32" s="303">
        <f t="shared" si="13"/>
        <v>1.7851116113142606E-4</v>
      </c>
      <c r="S32" s="302">
        <f t="shared" si="4"/>
        <v>3.4819658266712413E-4</v>
      </c>
      <c r="T32" s="302">
        <f t="shared" si="14"/>
        <v>1.8059474616246836E-4</v>
      </c>
      <c r="U32" s="301">
        <f t="shared" si="15"/>
        <v>32907.617715695174</v>
      </c>
      <c r="V32" s="303">
        <f t="shared" si="5"/>
        <v>0.97916666666666663</v>
      </c>
      <c r="W32" s="303">
        <f t="shared" si="16"/>
        <v>1.3011413049148681E-2</v>
      </c>
      <c r="X32" s="301">
        <f t="shared" si="17"/>
        <v>418396.5829188897</v>
      </c>
      <c r="Y32" s="295">
        <f t="shared" si="6"/>
        <v>451304.20063458488</v>
      </c>
      <c r="Z32" s="304">
        <f t="shared" si="18"/>
        <v>2.1052174916104003E-3</v>
      </c>
      <c r="AB32" s="305">
        <f t="shared" si="7"/>
        <v>20075.750745104804</v>
      </c>
      <c r="AC32" s="306">
        <f t="shared" si="8"/>
        <v>310614.39399100415</v>
      </c>
      <c r="AD32" s="306">
        <f t="shared" si="19"/>
        <v>451304.20063458494</v>
      </c>
      <c r="AE32" s="306">
        <f t="shared" si="20"/>
        <v>781994.34537069383</v>
      </c>
      <c r="AF32" s="329">
        <f t="shared" si="21"/>
        <v>9.1195039393604646E-4</v>
      </c>
    </row>
    <row r="33" spans="1:32">
      <c r="A33" s="18" t="s">
        <v>288</v>
      </c>
      <c r="B33" s="213" t="s">
        <v>27</v>
      </c>
      <c r="C33" s="295">
        <v>2347113</v>
      </c>
      <c r="D33" s="295">
        <v>539788</v>
      </c>
      <c r="E33" s="296">
        <f t="shared" si="0"/>
        <v>0.22997955360479022</v>
      </c>
      <c r="F33" s="297">
        <f t="shared" si="9"/>
        <v>124140.20328122251</v>
      </c>
      <c r="G33" s="304">
        <f t="shared" si="1"/>
        <v>6.5589138532286647E-5</v>
      </c>
      <c r="H33" s="298">
        <v>16086</v>
      </c>
      <c r="I33" s="299">
        <f t="shared" si="2"/>
        <v>2.7809078213594327E-3</v>
      </c>
      <c r="J33" s="299">
        <f t="shared" si="10"/>
        <v>2.3637716481555177E-3</v>
      </c>
      <c r="K33" s="295">
        <v>170.6</v>
      </c>
      <c r="L33" s="332">
        <f t="shared" si="3"/>
        <v>2.6591267589827351E-3</v>
      </c>
      <c r="M33" s="300">
        <f t="shared" si="11"/>
        <v>3.9886901384741024E-4</v>
      </c>
      <c r="N33" s="304">
        <f t="shared" si="12"/>
        <v>2.762640662002928E-3</v>
      </c>
      <c r="O33" s="301">
        <v>3006</v>
      </c>
      <c r="P33" s="301">
        <v>3272</v>
      </c>
      <c r="Q33" s="302">
        <v>1.6415123341</v>
      </c>
      <c r="R33" s="303">
        <f t="shared" si="13"/>
        <v>3.0421277042813858E-3</v>
      </c>
      <c r="S33" s="302">
        <f t="shared" si="4"/>
        <v>4.9936901484852123E-3</v>
      </c>
      <c r="T33" s="302">
        <f t="shared" si="14"/>
        <v>2.5900145195906737E-3</v>
      </c>
      <c r="U33" s="301">
        <f t="shared" si="15"/>
        <v>471947.32681820809</v>
      </c>
      <c r="V33" s="303">
        <f t="shared" si="5"/>
        <v>0.91870415647921755</v>
      </c>
      <c r="W33" s="303">
        <f t="shared" si="16"/>
        <v>1.2207971999919139E-2</v>
      </c>
      <c r="X33" s="301">
        <f t="shared" si="17"/>
        <v>392561.03467331291</v>
      </c>
      <c r="Y33" s="295">
        <f t="shared" si="6"/>
        <v>864508.36149152101</v>
      </c>
      <c r="Z33" s="304">
        <f t="shared" si="18"/>
        <v>4.032708141639944E-3</v>
      </c>
      <c r="AB33" s="305">
        <f t="shared" si="7"/>
        <v>28121.231040106413</v>
      </c>
      <c r="AC33" s="306">
        <f t="shared" si="8"/>
        <v>592238.73095035448</v>
      </c>
      <c r="AD33" s="306">
        <f t="shared" si="19"/>
        <v>864508.36149152112</v>
      </c>
      <c r="AE33" s="306">
        <f t="shared" si="20"/>
        <v>1484868.3234819821</v>
      </c>
      <c r="AF33" s="329">
        <f t="shared" si="21"/>
        <v>1.7316317701768615E-3</v>
      </c>
    </row>
    <row r="34" spans="1:32">
      <c r="A34" s="18" t="s">
        <v>289</v>
      </c>
      <c r="B34" s="213" t="s">
        <v>28</v>
      </c>
      <c r="C34" s="295">
        <v>702996</v>
      </c>
      <c r="D34" s="295">
        <v>419888</v>
      </c>
      <c r="E34" s="296">
        <f t="shared" si="0"/>
        <v>0.597283626080376</v>
      </c>
      <c r="F34" s="297">
        <f t="shared" si="9"/>
        <v>250792.22718763692</v>
      </c>
      <c r="G34" s="304">
        <f t="shared" si="1"/>
        <v>1.3250539065549238E-4</v>
      </c>
      <c r="H34" s="298">
        <v>1386</v>
      </c>
      <c r="I34" s="299">
        <f t="shared" si="2"/>
        <v>2.3960824570459864E-4</v>
      </c>
      <c r="J34" s="299">
        <f t="shared" si="10"/>
        <v>2.0366700884890884E-4</v>
      </c>
      <c r="K34" s="295">
        <v>443.2</v>
      </c>
      <c r="L34" s="332">
        <f t="shared" si="3"/>
        <v>6.9081182859387349E-3</v>
      </c>
      <c r="M34" s="300">
        <f t="shared" si="11"/>
        <v>1.0362177428908102E-3</v>
      </c>
      <c r="N34" s="304">
        <f t="shared" si="12"/>
        <v>1.239884751739719E-3</v>
      </c>
      <c r="O34" s="301">
        <v>237</v>
      </c>
      <c r="P34" s="301">
        <v>131</v>
      </c>
      <c r="Q34" s="302">
        <v>2.2584083591000002</v>
      </c>
      <c r="R34" s="303">
        <f t="shared" si="13"/>
        <v>1.2179667764696256E-4</v>
      </c>
      <c r="S34" s="302">
        <f t="shared" si="4"/>
        <v>2.7506663490850839E-4</v>
      </c>
      <c r="T34" s="302">
        <f t="shared" si="14"/>
        <v>1.426653550949875E-4</v>
      </c>
      <c r="U34" s="301">
        <f t="shared" si="15"/>
        <v>25996.199039567815</v>
      </c>
      <c r="V34" s="303">
        <f t="shared" si="5"/>
        <v>1.8091603053435115</v>
      </c>
      <c r="W34" s="303">
        <f t="shared" si="16"/>
        <v>2.4040577366755789E-2</v>
      </c>
      <c r="X34" s="301">
        <f t="shared" si="17"/>
        <v>773051.73417009739</v>
      </c>
      <c r="Y34" s="295">
        <f t="shared" si="6"/>
        <v>799047.93320966524</v>
      </c>
      <c r="Z34" s="304">
        <f t="shared" si="18"/>
        <v>3.7273521568441086E-3</v>
      </c>
      <c r="AB34" s="305">
        <f t="shared" si="7"/>
        <v>56811.459764003564</v>
      </c>
      <c r="AC34" s="306">
        <f t="shared" si="8"/>
        <v>265799.23404249386</v>
      </c>
      <c r="AD34" s="306">
        <f t="shared" si="19"/>
        <v>799047.93320966535</v>
      </c>
      <c r="AE34" s="306">
        <f t="shared" si="20"/>
        <v>1121658.6270161627</v>
      </c>
      <c r="AF34" s="329">
        <f t="shared" si="21"/>
        <v>1.308061922473703E-3</v>
      </c>
    </row>
    <row r="35" spans="1:32">
      <c r="A35" s="18" t="s">
        <v>290</v>
      </c>
      <c r="B35" s="213" t="s">
        <v>29</v>
      </c>
      <c r="C35" s="295">
        <v>1978005</v>
      </c>
      <c r="D35" s="295">
        <v>656691</v>
      </c>
      <c r="E35" s="296">
        <f t="shared" si="0"/>
        <v>0.33199663297109966</v>
      </c>
      <c r="F35" s="297">
        <f t="shared" si="9"/>
        <v>218019.2009024244</v>
      </c>
      <c r="G35" s="304">
        <f t="shared" si="1"/>
        <v>1.1518985141577036E-4</v>
      </c>
      <c r="H35" s="298">
        <v>7026</v>
      </c>
      <c r="I35" s="299">
        <f t="shared" si="2"/>
        <v>1.2146374706497186E-3</v>
      </c>
      <c r="J35" s="299">
        <f t="shared" si="10"/>
        <v>1.0324418500522608E-3</v>
      </c>
      <c r="K35" s="295">
        <v>127.8</v>
      </c>
      <c r="L35" s="332">
        <f t="shared" si="3"/>
        <v>1.9920070328135614E-3</v>
      </c>
      <c r="M35" s="300">
        <f t="shared" si="11"/>
        <v>2.9880105492203422E-4</v>
      </c>
      <c r="N35" s="304">
        <f t="shared" si="12"/>
        <v>1.331242904974295E-3</v>
      </c>
      <c r="O35" s="301">
        <v>2843</v>
      </c>
      <c r="P35" s="301">
        <v>1571</v>
      </c>
      <c r="Q35" s="302">
        <v>1.4705313694</v>
      </c>
      <c r="R35" s="303">
        <f t="shared" si="13"/>
        <v>1.4606303861326581E-3</v>
      </c>
      <c r="S35" s="302">
        <f t="shared" si="4"/>
        <v>2.1479028019069082E-3</v>
      </c>
      <c r="T35" s="302">
        <f t="shared" si="14"/>
        <v>1.1140257561426585E-3</v>
      </c>
      <c r="U35" s="301">
        <f t="shared" si="15"/>
        <v>202995.57150793582</v>
      </c>
      <c r="V35" s="303">
        <f t="shared" si="5"/>
        <v>1.8096753660089115</v>
      </c>
      <c r="W35" s="303">
        <f t="shared" si="16"/>
        <v>2.4047421622479592E-2</v>
      </c>
      <c r="X35" s="301">
        <f t="shared" si="17"/>
        <v>773271.81889084564</v>
      </c>
      <c r="Y35" s="295">
        <f t="shared" si="6"/>
        <v>976267.39039878151</v>
      </c>
      <c r="Z35" s="304">
        <f t="shared" si="18"/>
        <v>4.5540351360931998E-3</v>
      </c>
      <c r="AB35" s="305">
        <f t="shared" si="7"/>
        <v>49387.45191086558</v>
      </c>
      <c r="AC35" s="306">
        <f t="shared" si="8"/>
        <v>285384.06006702152</v>
      </c>
      <c r="AD35" s="306">
        <f t="shared" si="19"/>
        <v>976267.39039878175</v>
      </c>
      <c r="AE35" s="306">
        <f t="shared" si="20"/>
        <v>1311038.902376669</v>
      </c>
      <c r="AF35" s="329">
        <f t="shared" si="21"/>
        <v>1.528914435974759E-3</v>
      </c>
    </row>
    <row r="36" spans="1:32">
      <c r="A36" s="18" t="s">
        <v>291</v>
      </c>
      <c r="B36" s="213" t="s">
        <v>30</v>
      </c>
      <c r="C36" s="295">
        <v>579083</v>
      </c>
      <c r="D36" s="295">
        <v>129046</v>
      </c>
      <c r="E36" s="296">
        <f t="shared" si="0"/>
        <v>0.22284542975704691</v>
      </c>
      <c r="F36" s="297">
        <f t="shared" si="9"/>
        <v>28757.311328427877</v>
      </c>
      <c r="G36" s="304">
        <f t="shared" si="1"/>
        <v>1.5193847171842474E-5</v>
      </c>
      <c r="H36" s="298">
        <v>3298</v>
      </c>
      <c r="I36" s="299">
        <f t="shared" si="2"/>
        <v>5.7015006806188052E-4</v>
      </c>
      <c r="J36" s="299">
        <f t="shared" si="10"/>
        <v>4.8462755785259843E-4</v>
      </c>
      <c r="K36" s="295">
        <v>560.5</v>
      </c>
      <c r="L36" s="332">
        <f t="shared" si="3"/>
        <v>8.7364627691079895E-3</v>
      </c>
      <c r="M36" s="300">
        <f t="shared" si="11"/>
        <v>1.3104694153661983E-3</v>
      </c>
      <c r="N36" s="304">
        <f t="shared" si="12"/>
        <v>1.7950969732187967E-3</v>
      </c>
      <c r="O36" s="301">
        <v>2022</v>
      </c>
      <c r="P36" s="301">
        <v>1144</v>
      </c>
      <c r="Q36" s="302">
        <v>2.2004042460000002</v>
      </c>
      <c r="R36" s="303">
        <f t="shared" si="13"/>
        <v>1.0636290017414136E-3</v>
      </c>
      <c r="S36" s="302">
        <f t="shared" si="4"/>
        <v>2.3404137716005482E-3</v>
      </c>
      <c r="T36" s="302">
        <f t="shared" si="14"/>
        <v>1.2138730017388346E-3</v>
      </c>
      <c r="U36" s="301">
        <f t="shared" si="15"/>
        <v>221189.53926095201</v>
      </c>
      <c r="V36" s="303">
        <f t="shared" si="5"/>
        <v>1.7674825174825175</v>
      </c>
      <c r="W36" s="303">
        <f t="shared" si="16"/>
        <v>2.3486752434499599E-2</v>
      </c>
      <c r="X36" s="301">
        <f t="shared" si="17"/>
        <v>755242.87218746764</v>
      </c>
      <c r="Y36" s="295">
        <f t="shared" si="6"/>
        <v>976432.41144841968</v>
      </c>
      <c r="Z36" s="304">
        <f t="shared" si="18"/>
        <v>4.5548049166529497E-3</v>
      </c>
      <c r="AB36" s="305">
        <f t="shared" si="7"/>
        <v>6514.3360054519326</v>
      </c>
      <c r="AC36" s="306">
        <f t="shared" si="8"/>
        <v>384822.37953493057</v>
      </c>
      <c r="AD36" s="306">
        <f t="shared" si="19"/>
        <v>976432.41144841979</v>
      </c>
      <c r="AE36" s="306">
        <f t="shared" si="20"/>
        <v>1367769.1269888023</v>
      </c>
      <c r="AF36" s="329">
        <f t="shared" si="21"/>
        <v>1.5950723960538578E-3</v>
      </c>
    </row>
    <row r="37" spans="1:32">
      <c r="A37" s="18" t="s">
        <v>292</v>
      </c>
      <c r="B37" s="213" t="s">
        <v>243</v>
      </c>
      <c r="C37" s="295">
        <v>512545762.94000041</v>
      </c>
      <c r="D37" s="295">
        <v>116809127.09999999</v>
      </c>
      <c r="E37" s="296">
        <f t="shared" si="0"/>
        <v>0.22789989801100724</v>
      </c>
      <c r="F37" s="297">
        <f t="shared" si="9"/>
        <v>26620788.152844779</v>
      </c>
      <c r="G37" s="304">
        <f t="shared" si="1"/>
        <v>1.4065020966980302E-2</v>
      </c>
      <c r="H37" s="298">
        <v>471523</v>
      </c>
      <c r="I37" s="299">
        <f t="shared" si="2"/>
        <v>8.1515727878332944E-2</v>
      </c>
      <c r="J37" s="299">
        <f t="shared" si="10"/>
        <v>6.9288368696583003E-2</v>
      </c>
      <c r="K37" s="295">
        <v>247.3</v>
      </c>
      <c r="L37" s="332">
        <f t="shared" si="3"/>
        <v>3.8546427168606708E-3</v>
      </c>
      <c r="M37" s="300">
        <f t="shared" si="11"/>
        <v>5.7819640752910064E-4</v>
      </c>
      <c r="N37" s="304">
        <f t="shared" si="12"/>
        <v>6.9866565104112099E-2</v>
      </c>
      <c r="O37" s="301">
        <v>78885</v>
      </c>
      <c r="P37" s="301">
        <v>113737</v>
      </c>
      <c r="Q37" s="302">
        <v>1.9568038190999999</v>
      </c>
      <c r="R37" s="303">
        <f t="shared" si="13"/>
        <v>0.1057464788208594</v>
      </c>
      <c r="S37" s="302">
        <f t="shared" si="4"/>
        <v>0.20692511361303492</v>
      </c>
      <c r="T37" s="302">
        <f t="shared" si="14"/>
        <v>0.10732324849756292</v>
      </c>
      <c r="U37" s="301">
        <f t="shared" si="15"/>
        <v>19556230.226028215</v>
      </c>
      <c r="V37" s="303">
        <f t="shared" si="5"/>
        <v>0.69357377106834184</v>
      </c>
      <c r="W37" s="303">
        <f t="shared" si="16"/>
        <v>9.216382790222178E-3</v>
      </c>
      <c r="X37" s="301">
        <f t="shared" si="17"/>
        <v>296363.12764305959</v>
      </c>
      <c r="Y37" s="295">
        <f t="shared" si="6"/>
        <v>19852593.353671275</v>
      </c>
      <c r="Z37" s="304">
        <f t="shared" si="18"/>
        <v>9.2607218641461805E-2</v>
      </c>
      <c r="AB37" s="305">
        <f t="shared" si="7"/>
        <v>6030353.6995183146</v>
      </c>
      <c r="AC37" s="306">
        <f t="shared" si="8"/>
        <v>14977585.185878152</v>
      </c>
      <c r="AD37" s="306">
        <f t="shared" si="19"/>
        <v>19852593.353671279</v>
      </c>
      <c r="AE37" s="306">
        <f t="shared" si="20"/>
        <v>40860532.239067748</v>
      </c>
      <c r="AF37" s="329">
        <f t="shared" si="21"/>
        <v>4.7650956419883629E-2</v>
      </c>
    </row>
    <row r="38" spans="1:32">
      <c r="A38" s="18" t="s">
        <v>293</v>
      </c>
      <c r="B38" s="213" t="s">
        <v>32</v>
      </c>
      <c r="C38" s="295">
        <v>3788861</v>
      </c>
      <c r="D38" s="295">
        <v>1176027</v>
      </c>
      <c r="E38" s="296">
        <f t="shared" si="0"/>
        <v>0.31039064246484632</v>
      </c>
      <c r="F38" s="297">
        <f t="shared" si="9"/>
        <v>365027.77608600585</v>
      </c>
      <c r="G38" s="304">
        <f t="shared" si="1"/>
        <v>1.9286143200201287E-4</v>
      </c>
      <c r="H38" s="298">
        <v>5351</v>
      </c>
      <c r="I38" s="299">
        <f t="shared" si="2"/>
        <v>9.2506762104279034E-4</v>
      </c>
      <c r="J38" s="299">
        <f t="shared" si="10"/>
        <v>7.8630747788637173E-4</v>
      </c>
      <c r="K38" s="295">
        <v>3428</v>
      </c>
      <c r="L38" s="332">
        <f t="shared" si="3"/>
        <v>5.3431925731493649E-2</v>
      </c>
      <c r="M38" s="300">
        <f t="shared" si="11"/>
        <v>8.0147888597240473E-3</v>
      </c>
      <c r="N38" s="304">
        <f t="shared" si="12"/>
        <v>8.8010963376104184E-3</v>
      </c>
      <c r="O38" s="301">
        <v>2081</v>
      </c>
      <c r="P38" s="301">
        <v>764</v>
      </c>
      <c r="Q38" s="302">
        <v>1.7755281664</v>
      </c>
      <c r="R38" s="303">
        <f t="shared" si="13"/>
        <v>7.1032566200213284E-4</v>
      </c>
      <c r="S38" s="302">
        <f t="shared" si="4"/>
        <v>1.2612032202015131E-3</v>
      </c>
      <c r="T38" s="302">
        <f t="shared" si="14"/>
        <v>6.5413242619134164E-4</v>
      </c>
      <c r="U38" s="301">
        <f t="shared" si="15"/>
        <v>119194.71786393769</v>
      </c>
      <c r="V38" s="303">
        <f t="shared" si="5"/>
        <v>2.7238219895287958</v>
      </c>
      <c r="W38" s="303">
        <f t="shared" si="16"/>
        <v>3.6194831977647418E-2</v>
      </c>
      <c r="X38" s="301">
        <f t="shared" si="17"/>
        <v>1163885.4259385669</v>
      </c>
      <c r="Y38" s="295">
        <f t="shared" si="6"/>
        <v>1283080.1438025045</v>
      </c>
      <c r="Z38" s="304">
        <f t="shared" si="18"/>
        <v>5.9852373589097535E-3</v>
      </c>
      <c r="AB38" s="305">
        <f t="shared" si="7"/>
        <v>82689.009330174784</v>
      </c>
      <c r="AC38" s="306">
        <f t="shared" si="8"/>
        <v>1886727.505914297</v>
      </c>
      <c r="AD38" s="306">
        <f t="shared" si="19"/>
        <v>1283080.1438025048</v>
      </c>
      <c r="AE38" s="306">
        <f t="shared" si="20"/>
        <v>3252496.6590469768</v>
      </c>
      <c r="AF38" s="329">
        <f t="shared" si="21"/>
        <v>3.7930141401310499E-3</v>
      </c>
    </row>
    <row r="39" spans="1:32">
      <c r="A39" s="18" t="s">
        <v>294</v>
      </c>
      <c r="B39" s="213" t="s">
        <v>33</v>
      </c>
      <c r="C39" s="295">
        <v>39384069</v>
      </c>
      <c r="D39" s="295">
        <v>12032960</v>
      </c>
      <c r="E39" s="296">
        <f t="shared" si="0"/>
        <v>0.30552861361277828</v>
      </c>
      <c r="F39" s="297">
        <f t="shared" si="9"/>
        <v>3676413.5864580167</v>
      </c>
      <c r="G39" s="304">
        <f t="shared" si="1"/>
        <v>1.9424231123411531E-3</v>
      </c>
      <c r="H39" s="298">
        <v>84666</v>
      </c>
      <c r="I39" s="299">
        <f t="shared" si="2"/>
        <v>1.4636848290638924E-2</v>
      </c>
      <c r="J39" s="299">
        <f t="shared" si="10"/>
        <v>1.2441321047043085E-2</v>
      </c>
      <c r="K39" s="295">
        <v>2509.1999999999998</v>
      </c>
      <c r="L39" s="332">
        <f t="shared" si="3"/>
        <v>3.9110673292142316E-2</v>
      </c>
      <c r="M39" s="300">
        <f t="shared" si="11"/>
        <v>5.8666009938213469E-3</v>
      </c>
      <c r="N39" s="304">
        <f t="shared" si="12"/>
        <v>1.8307922040864431E-2</v>
      </c>
      <c r="O39" s="301">
        <v>25760</v>
      </c>
      <c r="P39" s="301">
        <v>21267</v>
      </c>
      <c r="Q39" s="302">
        <v>2.0486592371999999</v>
      </c>
      <c r="R39" s="303">
        <f t="shared" si="13"/>
        <v>1.9772900332198112E-2</v>
      </c>
      <c r="S39" s="302">
        <f t="shared" si="4"/>
        <v>4.0507934911792609E-2</v>
      </c>
      <c r="T39" s="302">
        <f t="shared" si="14"/>
        <v>2.1009741585989696E-2</v>
      </c>
      <c r="U39" s="301">
        <f t="shared" si="15"/>
        <v>3828353.5878463807</v>
      </c>
      <c r="V39" s="303">
        <f t="shared" si="5"/>
        <v>1.2112662810927728</v>
      </c>
      <c r="W39" s="303">
        <f t="shared" si="16"/>
        <v>1.6095611127629923E-2</v>
      </c>
      <c r="X39" s="301">
        <f t="shared" si="17"/>
        <v>517572.43201438728</v>
      </c>
      <c r="Y39" s="295">
        <f t="shared" si="6"/>
        <v>4345926.0198607678</v>
      </c>
      <c r="Z39" s="304">
        <f t="shared" si="18"/>
        <v>2.0272622017235731E-2</v>
      </c>
      <c r="AB39" s="305">
        <f t="shared" si="7"/>
        <v>832810.58940726111</v>
      </c>
      <c r="AC39" s="306">
        <f t="shared" si="8"/>
        <v>3924745.1414685948</v>
      </c>
      <c r="AD39" s="306">
        <f t="shared" si="19"/>
        <v>4345926.0198607687</v>
      </c>
      <c r="AE39" s="306">
        <f t="shared" si="20"/>
        <v>9103481.750736624</v>
      </c>
      <c r="AF39" s="329">
        <f t="shared" si="21"/>
        <v>1.0616347570695617E-2</v>
      </c>
    </row>
    <row r="40" spans="1:32">
      <c r="A40" s="18" t="s">
        <v>295</v>
      </c>
      <c r="B40" s="213" t="s">
        <v>244</v>
      </c>
      <c r="C40" s="295">
        <v>2191945</v>
      </c>
      <c r="D40" s="295">
        <v>947940</v>
      </c>
      <c r="E40" s="296">
        <f t="shared" si="0"/>
        <v>0.43246523065131653</v>
      </c>
      <c r="F40" s="297">
        <f t="shared" si="9"/>
        <v>409951.09074360901</v>
      </c>
      <c r="G40" s="304">
        <f t="shared" si="1"/>
        <v>2.1659654303394981E-4</v>
      </c>
      <c r="H40" s="298">
        <v>5119</v>
      </c>
      <c r="I40" s="299">
        <f t="shared" si="2"/>
        <v>8.8496003590320376E-4</v>
      </c>
      <c r="J40" s="299">
        <f t="shared" si="10"/>
        <v>7.5221603051772322E-4</v>
      </c>
      <c r="K40" s="295">
        <v>264.89999999999998</v>
      </c>
      <c r="L40" s="332">
        <f t="shared" si="3"/>
        <v>4.1289723238835084E-3</v>
      </c>
      <c r="M40" s="300">
        <f t="shared" si="11"/>
        <v>6.1934584858252628E-4</v>
      </c>
      <c r="N40" s="304">
        <f t="shared" si="12"/>
        <v>1.3715618791002495E-3</v>
      </c>
      <c r="O40" s="301">
        <v>1318</v>
      </c>
      <c r="P40" s="301">
        <v>475</v>
      </c>
      <c r="Q40" s="302">
        <v>2.0058388967999998</v>
      </c>
      <c r="R40" s="303">
        <f t="shared" si="13"/>
        <v>4.4162917467410089E-4</v>
      </c>
      <c r="S40" s="302">
        <f t="shared" si="4"/>
        <v>8.8583697652299298E-4</v>
      </c>
      <c r="T40" s="302">
        <f t="shared" si="14"/>
        <v>4.5944593336068676E-4</v>
      </c>
      <c r="U40" s="301">
        <f t="shared" si="15"/>
        <v>83719.3299214945</v>
      </c>
      <c r="V40" s="303">
        <f t="shared" si="5"/>
        <v>2.7747368421052632</v>
      </c>
      <c r="W40" s="303">
        <f t="shared" si="16"/>
        <v>3.6871401350116108E-2</v>
      </c>
      <c r="X40" s="301">
        <f t="shared" si="17"/>
        <v>1185641.2730920778</v>
      </c>
      <c r="Y40" s="295">
        <f t="shared" si="6"/>
        <v>1269360.6030135723</v>
      </c>
      <c r="Z40" s="304">
        <f t="shared" si="18"/>
        <v>5.921239245874E-3</v>
      </c>
      <c r="AB40" s="305">
        <f t="shared" si="7"/>
        <v>92865.397616828617</v>
      </c>
      <c r="AC40" s="306">
        <f t="shared" si="8"/>
        <v>294027.40568847617</v>
      </c>
      <c r="AD40" s="306">
        <f t="shared" si="19"/>
        <v>1269360.6030135723</v>
      </c>
      <c r="AE40" s="306">
        <f t="shared" si="20"/>
        <v>1656253.4063188771</v>
      </c>
      <c r="AF40" s="329">
        <f t="shared" si="21"/>
        <v>1.9314985527605372E-3</v>
      </c>
    </row>
    <row r="41" spans="1:32">
      <c r="A41" s="18" t="s">
        <v>296</v>
      </c>
      <c r="B41" s="213" t="s">
        <v>35</v>
      </c>
      <c r="C41" s="295">
        <v>739738</v>
      </c>
      <c r="D41" s="295">
        <v>296637</v>
      </c>
      <c r="E41" s="296">
        <f t="shared" si="0"/>
        <v>0.40100278747340273</v>
      </c>
      <c r="F41" s="297">
        <f t="shared" si="9"/>
        <v>118952.26386774777</v>
      </c>
      <c r="G41" s="304">
        <f t="shared" si="1"/>
        <v>6.2848104863148349E-5</v>
      </c>
      <c r="H41" s="298">
        <v>1483</v>
      </c>
      <c r="I41" s="299">
        <f t="shared" si="2"/>
        <v>2.5637736535347747E-4</v>
      </c>
      <c r="J41" s="299">
        <f t="shared" si="10"/>
        <v>2.1792076055045584E-4</v>
      </c>
      <c r="K41" s="295">
        <v>207.9</v>
      </c>
      <c r="L41" s="332">
        <f t="shared" si="3"/>
        <v>3.2405184829572727E-3</v>
      </c>
      <c r="M41" s="300">
        <f t="shared" si="11"/>
        <v>4.8607777244359088E-4</v>
      </c>
      <c r="N41" s="304">
        <f t="shared" si="12"/>
        <v>7.0399853299404674E-4</v>
      </c>
      <c r="O41" s="301">
        <v>35</v>
      </c>
      <c r="P41" s="301">
        <v>141</v>
      </c>
      <c r="Q41" s="302">
        <v>1.5774653305999999</v>
      </c>
      <c r="R41" s="303">
        <f t="shared" si="13"/>
        <v>1.3109413395589101E-4</v>
      </c>
      <c r="S41" s="302">
        <f t="shared" si="4"/>
        <v>2.0679645136045029E-4</v>
      </c>
      <c r="T41" s="302">
        <f t="shared" si="14"/>
        <v>1.072565168637593E-4</v>
      </c>
      <c r="U41" s="301">
        <f t="shared" si="15"/>
        <v>19544.070519605873</v>
      </c>
      <c r="V41" s="303">
        <f t="shared" si="5"/>
        <v>0.24822695035460993</v>
      </c>
      <c r="W41" s="303">
        <f t="shared" si="16"/>
        <v>3.2985021763346587E-3</v>
      </c>
      <c r="X41" s="301">
        <f t="shared" si="17"/>
        <v>106067.03777029345</v>
      </c>
      <c r="Y41" s="295">
        <f t="shared" si="6"/>
        <v>125611.10828989932</v>
      </c>
      <c r="Z41" s="304">
        <f t="shared" si="18"/>
        <v>5.8594336578439421E-4</v>
      </c>
      <c r="AB41" s="305">
        <f t="shared" si="7"/>
        <v>26946.017539465527</v>
      </c>
      <c r="AC41" s="306">
        <f t="shared" si="8"/>
        <v>150919.08386993239</v>
      </c>
      <c r="AD41" s="306">
        <f t="shared" si="19"/>
        <v>125611.10828989933</v>
      </c>
      <c r="AE41" s="306">
        <f t="shared" si="20"/>
        <v>303476.20969929727</v>
      </c>
      <c r="AF41" s="329">
        <f t="shared" si="21"/>
        <v>3.5390952712618441E-4</v>
      </c>
    </row>
    <row r="42" spans="1:32">
      <c r="A42" s="18" t="s">
        <v>297</v>
      </c>
      <c r="B42" s="213" t="s">
        <v>36</v>
      </c>
      <c r="C42" s="295">
        <v>841795</v>
      </c>
      <c r="D42" s="295">
        <v>101056</v>
      </c>
      <c r="E42" s="296">
        <f t="shared" si="0"/>
        <v>0.12004823026984004</v>
      </c>
      <c r="F42" s="297">
        <f t="shared" si="9"/>
        <v>12131.593958148955</v>
      </c>
      <c r="G42" s="304">
        <f t="shared" si="1"/>
        <v>6.4096946493307496E-6</v>
      </c>
      <c r="H42" s="298">
        <v>7652</v>
      </c>
      <c r="I42" s="299">
        <f t="shared" si="2"/>
        <v>1.322858799517741E-3</v>
      </c>
      <c r="J42" s="299">
        <f t="shared" si="10"/>
        <v>1.1244299795900798E-3</v>
      </c>
      <c r="K42" s="295">
        <v>997.9</v>
      </c>
      <c r="L42" s="332">
        <f t="shared" si="3"/>
        <v>1.5554176980005108E-2</v>
      </c>
      <c r="M42" s="300">
        <f t="shared" si="11"/>
        <v>2.3331265470007659E-3</v>
      </c>
      <c r="N42" s="304">
        <f t="shared" si="12"/>
        <v>3.4575565265908457E-3</v>
      </c>
      <c r="O42" s="301">
        <v>5295</v>
      </c>
      <c r="P42" s="301">
        <v>4705</v>
      </c>
      <c r="Q42" s="302">
        <v>2.7540316573000001</v>
      </c>
      <c r="R42" s="303">
        <f t="shared" si="13"/>
        <v>4.3744531933508314E-3</v>
      </c>
      <c r="S42" s="302">
        <f t="shared" si="4"/>
        <v>1.2047382577865268E-2</v>
      </c>
      <c r="T42" s="302">
        <f t="shared" si="14"/>
        <v>6.2484645366312659E-3</v>
      </c>
      <c r="U42" s="301">
        <f t="shared" si="15"/>
        <v>1138582.8583105977</v>
      </c>
      <c r="V42" s="303">
        <f t="shared" si="5"/>
        <v>1.1253985122210415</v>
      </c>
      <c r="W42" s="303">
        <f t="shared" si="16"/>
        <v>1.4954578608413996E-2</v>
      </c>
      <c r="X42" s="301">
        <f t="shared" si="17"/>
        <v>480881.25133816455</v>
      </c>
      <c r="Y42" s="295">
        <f t="shared" si="6"/>
        <v>1619464.1096487623</v>
      </c>
      <c r="Z42" s="304">
        <f t="shared" si="18"/>
        <v>7.5543816473986752E-3</v>
      </c>
      <c r="AB42" s="305">
        <f t="shared" si="7"/>
        <v>2748.1456253863657</v>
      </c>
      <c r="AC42" s="306">
        <f t="shared" si="8"/>
        <v>741210.7255428168</v>
      </c>
      <c r="AD42" s="306">
        <f t="shared" si="19"/>
        <v>1619464.1096487625</v>
      </c>
      <c r="AE42" s="306">
        <f t="shared" si="20"/>
        <v>2363422.9808169659</v>
      </c>
      <c r="AF42" s="329">
        <f t="shared" si="21"/>
        <v>2.7561893908220462E-3</v>
      </c>
    </row>
    <row r="43" spans="1:32">
      <c r="A43" s="18" t="s">
        <v>298</v>
      </c>
      <c r="B43" s="213" t="s">
        <v>37</v>
      </c>
      <c r="C43" s="295">
        <v>4742394</v>
      </c>
      <c r="D43" s="295">
        <v>933845.6</v>
      </c>
      <c r="E43" s="296">
        <f t="shared" si="0"/>
        <v>0.19691438543486686</v>
      </c>
      <c r="F43" s="297">
        <f t="shared" si="9"/>
        <v>183887.63241505451</v>
      </c>
      <c r="G43" s="304">
        <f t="shared" si="1"/>
        <v>9.7156530101071386E-5</v>
      </c>
      <c r="H43" s="298">
        <v>6048</v>
      </c>
      <c r="I43" s="299">
        <f t="shared" si="2"/>
        <v>1.0455632539837032E-3</v>
      </c>
      <c r="J43" s="299">
        <f t="shared" si="10"/>
        <v>8.8872876588614767E-4</v>
      </c>
      <c r="K43" s="295">
        <v>3860</v>
      </c>
      <c r="L43" s="332">
        <f t="shared" si="3"/>
        <v>6.0165470631145121E-2</v>
      </c>
      <c r="M43" s="300">
        <f t="shared" si="11"/>
        <v>9.0248205946717678E-3</v>
      </c>
      <c r="N43" s="304">
        <f t="shared" si="12"/>
        <v>9.9135493605579158E-3</v>
      </c>
      <c r="O43" s="301">
        <v>1618</v>
      </c>
      <c r="P43" s="301">
        <v>916</v>
      </c>
      <c r="Q43" s="302">
        <v>2.0422796606000002</v>
      </c>
      <c r="R43" s="303">
        <f t="shared" si="13"/>
        <v>8.5164699789784515E-4</v>
      </c>
      <c r="S43" s="302">
        <f t="shared" si="4"/>
        <v>1.7393013418178203E-3</v>
      </c>
      <c r="T43" s="302">
        <f t="shared" si="14"/>
        <v>9.0210157124349997E-4</v>
      </c>
      <c r="U43" s="301">
        <f t="shared" si="15"/>
        <v>164379.16538559011</v>
      </c>
      <c r="V43" s="303">
        <f t="shared" si="5"/>
        <v>1.7663755458515285</v>
      </c>
      <c r="W43" s="303">
        <f t="shared" si="16"/>
        <v>2.3472042716925653E-2</v>
      </c>
      <c r="X43" s="301">
        <f t="shared" si="17"/>
        <v>754769.86471738014</v>
      </c>
      <c r="Y43" s="295">
        <f t="shared" si="6"/>
        <v>919149.03010297031</v>
      </c>
      <c r="Z43" s="304">
        <f t="shared" si="18"/>
        <v>4.2875927430958234E-3</v>
      </c>
      <c r="AB43" s="305">
        <f t="shared" si="7"/>
        <v>41655.69621992152</v>
      </c>
      <c r="AC43" s="306">
        <f t="shared" si="8"/>
        <v>2125208.6720007509</v>
      </c>
      <c r="AD43" s="306">
        <f t="shared" si="19"/>
        <v>919149.03010297043</v>
      </c>
      <c r="AE43" s="306">
        <f t="shared" si="20"/>
        <v>3086013.398323643</v>
      </c>
      <c r="AF43" s="329">
        <f t="shared" si="21"/>
        <v>3.5988637909639709E-3</v>
      </c>
    </row>
    <row r="44" spans="1:32">
      <c r="A44" s="18" t="s">
        <v>299</v>
      </c>
      <c r="B44" s="213" t="s">
        <v>38</v>
      </c>
      <c r="C44" s="295">
        <v>59084249</v>
      </c>
      <c r="D44" s="295">
        <v>20840679</v>
      </c>
      <c r="E44" s="296">
        <f t="shared" si="0"/>
        <v>0.35272816956681635</v>
      </c>
      <c r="F44" s="297">
        <f t="shared" si="9"/>
        <v>7351094.5561995888</v>
      </c>
      <c r="G44" s="304">
        <f t="shared" si="1"/>
        <v>3.8839308013558214E-3</v>
      </c>
      <c r="H44" s="298">
        <v>67428</v>
      </c>
      <c r="I44" s="299">
        <f t="shared" si="2"/>
        <v>1.1656785563758786E-2</v>
      </c>
      <c r="J44" s="299">
        <f t="shared" si="10"/>
        <v>9.9082677291949667E-3</v>
      </c>
      <c r="K44" s="295">
        <v>1869</v>
      </c>
      <c r="L44" s="332">
        <f t="shared" si="3"/>
        <v>2.913193383668659E-2</v>
      </c>
      <c r="M44" s="300">
        <f t="shared" si="11"/>
        <v>4.3697900755029885E-3</v>
      </c>
      <c r="N44" s="304">
        <f t="shared" si="12"/>
        <v>1.4278057804697954E-2</v>
      </c>
      <c r="O44" s="301">
        <v>15090</v>
      </c>
      <c r="P44" s="301">
        <v>11157</v>
      </c>
      <c r="Q44" s="302">
        <v>1.7986407321</v>
      </c>
      <c r="R44" s="303">
        <f t="shared" si="13"/>
        <v>1.037317200387146E-2</v>
      </c>
      <c r="S44" s="302">
        <f t="shared" si="4"/>
        <v>1.8657609687242588E-2</v>
      </c>
      <c r="T44" s="302">
        <f t="shared" si="14"/>
        <v>9.6769079686436638E-3</v>
      </c>
      <c r="U44" s="301">
        <f t="shared" si="15"/>
        <v>1763307.0444674422</v>
      </c>
      <c r="V44" s="303">
        <f t="shared" si="5"/>
        <v>1.352514116698037</v>
      </c>
      <c r="W44" s="303">
        <f t="shared" si="16"/>
        <v>1.7972547908591634E-2</v>
      </c>
      <c r="X44" s="301">
        <f t="shared" si="17"/>
        <v>577927.43977125362</v>
      </c>
      <c r="Y44" s="295">
        <f t="shared" si="6"/>
        <v>2341234.4842386958</v>
      </c>
      <c r="Z44" s="304">
        <f t="shared" si="18"/>
        <v>1.0921253959635861E-2</v>
      </c>
      <c r="AB44" s="305">
        <f t="shared" si="7"/>
        <v>1665228.6926279427</v>
      </c>
      <c r="AC44" s="306">
        <f t="shared" si="8"/>
        <v>3060846.4397825324</v>
      </c>
      <c r="AD44" s="306">
        <f t="shared" si="19"/>
        <v>2341234.4842386963</v>
      </c>
      <c r="AE44" s="306">
        <f t="shared" si="20"/>
        <v>7067309.6166491713</v>
      </c>
      <c r="AF44" s="329">
        <f t="shared" si="21"/>
        <v>8.2417933417613647E-3</v>
      </c>
    </row>
    <row r="45" spans="1:32">
      <c r="A45" s="18" t="s">
        <v>300</v>
      </c>
      <c r="B45" s="213" t="s">
        <v>39</v>
      </c>
      <c r="C45" s="295">
        <v>2540450510.1400013</v>
      </c>
      <c r="D45" s="295">
        <v>1376062053.7900002</v>
      </c>
      <c r="E45" s="296">
        <f t="shared" si="0"/>
        <v>0.54166064180253093</v>
      </c>
      <c r="F45" s="297">
        <f t="shared" si="9"/>
        <v>745358655.21600032</v>
      </c>
      <c r="G45" s="304">
        <f t="shared" si="1"/>
        <v>0.39380821684699024</v>
      </c>
      <c r="H45" s="298">
        <v>1142994</v>
      </c>
      <c r="I45" s="299">
        <f t="shared" si="2"/>
        <v>0.19759797055619194</v>
      </c>
      <c r="J45" s="299">
        <f t="shared" si="10"/>
        <v>0.16795827497276314</v>
      </c>
      <c r="K45" s="295">
        <v>324.39999999999998</v>
      </c>
      <c r="L45" s="332">
        <f t="shared" si="3"/>
        <v>5.0563934385345795E-3</v>
      </c>
      <c r="M45" s="300">
        <f t="shared" si="11"/>
        <v>7.584590157801869E-4</v>
      </c>
      <c r="N45" s="304">
        <f t="shared" si="12"/>
        <v>0.16871673398854334</v>
      </c>
      <c r="O45" s="301">
        <v>182930</v>
      </c>
      <c r="P45" s="301">
        <v>207064</v>
      </c>
      <c r="Q45" s="302">
        <v>1.9809358914999999</v>
      </c>
      <c r="R45" s="303">
        <f t="shared" si="13"/>
        <v>0.19251684931519586</v>
      </c>
      <c r="S45" s="302">
        <f t="shared" si="4"/>
        <v>0.38136353652696864</v>
      </c>
      <c r="T45" s="302">
        <f t="shared" si="14"/>
        <v>0.19779703335156221</v>
      </c>
      <c r="U45" s="301">
        <f t="shared" si="15"/>
        <v>36042184.488446318</v>
      </c>
      <c r="V45" s="303">
        <f t="shared" si="5"/>
        <v>0.8834466638334042</v>
      </c>
      <c r="W45" s="303">
        <f t="shared" si="16"/>
        <v>1.1739461565986884E-2</v>
      </c>
      <c r="X45" s="301">
        <f t="shared" si="17"/>
        <v>377495.5560908828</v>
      </c>
      <c r="Y45" s="295">
        <f t="shared" si="6"/>
        <v>36419680.044537202</v>
      </c>
      <c r="Z45" s="304">
        <f t="shared" si="18"/>
        <v>0.1698883975837259</v>
      </c>
      <c r="AB45" s="305">
        <f t="shared" si="7"/>
        <v>168844599.87220466</v>
      </c>
      <c r="AC45" s="306">
        <f t="shared" si="8"/>
        <v>36168505.662629507</v>
      </c>
      <c r="AD45" s="306">
        <f t="shared" si="19"/>
        <v>36419680.044537202</v>
      </c>
      <c r="AE45" s="306">
        <f t="shared" si="20"/>
        <v>241432785.57937139</v>
      </c>
      <c r="AF45" s="329">
        <f t="shared" si="21"/>
        <v>0.28155539131656243</v>
      </c>
    </row>
    <row r="46" spans="1:32">
      <c r="A46" s="18" t="s">
        <v>301</v>
      </c>
      <c r="B46" s="213" t="s">
        <v>245</v>
      </c>
      <c r="C46" s="295">
        <v>1346236</v>
      </c>
      <c r="D46" s="295">
        <v>378540</v>
      </c>
      <c r="E46" s="296">
        <f t="shared" si="0"/>
        <v>0.28118398260037614</v>
      </c>
      <c r="F46" s="297">
        <f t="shared" si="9"/>
        <v>106439.38477354638</v>
      </c>
      <c r="G46" s="304">
        <f t="shared" si="1"/>
        <v>5.6236959249924835E-5</v>
      </c>
      <c r="H46" s="298">
        <v>906</v>
      </c>
      <c r="I46" s="299">
        <f t="shared" si="2"/>
        <v>1.5662703507097141E-4</v>
      </c>
      <c r="J46" s="299">
        <f t="shared" si="10"/>
        <v>1.331329798103257E-4</v>
      </c>
      <c r="K46" s="295">
        <v>1171.2</v>
      </c>
      <c r="L46" s="332">
        <f t="shared" si="3"/>
        <v>1.8255388394610668E-2</v>
      </c>
      <c r="M46" s="300">
        <f t="shared" si="11"/>
        <v>2.7383082591916001E-3</v>
      </c>
      <c r="N46" s="304">
        <f t="shared" si="12"/>
        <v>2.8714412390019256E-3</v>
      </c>
      <c r="O46" s="301">
        <v>133</v>
      </c>
      <c r="P46" s="301">
        <v>63</v>
      </c>
      <c r="Q46" s="302">
        <v>1.7977681072</v>
      </c>
      <c r="R46" s="303">
        <f t="shared" si="13"/>
        <v>5.8573974746249173E-5</v>
      </c>
      <c r="S46" s="302">
        <f t="shared" si="4"/>
        <v>1.0530242371074497E-4</v>
      </c>
      <c r="T46" s="302">
        <f t="shared" si="14"/>
        <v>5.4615884896592997E-5</v>
      </c>
      <c r="U46" s="301">
        <f t="shared" si="15"/>
        <v>9951.9986022439844</v>
      </c>
      <c r="V46" s="303">
        <f t="shared" si="5"/>
        <v>2.1111111111111112</v>
      </c>
      <c r="W46" s="303">
        <f t="shared" si="16"/>
        <v>2.8052975652065243E-2</v>
      </c>
      <c r="X46" s="301">
        <f t="shared" si="17"/>
        <v>902074.90217973385</v>
      </c>
      <c r="Y46" s="295">
        <f t="shared" si="6"/>
        <v>912026.90078197781</v>
      </c>
      <c r="Z46" s="304">
        <f t="shared" si="18"/>
        <v>4.2543698499718906E-3</v>
      </c>
      <c r="AB46" s="305">
        <f t="shared" si="7"/>
        <v>24111.500157632141</v>
      </c>
      <c r="AC46" s="306">
        <f t="shared" si="8"/>
        <v>615562.76166299742</v>
      </c>
      <c r="AD46" s="306">
        <f t="shared" si="19"/>
        <v>912026.90078197792</v>
      </c>
      <c r="AE46" s="306">
        <f t="shared" si="20"/>
        <v>1551701.1626026076</v>
      </c>
      <c r="AF46" s="329">
        <f t="shared" si="21"/>
        <v>1.8095712518684166E-3</v>
      </c>
    </row>
    <row r="47" spans="1:32">
      <c r="A47" s="18" t="s">
        <v>302</v>
      </c>
      <c r="B47" s="213" t="s">
        <v>246</v>
      </c>
      <c r="C47" s="295">
        <v>105243330.84</v>
      </c>
      <c r="D47" s="295">
        <v>21534368.5</v>
      </c>
      <c r="E47" s="296">
        <f t="shared" si="0"/>
        <v>0.20461504142945083</v>
      </c>
      <c r="F47" s="297">
        <f t="shared" si="9"/>
        <v>4406255.7027845606</v>
      </c>
      <c r="G47" s="304">
        <f t="shared" si="1"/>
        <v>2.3280332080971326E-3</v>
      </c>
      <c r="H47" s="298">
        <v>147624</v>
      </c>
      <c r="I47" s="299">
        <f t="shared" si="2"/>
        <v>2.5520871330372057E-2</v>
      </c>
      <c r="J47" s="299">
        <f t="shared" si="10"/>
        <v>2.1692740630816248E-2</v>
      </c>
      <c r="K47" s="295">
        <v>322.8</v>
      </c>
      <c r="L47" s="332">
        <f t="shared" si="3"/>
        <v>5.0314543833506857E-3</v>
      </c>
      <c r="M47" s="300">
        <f t="shared" si="11"/>
        <v>7.5471815750260279E-4</v>
      </c>
      <c r="N47" s="304">
        <f t="shared" si="12"/>
        <v>2.2447458788318851E-2</v>
      </c>
      <c r="O47" s="301">
        <v>19678</v>
      </c>
      <c r="P47" s="301">
        <v>32877</v>
      </c>
      <c r="Q47" s="302">
        <v>1.8363293522999999</v>
      </c>
      <c r="R47" s="303">
        <f t="shared" si="13"/>
        <v>3.0567247106864034E-2</v>
      </c>
      <c r="S47" s="302">
        <f t="shared" si="4"/>
        <v>5.6131533081341681E-2</v>
      </c>
      <c r="T47" s="302">
        <f t="shared" si="14"/>
        <v>2.9113036925540778E-2</v>
      </c>
      <c r="U47" s="301">
        <f t="shared" si="15"/>
        <v>5304920.0491509968</v>
      </c>
      <c r="V47" s="303">
        <f t="shared" si="5"/>
        <v>0.59853392949478357</v>
      </c>
      <c r="W47" s="303">
        <f t="shared" si="16"/>
        <v>7.953469461024678E-3</v>
      </c>
      <c r="X47" s="301">
        <f t="shared" si="17"/>
        <v>255752.73279485936</v>
      </c>
      <c r="Y47" s="295">
        <f t="shared" si="6"/>
        <v>5560672.7819458563</v>
      </c>
      <c r="Z47" s="304">
        <f t="shared" si="18"/>
        <v>2.5939101805863365E-2</v>
      </c>
      <c r="AB47" s="305">
        <f t="shared" si="7"/>
        <v>998140.25887400552</v>
      </c>
      <c r="AC47" s="306">
        <f t="shared" si="8"/>
        <v>4812154.7940353332</v>
      </c>
      <c r="AD47" s="306">
        <f t="shared" si="19"/>
        <v>5560672.7819458572</v>
      </c>
      <c r="AE47" s="306">
        <f t="shared" si="20"/>
        <v>11370967.834855195</v>
      </c>
      <c r="AF47" s="329">
        <f t="shared" si="21"/>
        <v>1.326065675259412E-2</v>
      </c>
    </row>
    <row r="48" spans="1:32">
      <c r="A48" s="18" t="s">
        <v>303</v>
      </c>
      <c r="B48" s="213" t="s">
        <v>214</v>
      </c>
      <c r="C48" s="295">
        <v>7778604</v>
      </c>
      <c r="D48" s="295">
        <v>1244367</v>
      </c>
      <c r="E48" s="296">
        <f t="shared" si="0"/>
        <v>0.15997304914866473</v>
      </c>
      <c r="F48" s="297">
        <f t="shared" si="9"/>
        <v>199065.18324997649</v>
      </c>
      <c r="G48" s="304">
        <f t="shared" si="1"/>
        <v>1.0517554777608994E-4</v>
      </c>
      <c r="H48" s="298">
        <v>5389</v>
      </c>
      <c r="I48" s="299">
        <f t="shared" si="2"/>
        <v>9.3163696688461914E-4</v>
      </c>
      <c r="J48" s="299">
        <f t="shared" si="10"/>
        <v>7.918914218519263E-4</v>
      </c>
      <c r="K48" s="295">
        <v>1341</v>
      </c>
      <c r="L48" s="332">
        <f t="shared" si="3"/>
        <v>2.0902045626001453E-2</v>
      </c>
      <c r="M48" s="300">
        <f t="shared" si="11"/>
        <v>3.135306843900218E-3</v>
      </c>
      <c r="N48" s="304">
        <f t="shared" si="12"/>
        <v>3.927198265752144E-3</v>
      </c>
      <c r="O48" s="301">
        <v>1611</v>
      </c>
      <c r="P48" s="301">
        <v>1054</v>
      </c>
      <c r="Q48" s="302">
        <v>2.1403267704000002</v>
      </c>
      <c r="R48" s="303">
        <f t="shared" si="13"/>
        <v>9.7995189496105769E-4</v>
      </c>
      <c r="S48" s="302">
        <f t="shared" si="4"/>
        <v>2.0974172744893608E-3</v>
      </c>
      <c r="T48" s="302">
        <f t="shared" si="14"/>
        <v>1.0878410620281658E-3</v>
      </c>
      <c r="U48" s="301">
        <f t="shared" si="15"/>
        <v>198224.24829819554</v>
      </c>
      <c r="V48" s="303">
        <f t="shared" si="5"/>
        <v>1.5284629981024669</v>
      </c>
      <c r="W48" s="303">
        <f t="shared" si="16"/>
        <v>2.0310600917771596E-2</v>
      </c>
      <c r="X48" s="301">
        <f t="shared" si="17"/>
        <v>653110.1571309279</v>
      </c>
      <c r="Y48" s="295">
        <f t="shared" si="6"/>
        <v>851334.40542912344</v>
      </c>
      <c r="Z48" s="304">
        <f t="shared" si="18"/>
        <v>3.9712550403896802E-3</v>
      </c>
      <c r="AB48" s="305">
        <f t="shared" si="7"/>
        <v>45093.836341900525</v>
      </c>
      <c r="AC48" s="306">
        <f t="shared" si="8"/>
        <v>841889.77201734157</v>
      </c>
      <c r="AD48" s="306">
        <f t="shared" si="19"/>
        <v>851334.40542912344</v>
      </c>
      <c r="AE48" s="306">
        <f t="shared" si="20"/>
        <v>1738318.0137883655</v>
      </c>
      <c r="AF48" s="329">
        <f t="shared" si="21"/>
        <v>2.0272011004235009E-3</v>
      </c>
    </row>
    <row r="49" spans="1:32">
      <c r="A49" s="18" t="s">
        <v>304</v>
      </c>
      <c r="B49" s="213" t="s">
        <v>43</v>
      </c>
      <c r="C49" s="295">
        <v>938475</v>
      </c>
      <c r="D49" s="295">
        <v>290271</v>
      </c>
      <c r="E49" s="296">
        <f t="shared" si="0"/>
        <v>0.30930072724366658</v>
      </c>
      <c r="F49" s="297">
        <f t="shared" si="9"/>
        <v>89781.031397746337</v>
      </c>
      <c r="G49" s="304">
        <f t="shared" si="1"/>
        <v>4.743556358272117E-5</v>
      </c>
      <c r="H49" s="298">
        <v>2377</v>
      </c>
      <c r="I49" s="299">
        <f t="shared" si="2"/>
        <v>4.1092987015860824E-4</v>
      </c>
      <c r="J49" s="299">
        <f t="shared" si="10"/>
        <v>3.4929038963481702E-4</v>
      </c>
      <c r="K49" s="295">
        <v>683.1</v>
      </c>
      <c r="L49" s="332">
        <f t="shared" si="3"/>
        <v>1.0647417872573894E-2</v>
      </c>
      <c r="M49" s="300">
        <f t="shared" si="11"/>
        <v>1.5971126808860842E-3</v>
      </c>
      <c r="N49" s="304">
        <f t="shared" si="12"/>
        <v>1.9464030705209012E-3</v>
      </c>
      <c r="O49" s="301">
        <v>1875</v>
      </c>
      <c r="P49" s="301">
        <v>790</v>
      </c>
      <c r="Q49" s="302">
        <v>2.1956719391999999</v>
      </c>
      <c r="R49" s="303">
        <f t="shared" si="13"/>
        <v>7.3449904840534679E-4</v>
      </c>
      <c r="S49" s="302">
        <f t="shared" si="4"/>
        <v>1.6127189499527224E-3</v>
      </c>
      <c r="T49" s="302">
        <f t="shared" si="14"/>
        <v>8.3644867266416574E-4</v>
      </c>
      <c r="U49" s="301">
        <f t="shared" si="15"/>
        <v>152416.02396378815</v>
      </c>
      <c r="V49" s="303">
        <f t="shared" si="5"/>
        <v>2.3734177215189876</v>
      </c>
      <c r="W49" s="303">
        <f t="shared" si="16"/>
        <v>3.1538571893977414E-2</v>
      </c>
      <c r="X49" s="301">
        <f t="shared" si="17"/>
        <v>1014158.1595125257</v>
      </c>
      <c r="Y49" s="295">
        <f t="shared" si="6"/>
        <v>1166574.1834763137</v>
      </c>
      <c r="Z49" s="304">
        <f t="shared" si="18"/>
        <v>5.4417671558611531E-3</v>
      </c>
      <c r="AB49" s="305">
        <f t="shared" si="7"/>
        <v>20337.916808752059</v>
      </c>
      <c r="AC49" s="306">
        <f t="shared" si="8"/>
        <v>417258.49483712192</v>
      </c>
      <c r="AD49" s="306">
        <f t="shared" si="19"/>
        <v>1166574.1834763139</v>
      </c>
      <c r="AE49" s="306">
        <f t="shared" si="20"/>
        <v>1604170.5951221879</v>
      </c>
      <c r="AF49" s="329">
        <f t="shared" si="21"/>
        <v>1.8707603383868743E-3</v>
      </c>
    </row>
    <row r="50" spans="1:32">
      <c r="A50" s="18" t="s">
        <v>305</v>
      </c>
      <c r="B50" s="213" t="s">
        <v>44</v>
      </c>
      <c r="C50" s="295">
        <v>19310735</v>
      </c>
      <c r="D50" s="295">
        <v>7908079.6500000004</v>
      </c>
      <c r="E50" s="296">
        <f t="shared" si="0"/>
        <v>0.40951727886069589</v>
      </c>
      <c r="F50" s="297">
        <f t="shared" si="9"/>
        <v>3238495.2592816446</v>
      </c>
      <c r="G50" s="304">
        <f t="shared" si="1"/>
        <v>1.7110501560561452E-3</v>
      </c>
      <c r="H50" s="298">
        <v>34709</v>
      </c>
      <c r="I50" s="299">
        <f t="shared" si="2"/>
        <v>6.0004059164220159E-3</v>
      </c>
      <c r="J50" s="299">
        <f t="shared" si="10"/>
        <v>5.1003450289587131E-3</v>
      </c>
      <c r="K50" s="295">
        <v>1541.5</v>
      </c>
      <c r="L50" s="332">
        <f t="shared" si="3"/>
        <v>2.4027220978733214E-2</v>
      </c>
      <c r="M50" s="300">
        <f t="shared" si="11"/>
        <v>3.6040831468099818E-3</v>
      </c>
      <c r="N50" s="304">
        <f t="shared" si="12"/>
        <v>8.7044281757686949E-3</v>
      </c>
      <c r="O50" s="301">
        <v>9838</v>
      </c>
      <c r="P50" s="301">
        <v>7575</v>
      </c>
      <c r="Q50" s="302">
        <v>1.6303971907999999</v>
      </c>
      <c r="R50" s="303">
        <f t="shared" si="13"/>
        <v>7.0428231540132936E-3</v>
      </c>
      <c r="S50" s="302">
        <f t="shared" si="4"/>
        <v>1.1482599085604469E-2</v>
      </c>
      <c r="T50" s="302">
        <f t="shared" si="14"/>
        <v>5.9555353796581761E-3</v>
      </c>
      <c r="U50" s="301">
        <f t="shared" si="15"/>
        <v>1085205.8862763215</v>
      </c>
      <c r="V50" s="303">
        <f t="shared" si="5"/>
        <v>1.2987458745874587</v>
      </c>
      <c r="W50" s="303">
        <f t="shared" si="16"/>
        <v>1.7258061978010494E-2</v>
      </c>
      <c r="X50" s="301">
        <f t="shared" si="17"/>
        <v>554952.34315649117</v>
      </c>
      <c r="Y50" s="295">
        <f t="shared" si="6"/>
        <v>1640158.2294328127</v>
      </c>
      <c r="Z50" s="304">
        <f t="shared" si="18"/>
        <v>7.6509143694110243E-3</v>
      </c>
      <c r="AB50" s="305">
        <f t="shared" si="7"/>
        <v>733609.82986503467</v>
      </c>
      <c r="AC50" s="306">
        <f t="shared" si="8"/>
        <v>1866004.3513325718</v>
      </c>
      <c r="AD50" s="306">
        <f t="shared" si="19"/>
        <v>1640158.2294328129</v>
      </c>
      <c r="AE50" s="306">
        <f t="shared" si="20"/>
        <v>4239772.4106304199</v>
      </c>
      <c r="AF50" s="329">
        <f t="shared" si="21"/>
        <v>4.9443607143230027E-3</v>
      </c>
    </row>
    <row r="51" spans="1:32">
      <c r="A51" s="18" t="s">
        <v>306</v>
      </c>
      <c r="B51" s="213" t="s">
        <v>45</v>
      </c>
      <c r="C51" s="295">
        <v>125378961.84</v>
      </c>
      <c r="D51" s="295">
        <v>23883804.280000001</v>
      </c>
      <c r="E51" s="296">
        <f t="shared" si="0"/>
        <v>0.19049291786670611</v>
      </c>
      <c r="F51" s="297">
        <f t="shared" si="9"/>
        <v>4549695.5670545241</v>
      </c>
      <c r="G51" s="304">
        <f t="shared" si="1"/>
        <v>2.4038192699850957E-3</v>
      </c>
      <c r="H51" s="298">
        <v>86766</v>
      </c>
      <c r="I51" s="299">
        <f t="shared" si="2"/>
        <v>1.4999891087161044E-2</v>
      </c>
      <c r="J51" s="299">
        <f t="shared" si="10"/>
        <v>1.2749907424086887E-2</v>
      </c>
      <c r="K51" s="295">
        <v>1667.4</v>
      </c>
      <c r="L51" s="332">
        <f t="shared" si="3"/>
        <v>2.5989612883515902E-2</v>
      </c>
      <c r="M51" s="300">
        <f t="shared" si="11"/>
        <v>3.8984419325273851E-3</v>
      </c>
      <c r="N51" s="304">
        <f t="shared" si="12"/>
        <v>1.6648349356614273E-2</v>
      </c>
      <c r="O51" s="301">
        <v>13606</v>
      </c>
      <c r="P51" s="301">
        <v>22970</v>
      </c>
      <c r="Q51" s="302">
        <v>1.9100372027999999</v>
      </c>
      <c r="R51" s="303">
        <f t="shared" si="13"/>
        <v>2.1356257141608628E-2</v>
      </c>
      <c r="S51" s="302">
        <f t="shared" si="4"/>
        <v>4.0791245653035664E-2</v>
      </c>
      <c r="T51" s="302">
        <f t="shared" si="14"/>
        <v>2.1156682808123412E-2</v>
      </c>
      <c r="U51" s="301">
        <f t="shared" si="15"/>
        <v>3855128.9269268611</v>
      </c>
      <c r="V51" s="303">
        <f t="shared" si="5"/>
        <v>0.59233783195472356</v>
      </c>
      <c r="W51" s="303">
        <f t="shared" si="16"/>
        <v>7.8711341578214088E-3</v>
      </c>
      <c r="X51" s="301">
        <f t="shared" si="17"/>
        <v>253105.1487558535</v>
      </c>
      <c r="Y51" s="295">
        <f t="shared" si="6"/>
        <v>4108234.0756827146</v>
      </c>
      <c r="Z51" s="304">
        <f t="shared" si="18"/>
        <v>1.9163850510578111E-2</v>
      </c>
      <c r="AB51" s="305">
        <f t="shared" si="7"/>
        <v>1030633.4033741748</v>
      </c>
      <c r="AC51" s="306">
        <f t="shared" si="8"/>
        <v>3568975.665561581</v>
      </c>
      <c r="AD51" s="306">
        <f t="shared" si="19"/>
        <v>4108234.0756827146</v>
      </c>
      <c r="AE51" s="306">
        <f t="shared" si="20"/>
        <v>8707843.1446184702</v>
      </c>
      <c r="AF51" s="329">
        <f t="shared" si="21"/>
        <v>1.0154959601790643E-2</v>
      </c>
    </row>
    <row r="52" spans="1:32">
      <c r="A52" s="18" t="s">
        <v>307</v>
      </c>
      <c r="B52" s="213" t="s">
        <v>247</v>
      </c>
      <c r="C52" s="295">
        <v>658439418</v>
      </c>
      <c r="D52" s="295">
        <v>330884619.5</v>
      </c>
      <c r="E52" s="296">
        <f t="shared" si="0"/>
        <v>0.50252857051762956</v>
      </c>
      <c r="F52" s="297">
        <f t="shared" si="9"/>
        <v>166278974.84360477</v>
      </c>
      <c r="G52" s="304">
        <f t="shared" si="1"/>
        <v>8.7853043798531136E-2</v>
      </c>
      <c r="H52" s="298">
        <v>412199</v>
      </c>
      <c r="I52" s="299">
        <f t="shared" si="2"/>
        <v>7.125994175410523E-2</v>
      </c>
      <c r="J52" s="299">
        <f t="shared" si="10"/>
        <v>6.0570950490989442E-2</v>
      </c>
      <c r="K52" s="295">
        <v>60.1</v>
      </c>
      <c r="L52" s="332">
        <f t="shared" si="3"/>
        <v>9.3677326034503157E-4</v>
      </c>
      <c r="M52" s="300">
        <f t="shared" si="11"/>
        <v>1.4051598905175474E-4</v>
      </c>
      <c r="N52" s="304">
        <f t="shared" si="12"/>
        <v>6.07114664800412E-2</v>
      </c>
      <c r="O52" s="301">
        <v>47668</v>
      </c>
      <c r="P52" s="301">
        <v>40796</v>
      </c>
      <c r="Q52" s="302">
        <v>1.7340616191</v>
      </c>
      <c r="R52" s="303">
        <f t="shared" si="13"/>
        <v>3.7929902757904463E-2</v>
      </c>
      <c r="S52" s="302">
        <f t="shared" si="4"/>
        <v>6.5772788588677369E-2</v>
      </c>
      <c r="T52" s="302">
        <f t="shared" si="14"/>
        <v>3.4113545769418024E-2</v>
      </c>
      <c r="U52" s="301">
        <f t="shared" si="15"/>
        <v>6216102.8876053719</v>
      </c>
      <c r="V52" s="303">
        <f t="shared" si="5"/>
        <v>1.1684478870477497</v>
      </c>
      <c r="W52" s="303">
        <f t="shared" si="16"/>
        <v>1.5526629533395704E-2</v>
      </c>
      <c r="X52" s="301">
        <f t="shared" si="17"/>
        <v>499276.19056297047</v>
      </c>
      <c r="Y52" s="295">
        <f t="shared" si="6"/>
        <v>6715379.0781683419</v>
      </c>
      <c r="Z52" s="304">
        <f t="shared" si="18"/>
        <v>3.1325508334014672E-2</v>
      </c>
      <c r="AB52" s="305">
        <f t="shared" si="7"/>
        <v>37666842.369319215</v>
      </c>
      <c r="AC52" s="306">
        <f t="shared" si="8"/>
        <v>13014968.742336014</v>
      </c>
      <c r="AD52" s="306">
        <f t="shared" si="19"/>
        <v>6715379.0781683419</v>
      </c>
      <c r="AE52" s="306">
        <f t="shared" si="20"/>
        <v>57397190.189823568</v>
      </c>
      <c r="AF52" s="329">
        <f t="shared" si="21"/>
        <v>6.6935765602779529E-2</v>
      </c>
    </row>
    <row r="53" spans="1:32">
      <c r="A53" s="18" t="s">
        <v>308</v>
      </c>
      <c r="B53" s="213" t="s">
        <v>248</v>
      </c>
      <c r="C53" s="295">
        <v>1139151243</v>
      </c>
      <c r="D53" s="295">
        <v>722790593.90999997</v>
      </c>
      <c r="E53" s="296">
        <f t="shared" si="0"/>
        <v>0.63449923647232498</v>
      </c>
      <c r="F53" s="297">
        <f t="shared" si="9"/>
        <v>458610079.96527326</v>
      </c>
      <c r="G53" s="304">
        <f t="shared" si="1"/>
        <v>0.24230538755445435</v>
      </c>
      <c r="H53" s="298">
        <v>132169</v>
      </c>
      <c r="I53" s="299">
        <f t="shared" si="2"/>
        <v>2.2849049225491413E-2</v>
      </c>
      <c r="J53" s="299">
        <f t="shared" si="10"/>
        <v>1.9421691841667702E-2</v>
      </c>
      <c r="K53" s="295">
        <v>70.8</v>
      </c>
      <c r="L53" s="332">
        <f t="shared" si="3"/>
        <v>1.103553191887325E-3</v>
      </c>
      <c r="M53" s="300">
        <f t="shared" si="11"/>
        <v>1.6553297878309873E-4</v>
      </c>
      <c r="N53" s="304">
        <f t="shared" si="12"/>
        <v>1.9587224820450801E-2</v>
      </c>
      <c r="O53" s="301">
        <v>4761</v>
      </c>
      <c r="P53" s="301">
        <v>6438</v>
      </c>
      <c r="Q53" s="302">
        <v>1.903799258</v>
      </c>
      <c r="R53" s="303">
        <f t="shared" si="13"/>
        <v>5.9857023716881298E-3</v>
      </c>
      <c r="S53" s="302">
        <f t="shared" si="4"/>
        <v>1.1395575733828702E-2</v>
      </c>
      <c r="T53" s="302">
        <f t="shared" si="14"/>
        <v>5.91040007131089E-3</v>
      </c>
      <c r="U53" s="301">
        <f t="shared" si="15"/>
        <v>1076981.4195953456</v>
      </c>
      <c r="V53" s="303">
        <f t="shared" si="5"/>
        <v>0.73951537744641194</v>
      </c>
      <c r="W53" s="303">
        <f t="shared" si="16"/>
        <v>9.8268664158151723E-3</v>
      </c>
      <c r="X53" s="301">
        <f t="shared" si="17"/>
        <v>315993.91347018047</v>
      </c>
      <c r="Y53" s="295">
        <f t="shared" si="6"/>
        <v>1392975.3330655261</v>
      </c>
      <c r="Z53" s="304">
        <f t="shared" si="18"/>
        <v>6.497870022986533E-3</v>
      </c>
      <c r="AB53" s="305">
        <f t="shared" si="7"/>
        <v>103888020.76318079</v>
      </c>
      <c r="AC53" s="306">
        <f t="shared" si="8"/>
        <v>4198994.5815438703</v>
      </c>
      <c r="AD53" s="306">
        <f t="shared" si="19"/>
        <v>1392975.3330655263</v>
      </c>
      <c r="AE53" s="306">
        <f t="shared" si="20"/>
        <v>109479990.67779018</v>
      </c>
      <c r="AF53" s="329">
        <f t="shared" si="21"/>
        <v>0.12767396748808651</v>
      </c>
    </row>
    <row r="54" spans="1:32">
      <c r="A54" s="18" t="s">
        <v>309</v>
      </c>
      <c r="B54" s="213" t="s">
        <v>48</v>
      </c>
      <c r="C54" s="295">
        <v>289861941.84000015</v>
      </c>
      <c r="D54" s="295">
        <v>126817695.59999999</v>
      </c>
      <c r="E54" s="296">
        <f t="shared" si="0"/>
        <v>0.43751068110211461</v>
      </c>
      <c r="F54" s="297">
        <f t="shared" si="9"/>
        <v>55484096.37775664</v>
      </c>
      <c r="G54" s="304">
        <f t="shared" si="1"/>
        <v>2.9314871310589227E-2</v>
      </c>
      <c r="H54" s="298">
        <v>306322</v>
      </c>
      <c r="I54" s="299">
        <f t="shared" si="2"/>
        <v>5.2956188341070756E-2</v>
      </c>
      <c r="J54" s="299">
        <f t="shared" si="10"/>
        <v>4.5012760089910141E-2</v>
      </c>
      <c r="K54" s="295">
        <v>915.8</v>
      </c>
      <c r="L54" s="332">
        <f t="shared" si="3"/>
        <v>1.4274491710881529E-2</v>
      </c>
      <c r="M54" s="300">
        <f t="shared" si="11"/>
        <v>2.1411737566322292E-3</v>
      </c>
      <c r="N54" s="304">
        <f t="shared" si="12"/>
        <v>4.7153933846542373E-2</v>
      </c>
      <c r="O54" s="301">
        <v>43432</v>
      </c>
      <c r="P54" s="301">
        <v>47092</v>
      </c>
      <c r="Q54" s="302">
        <v>1.8493369051999999</v>
      </c>
      <c r="R54" s="303">
        <f t="shared" si="13"/>
        <v>4.378358125000581E-2</v>
      </c>
      <c r="S54" s="302">
        <f t="shared" si="4"/>
        <v>8.0970592647458484E-2</v>
      </c>
      <c r="T54" s="302">
        <f t="shared" si="14"/>
        <v>4.1995999827981793E-2</v>
      </c>
      <c r="U54" s="301">
        <f t="shared" si="15"/>
        <v>7652428.0871623345</v>
      </c>
      <c r="V54" s="303">
        <f t="shared" si="5"/>
        <v>0.92227979274611394</v>
      </c>
      <c r="W54" s="303">
        <f t="shared" si="16"/>
        <v>1.2255485954351926E-2</v>
      </c>
      <c r="X54" s="301">
        <f t="shared" si="17"/>
        <v>394088.89917969279</v>
      </c>
      <c r="Y54" s="295">
        <f t="shared" si="6"/>
        <v>8046516.9863420269</v>
      </c>
      <c r="Z54" s="304">
        <f t="shared" si="18"/>
        <v>3.7534922746937309E-2</v>
      </c>
      <c r="AB54" s="305">
        <f t="shared" si="7"/>
        <v>12568700.969143933</v>
      </c>
      <c r="AC54" s="306">
        <f t="shared" si="8"/>
        <v>10108584.270364881</v>
      </c>
      <c r="AD54" s="306">
        <f t="shared" si="19"/>
        <v>8046516.9863420278</v>
      </c>
      <c r="AE54" s="306">
        <f t="shared" si="20"/>
        <v>30723802.225850843</v>
      </c>
      <c r="AF54" s="329">
        <f t="shared" si="21"/>
        <v>3.5829649803664536E-2</v>
      </c>
    </row>
    <row r="55" spans="1:32">
      <c r="A55" s="18" t="s">
        <v>310</v>
      </c>
      <c r="B55" s="213" t="s">
        <v>49</v>
      </c>
      <c r="C55" s="295">
        <v>198838484.40000001</v>
      </c>
      <c r="D55" s="295">
        <v>94615002.860000014</v>
      </c>
      <c r="E55" s="296">
        <f t="shared" si="0"/>
        <v>0.4758384834077925</v>
      </c>
      <c r="F55" s="297">
        <f t="shared" si="9"/>
        <v>45021459.468526356</v>
      </c>
      <c r="G55" s="304">
        <f t="shared" si="1"/>
        <v>2.3786965575668291E-2</v>
      </c>
      <c r="H55" s="298">
        <v>46784</v>
      </c>
      <c r="I55" s="299">
        <f t="shared" si="2"/>
        <v>8.0879019964242016E-3</v>
      </c>
      <c r="J55" s="299">
        <f t="shared" si="10"/>
        <v>6.8747166969605712E-3</v>
      </c>
      <c r="K55" s="295">
        <v>739.2</v>
      </c>
      <c r="L55" s="332">
        <f t="shared" si="3"/>
        <v>1.1521843494959192E-2</v>
      </c>
      <c r="M55" s="300">
        <f t="shared" si="11"/>
        <v>1.7282765242438787E-3</v>
      </c>
      <c r="N55" s="304">
        <f t="shared" si="12"/>
        <v>8.6029932212044503E-3</v>
      </c>
      <c r="O55" s="301">
        <v>7735</v>
      </c>
      <c r="P55" s="301">
        <v>5334</v>
      </c>
      <c r="Q55" s="302">
        <v>2.0438860060000001</v>
      </c>
      <c r="R55" s="303">
        <f t="shared" si="13"/>
        <v>4.9592631951824303E-3</v>
      </c>
      <c r="S55" s="302">
        <f t="shared" si="4"/>
        <v>1.0136168644704216E-2</v>
      </c>
      <c r="T55" s="302">
        <f t="shared" si="14"/>
        <v>5.2571992218554417E-3</v>
      </c>
      <c r="U55" s="301">
        <f t="shared" si="15"/>
        <v>957956.45180304092</v>
      </c>
      <c r="V55" s="303">
        <f t="shared" si="5"/>
        <v>1.4501312335958005</v>
      </c>
      <c r="W55" s="303">
        <f t="shared" si="16"/>
        <v>1.9269708720803205E-2</v>
      </c>
      <c r="X55" s="301">
        <f t="shared" si="17"/>
        <v>619639.10085491452</v>
      </c>
      <c r="Y55" s="295">
        <f t="shared" si="6"/>
        <v>1577595.5526579553</v>
      </c>
      <c r="Z55" s="304">
        <f t="shared" si="18"/>
        <v>7.3590756466976066E-3</v>
      </c>
      <c r="AB55" s="305">
        <f t="shared" si="7"/>
        <v>10198620.833648343</v>
      </c>
      <c r="AC55" s="306">
        <f t="shared" si="8"/>
        <v>1844259.3196346813</v>
      </c>
      <c r="AD55" s="306">
        <f t="shared" si="19"/>
        <v>1577595.5526579556</v>
      </c>
      <c r="AE55" s="306">
        <f t="shared" si="20"/>
        <v>13620475.70594098</v>
      </c>
      <c r="AF55" s="329">
        <f t="shared" si="21"/>
        <v>1.5884000004809662E-2</v>
      </c>
    </row>
    <row r="56" spans="1:32">
      <c r="A56" s="18" t="s">
        <v>311</v>
      </c>
      <c r="B56" s="213" t="s">
        <v>50</v>
      </c>
      <c r="C56" s="295">
        <v>4541705</v>
      </c>
      <c r="D56" s="295">
        <v>1178778</v>
      </c>
      <c r="E56" s="296">
        <f t="shared" si="0"/>
        <v>0.25954525888405344</v>
      </c>
      <c r="F56" s="297">
        <f t="shared" si="9"/>
        <v>305946.24117682676</v>
      </c>
      <c r="G56" s="304">
        <f t="shared" si="1"/>
        <v>1.6164586383446479E-4</v>
      </c>
      <c r="H56" s="298">
        <v>1552</v>
      </c>
      <c r="I56" s="299">
        <f t="shared" si="2"/>
        <v>2.6830591438206137E-4</v>
      </c>
      <c r="J56" s="299">
        <f t="shared" si="10"/>
        <v>2.2806002722475217E-4</v>
      </c>
      <c r="K56" s="295">
        <v>1764.9</v>
      </c>
      <c r="L56" s="332">
        <f t="shared" si="3"/>
        <v>2.7509336558784465E-2</v>
      </c>
      <c r="M56" s="300">
        <f t="shared" si="11"/>
        <v>4.1264004838176696E-3</v>
      </c>
      <c r="N56" s="304">
        <f t="shared" si="12"/>
        <v>4.354460511042422E-3</v>
      </c>
      <c r="O56" s="301">
        <v>549</v>
      </c>
      <c r="P56" s="301">
        <v>170</v>
      </c>
      <c r="Q56" s="302">
        <v>2.1071899398</v>
      </c>
      <c r="R56" s="303">
        <f t="shared" si="13"/>
        <v>1.5805675725178347E-4</v>
      </c>
      <c r="S56" s="302">
        <f t="shared" si="4"/>
        <v>3.3305560879836883E-4</v>
      </c>
      <c r="T56" s="302">
        <f t="shared" si="14"/>
        <v>1.7274176750444833E-4</v>
      </c>
      <c r="U56" s="301">
        <f t="shared" si="15"/>
        <v>31476.663465369693</v>
      </c>
      <c r="V56" s="303">
        <f t="shared" si="5"/>
        <v>3.2294117647058824</v>
      </c>
      <c r="W56" s="303">
        <f t="shared" si="16"/>
        <v>4.2913236129057078E-2</v>
      </c>
      <c r="X56" s="301">
        <f t="shared" si="17"/>
        <v>1379923.2481950666</v>
      </c>
      <c r="Y56" s="295">
        <f t="shared" si="6"/>
        <v>1411399.9116604363</v>
      </c>
      <c r="Z56" s="304">
        <f t="shared" si="18"/>
        <v>6.5838159217373434E-3</v>
      </c>
      <c r="AB56" s="305">
        <f t="shared" si="7"/>
        <v>69305.387832299821</v>
      </c>
      <c r="AC56" s="306">
        <f t="shared" si="8"/>
        <v>933483.75071099366</v>
      </c>
      <c r="AD56" s="306">
        <f t="shared" si="19"/>
        <v>1411399.9116604365</v>
      </c>
      <c r="AE56" s="306">
        <f t="shared" si="20"/>
        <v>2414189.0502037299</v>
      </c>
      <c r="AF56" s="329">
        <f t="shared" si="21"/>
        <v>2.8153920401121735E-3</v>
      </c>
    </row>
    <row r="57" spans="1:32">
      <c r="A57" s="18" t="s">
        <v>312</v>
      </c>
      <c r="B57" s="213" t="s">
        <v>51</v>
      </c>
      <c r="C57" s="295">
        <v>3020813</v>
      </c>
      <c r="D57" s="295">
        <v>668727</v>
      </c>
      <c r="E57" s="296">
        <f t="shared" si="0"/>
        <v>0.22137318662227684</v>
      </c>
      <c r="F57" s="297">
        <f t="shared" si="9"/>
        <v>148038.22697035532</v>
      </c>
      <c r="G57" s="304">
        <f t="shared" si="1"/>
        <v>7.8215594305389876E-5</v>
      </c>
      <c r="H57" s="298">
        <v>3573</v>
      </c>
      <c r="I57" s="299">
        <f t="shared" si="2"/>
        <v>6.1769138665406279E-4</v>
      </c>
      <c r="J57" s="299">
        <f t="shared" si="10"/>
        <v>5.2503767865595338E-4</v>
      </c>
      <c r="K57" s="295">
        <v>879.3</v>
      </c>
      <c r="L57" s="332">
        <f t="shared" si="3"/>
        <v>1.3705569514498939E-2</v>
      </c>
      <c r="M57" s="300">
        <f t="shared" si="11"/>
        <v>2.0558354271748409E-3</v>
      </c>
      <c r="N57" s="304">
        <f t="shared" si="12"/>
        <v>2.5808731058307942E-3</v>
      </c>
      <c r="O57" s="301">
        <v>1377</v>
      </c>
      <c r="P57" s="301">
        <v>417</v>
      </c>
      <c r="Q57" s="302">
        <v>1.7545098130000001</v>
      </c>
      <c r="R57" s="303">
        <f t="shared" si="13"/>
        <v>3.8770392808231595E-4</v>
      </c>
      <c r="S57" s="302">
        <f t="shared" si="4"/>
        <v>6.8023034635906966E-4</v>
      </c>
      <c r="T57" s="302">
        <f t="shared" si="14"/>
        <v>3.5280652610587192E-4</v>
      </c>
      <c r="U57" s="301">
        <f t="shared" si="15"/>
        <v>64287.707895166255</v>
      </c>
      <c r="V57" s="303">
        <f t="shared" si="5"/>
        <v>3.3021582733812949</v>
      </c>
      <c r="W57" s="303">
        <f t="shared" si="16"/>
        <v>4.3879910041151653E-2</v>
      </c>
      <c r="X57" s="301">
        <f t="shared" si="17"/>
        <v>1411007.7322622039</v>
      </c>
      <c r="Y57" s="295">
        <f t="shared" si="6"/>
        <v>1475295.4401573702</v>
      </c>
      <c r="Z57" s="304">
        <f t="shared" si="18"/>
        <v>6.8818720533627394E-3</v>
      </c>
      <c r="AB57" s="305">
        <f t="shared" si="7"/>
        <v>33534.802371559948</v>
      </c>
      <c r="AC57" s="306">
        <f t="shared" si="8"/>
        <v>553272.46643541567</v>
      </c>
      <c r="AD57" s="306">
        <f t="shared" si="19"/>
        <v>1475295.4401573704</v>
      </c>
      <c r="AE57" s="306">
        <f t="shared" si="20"/>
        <v>2062102.708964346</v>
      </c>
      <c r="AF57" s="329">
        <f t="shared" si="21"/>
        <v>2.4047940869510783E-3</v>
      </c>
    </row>
    <row r="58" spans="1:32" ht="13.5" thickBot="1">
      <c r="B58" s="219" t="s">
        <v>52</v>
      </c>
      <c r="C58" s="307">
        <f>SUM(C7:C57)</f>
        <v>8177497337.8300028</v>
      </c>
      <c r="D58" s="307">
        <f>SUM(D7:D57)</f>
        <v>3783530876.1000004</v>
      </c>
      <c r="E58" s="308">
        <f t="shared" si="0"/>
        <v>0.46267589212129367</v>
      </c>
      <c r="F58" s="309">
        <f t="shared" ref="F58:K58" si="22">SUM(F7:F57)</f>
        <v>1892694523.1963024</v>
      </c>
      <c r="G58" s="318">
        <f t="shared" si="22"/>
        <v>0.99999999999999989</v>
      </c>
      <c r="H58" s="310">
        <f t="shared" si="22"/>
        <v>5784442</v>
      </c>
      <c r="I58" s="311">
        <f t="shared" si="22"/>
        <v>1.0000000000000002</v>
      </c>
      <c r="J58" s="311">
        <f t="shared" si="22"/>
        <v>0.8500000000000002</v>
      </c>
      <c r="K58" s="312">
        <f t="shared" si="22"/>
        <v>64156.400000000016</v>
      </c>
      <c r="L58" s="333">
        <f t="shared" si="3"/>
        <v>1</v>
      </c>
      <c r="M58" s="313">
        <f>SUM(M7:M57)</f>
        <v>0.14999999999999997</v>
      </c>
      <c r="N58" s="318">
        <f>SUM(N7:N57)</f>
        <v>0.99999999999999989</v>
      </c>
      <c r="O58" s="314">
        <f>SUM(O7:O57)</f>
        <v>964355</v>
      </c>
      <c r="P58" s="315">
        <f t="shared" ref="P58:Y58" si="23">SUM(P7:P57)</f>
        <v>1075563</v>
      </c>
      <c r="Q58" s="316">
        <f t="shared" si="23"/>
        <v>98.366423307599987</v>
      </c>
      <c r="R58" s="316">
        <f>SUM(R7:R57)</f>
        <v>0.99999999999999989</v>
      </c>
      <c r="S58" s="316">
        <f t="shared" si="23"/>
        <v>1.9280548856824229</v>
      </c>
      <c r="T58" s="316">
        <f t="shared" si="23"/>
        <v>1</v>
      </c>
      <c r="U58" s="315">
        <f t="shared" si="23"/>
        <v>182218023.58574986</v>
      </c>
      <c r="V58" s="316">
        <f>SUM(V7:V57)</f>
        <v>75.254444922162563</v>
      </c>
      <c r="W58" s="316">
        <f t="shared" si="23"/>
        <v>1</v>
      </c>
      <c r="X58" s="317">
        <f t="shared" si="23"/>
        <v>32156121.809249982</v>
      </c>
      <c r="Y58" s="314">
        <f t="shared" si="23"/>
        <v>214374145.39499986</v>
      </c>
      <c r="Z58" s="318">
        <f>SUM(Z7:Z57)</f>
        <v>0.99999999999999978</v>
      </c>
      <c r="AB58" s="319">
        <f>SUM(AB7:AB57)</f>
        <v>428748290.78999966</v>
      </c>
      <c r="AC58" s="320">
        <f>SUM(AC7:AC57)</f>
        <v>214374145.39499989</v>
      </c>
      <c r="AD58" s="320">
        <f>SUM(AD7:AD57)</f>
        <v>214374145.39499995</v>
      </c>
      <c r="AE58" s="320">
        <f>SUM(AE7:AE57)</f>
        <v>857496581.57999957</v>
      </c>
      <c r="AF58" s="330">
        <f>SUM(AF7:AF57)</f>
        <v>0.99999999999999989</v>
      </c>
    </row>
    <row r="59" spans="1:32" ht="13.5" thickTop="1">
      <c r="L59" s="321"/>
      <c r="S59" s="322"/>
    </row>
    <row r="60" spans="1:32" ht="86.45" customHeight="1">
      <c r="C60" s="417" t="s">
        <v>313</v>
      </c>
      <c r="D60" s="417"/>
      <c r="E60" s="417"/>
      <c r="F60" s="417"/>
      <c r="G60" s="417"/>
      <c r="L60" s="321"/>
      <c r="S60" s="322"/>
    </row>
    <row r="61" spans="1:32" s="1" customFormat="1">
      <c r="J61" s="323"/>
      <c r="M61" s="323"/>
      <c r="N61" s="324"/>
      <c r="S61" s="325"/>
      <c r="T61" s="325"/>
      <c r="Y61" s="323"/>
    </row>
    <row r="62" spans="1:32">
      <c r="S62" s="322"/>
    </row>
    <row r="63" spans="1:32">
      <c r="S63" s="322"/>
    </row>
    <row r="64" spans="1:32">
      <c r="S64" s="322"/>
    </row>
    <row r="65" spans="19:19" s="2" customFormat="1">
      <c r="S65" s="322"/>
    </row>
    <row r="66" spans="19:19" s="2" customFormat="1">
      <c r="S66" s="322"/>
    </row>
    <row r="67" spans="19:19" s="2" customFormat="1">
      <c r="S67" s="322"/>
    </row>
    <row r="68" spans="19:19" s="2" customFormat="1">
      <c r="S68" s="322"/>
    </row>
    <row r="69" spans="19:19" s="2" customFormat="1">
      <c r="S69" s="322"/>
    </row>
    <row r="70" spans="19:19" s="2" customFormat="1">
      <c r="S70" s="322"/>
    </row>
    <row r="71" spans="19:19" s="2" customFormat="1">
      <c r="S71" s="322"/>
    </row>
    <row r="72" spans="19:19" s="2" customFormat="1">
      <c r="S72" s="322"/>
    </row>
    <row r="73" spans="19:19" s="2" customFormat="1">
      <c r="S73" s="322"/>
    </row>
    <row r="74" spans="19:19" s="2" customFormat="1">
      <c r="S74" s="322"/>
    </row>
    <row r="75" spans="19:19" s="2" customFormat="1">
      <c r="S75" s="322"/>
    </row>
    <row r="76" spans="19:19" s="2" customFormat="1">
      <c r="S76" s="322"/>
    </row>
    <row r="77" spans="19:19" s="2" customFormat="1">
      <c r="S77" s="322"/>
    </row>
    <row r="78" spans="19:19" s="2" customFormat="1">
      <c r="S78" s="322"/>
    </row>
    <row r="79" spans="19:19" s="2" customFormat="1">
      <c r="S79" s="322"/>
    </row>
    <row r="80" spans="19:19" s="2" customFormat="1">
      <c r="S80" s="322"/>
    </row>
    <row r="81" spans="19:19" s="2" customFormat="1">
      <c r="S81" s="322"/>
    </row>
    <row r="82" spans="19:19" s="2" customFormat="1">
      <c r="S82" s="322"/>
    </row>
    <row r="83" spans="19:19" s="2" customFormat="1">
      <c r="S83" s="322"/>
    </row>
    <row r="84" spans="19:19" s="2" customFormat="1">
      <c r="S84" s="322"/>
    </row>
    <row r="85" spans="19:19" s="2" customFormat="1">
      <c r="S85" s="322"/>
    </row>
    <row r="86" spans="19:19" s="2" customFormat="1">
      <c r="S86" s="322"/>
    </row>
    <row r="87" spans="19:19" s="2" customFormat="1">
      <c r="S87" s="322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showGridLines="0" zoomScaleSheetLayoutView="100" workbookViewId="0">
      <selection activeCell="W64" sqref="W64"/>
    </sheetView>
  </sheetViews>
  <sheetFormatPr baseColWidth="10" defaultColWidth="9.7109375" defaultRowHeight="14.25"/>
  <cols>
    <col min="1" max="1" width="26.28515625" style="2" customWidth="1"/>
    <col min="2" max="2" width="14.5703125" style="2" hidden="1" customWidth="1"/>
    <col min="3" max="3" width="12.7109375" style="2" customWidth="1"/>
    <col min="4" max="4" width="14.140625" style="2" hidden="1" customWidth="1"/>
    <col min="5" max="5" width="11.7109375" style="2" customWidth="1"/>
    <col min="6" max="6" width="14.28515625" style="2" hidden="1" customWidth="1"/>
    <col min="7" max="7" width="11.7109375" style="2" customWidth="1"/>
    <col min="8" max="8" width="0.28515625" style="2" customWidth="1"/>
    <col min="9" max="10" width="11.140625" style="2" customWidth="1"/>
    <col min="11" max="11" width="11.5703125" style="2" customWidth="1"/>
    <col min="12" max="12" width="17" style="2" customWidth="1"/>
    <col min="13" max="13" width="13.28515625" style="2" bestFit="1" customWidth="1"/>
    <col min="14" max="14" width="11.7109375" style="2" customWidth="1"/>
    <col min="15" max="15" width="13.5703125" style="2" customWidth="1"/>
    <col min="16" max="18" width="11.7109375" style="2" customWidth="1"/>
    <col min="19" max="19" width="18.7109375" style="2" customWidth="1"/>
    <col min="20" max="20" width="19.42578125" style="203" customWidth="1"/>
    <col min="21" max="21" width="5.42578125" style="2" customWidth="1"/>
    <col min="22" max="22" width="11.5703125" style="2" customWidth="1"/>
    <col min="23" max="16384" width="9.7109375" style="2"/>
  </cols>
  <sheetData>
    <row r="1" spans="1:23" ht="15.75">
      <c r="A1" s="418" t="s">
        <v>231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9"/>
      <c r="M1" s="419"/>
      <c r="N1" s="419"/>
      <c r="O1" s="419"/>
      <c r="P1" s="419"/>
      <c r="Q1" s="419"/>
      <c r="R1" s="419"/>
      <c r="S1" s="419"/>
      <c r="T1" s="419"/>
    </row>
    <row r="2" spans="1:23" ht="8.25" customHeight="1" thickBot="1">
      <c r="L2" s="202"/>
    </row>
    <row r="3" spans="1:23" ht="13.5" thickBot="1">
      <c r="A3" s="420" t="s">
        <v>0</v>
      </c>
      <c r="B3" s="356"/>
      <c r="C3" s="422" t="s">
        <v>232</v>
      </c>
      <c r="D3" s="423"/>
      <c r="E3" s="423"/>
      <c r="F3" s="423"/>
      <c r="G3" s="423"/>
      <c r="H3" s="423"/>
      <c r="I3" s="423"/>
      <c r="J3" s="423"/>
      <c r="K3" s="423"/>
      <c r="L3" s="424"/>
      <c r="M3" s="422" t="s">
        <v>233</v>
      </c>
      <c r="N3" s="423"/>
      <c r="O3" s="423"/>
      <c r="P3" s="423"/>
      <c r="Q3" s="423"/>
      <c r="R3" s="423"/>
      <c r="S3" s="424"/>
      <c r="T3" s="425" t="s">
        <v>336</v>
      </c>
    </row>
    <row r="4" spans="1:23" ht="128.25" thickBot="1">
      <c r="A4" s="421"/>
      <c r="B4" s="355" t="s">
        <v>337</v>
      </c>
      <c r="C4" s="204" t="s">
        <v>96</v>
      </c>
      <c r="D4" s="355" t="s">
        <v>337</v>
      </c>
      <c r="E4" s="205" t="s">
        <v>229</v>
      </c>
      <c r="F4" s="355" t="s">
        <v>337</v>
      </c>
      <c r="G4" s="205" t="s">
        <v>97</v>
      </c>
      <c r="H4" s="355" t="s">
        <v>337</v>
      </c>
      <c r="I4" s="205" t="s">
        <v>110</v>
      </c>
      <c r="J4" s="205" t="s">
        <v>122</v>
      </c>
      <c r="K4" s="205" t="s">
        <v>123</v>
      </c>
      <c r="L4" s="204" t="s">
        <v>234</v>
      </c>
      <c r="M4" s="204" t="s">
        <v>96</v>
      </c>
      <c r="N4" s="205" t="s">
        <v>229</v>
      </c>
      <c r="O4" s="205" t="s">
        <v>97</v>
      </c>
      <c r="P4" s="205" t="s">
        <v>110</v>
      </c>
      <c r="Q4" s="205" t="s">
        <v>122</v>
      </c>
      <c r="R4" s="205" t="s">
        <v>123</v>
      </c>
      <c r="S4" s="204" t="s">
        <v>235</v>
      </c>
      <c r="T4" s="426"/>
    </row>
    <row r="5" spans="1:23" ht="15.75" thickBot="1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7"/>
      <c r="N5" s="207"/>
      <c r="O5" s="207"/>
      <c r="P5" s="207"/>
      <c r="Q5" s="207"/>
      <c r="R5" s="207"/>
      <c r="S5" s="207"/>
      <c r="T5" s="207"/>
      <c r="V5" s="250" t="s">
        <v>97</v>
      </c>
      <c r="W5" s="251" t="s">
        <v>230</v>
      </c>
    </row>
    <row r="6" spans="1:23" ht="12.75" customHeight="1" thickTop="1">
      <c r="A6" s="208" t="s">
        <v>1</v>
      </c>
      <c r="B6" s="358">
        <f>+C6/$C$57</f>
        <v>1.2861627529993226E-3</v>
      </c>
      <c r="C6" s="209">
        <v>704723.62333333341</v>
      </c>
      <c r="D6" s="360">
        <f>+E6/$E$57</f>
        <v>1.2861627540339637E-3</v>
      </c>
      <c r="E6" s="209">
        <v>96245.346666666665</v>
      </c>
      <c r="F6" s="360">
        <f>+G6/$G$57</f>
        <v>1.2861627449722445E-3</v>
      </c>
      <c r="G6" s="209">
        <v>23664.570000000003</v>
      </c>
      <c r="H6" s="360">
        <f>+I6/$I$57</f>
        <v>1.2861627605039016E-3</v>
      </c>
      <c r="I6" s="209">
        <v>39892.542500000003</v>
      </c>
      <c r="J6" s="209">
        <v>19619.877499999999</v>
      </c>
      <c r="K6" s="209">
        <v>4204.5625</v>
      </c>
      <c r="L6" s="210">
        <f>SUM(C6:K6)</f>
        <v>888350.52635848825</v>
      </c>
      <c r="M6" s="248">
        <f>+'COEF Art 14 F I '!AF7*'PART MES'!J$4</f>
        <v>96056.248125718703</v>
      </c>
      <c r="N6" s="248">
        <f>+'COEF Art 14 F I '!AF7*'PART MES'!J$5</f>
        <v>15736.893867645149</v>
      </c>
      <c r="O6" s="248">
        <f>+'COEF Art 14 F I '!AF7*'PART MES'!J$6</f>
        <v>-577.94665314480267</v>
      </c>
      <c r="P6" s="248">
        <f>+'COEF Art 14 F I '!AF7*'PART MES'!J$7</f>
        <v>-11376.665711047672</v>
      </c>
      <c r="Q6" s="209">
        <f>+'COEF Art 14 F I '!AF7*'PART MES'!J$8</f>
        <v>9383.9658722349504</v>
      </c>
      <c r="R6" s="209">
        <f>+'COEF Art 14 F I '!AF7*'PART MES'!J$9</f>
        <v>137.04507826120656</v>
      </c>
      <c r="S6" s="211">
        <f>SUM(M6:R6)</f>
        <v>109359.54057966755</v>
      </c>
      <c r="T6" s="212">
        <f>SUM(S6,L6)</f>
        <v>997710.0669381558</v>
      </c>
      <c r="V6" s="353">
        <v>39892.542500000003</v>
      </c>
      <c r="W6" s="354">
        <f>+V6/$V$57</f>
        <v>1.2861627605039016E-3</v>
      </c>
    </row>
    <row r="7" spans="1:23" ht="12.75" customHeight="1">
      <c r="A7" s="213" t="s">
        <v>2</v>
      </c>
      <c r="B7" s="359">
        <f t="shared" ref="B7:B56" si="0">+C7/$C$57</f>
        <v>2.4745145135668814E-3</v>
      </c>
      <c r="C7" s="214">
        <v>1355853.9383333332</v>
      </c>
      <c r="D7" s="359">
        <f t="shared" ref="D7:D56" si="1">+E7/$E$57</f>
        <v>2.4745145159324432E-3</v>
      </c>
      <c r="E7" s="215">
        <v>185171.36083333334</v>
      </c>
      <c r="F7" s="359">
        <f t="shared" ref="F7:F56" si="2">+G7/$G$57</f>
        <v>2.4745145187831932E-3</v>
      </c>
      <c r="G7" s="215">
        <v>45529.480833333335</v>
      </c>
      <c r="H7" s="359">
        <f t="shared" ref="H7:H56" si="3">+I7/$I$57</f>
        <v>2.4745145203539831E-3</v>
      </c>
      <c r="I7" s="215">
        <v>76751.309166666659</v>
      </c>
      <c r="J7" s="215">
        <v>37747.688333333332</v>
      </c>
      <c r="K7" s="215">
        <v>8089.373333333333</v>
      </c>
      <c r="L7" s="216">
        <f t="shared" ref="L7:L56" si="4">SUM(C7:K7)</f>
        <v>1709143.1582568765</v>
      </c>
      <c r="M7" s="249">
        <f>+'COEF Art 14 F I '!AF8*'PART MES'!J$4</f>
        <v>174558.89786738067</v>
      </c>
      <c r="N7" s="249">
        <f>+'COEF Art 14 F I '!AF8*'PART MES'!J$5</f>
        <v>28597.98194279645</v>
      </c>
      <c r="O7" s="249">
        <f>+'COEF Art 14 F I '!AF8*'PART MES'!J$6</f>
        <v>-1050.2776526005739</v>
      </c>
      <c r="P7" s="249">
        <f>+'COEF Art 14 F I '!AF8*'PART MES'!J$7</f>
        <v>-20674.326414737257</v>
      </c>
      <c r="Q7" s="214">
        <f>+'COEF Art 14 F I '!AF8*'PART MES'!J$8</f>
        <v>17053.078506028633</v>
      </c>
      <c r="R7" s="214">
        <f>+'COEF Art 14 F I '!AF8*'PART MES'!J$9</f>
        <v>249.04614000866857</v>
      </c>
      <c r="S7" s="217">
        <f t="shared" ref="S7:S56" si="5">SUM(M7:R7)</f>
        <v>198734.40038887656</v>
      </c>
      <c r="T7" s="218">
        <f t="shared" ref="T7:T56" si="6">SUM(S7,L7)</f>
        <v>1907877.5586457532</v>
      </c>
      <c r="V7" s="353">
        <v>76751.309166666659</v>
      </c>
      <c r="W7" s="354">
        <f t="shared" ref="W7:W56" si="7">+V7/$V$57</f>
        <v>2.4745145203539831E-3</v>
      </c>
    </row>
    <row r="8" spans="1:23" ht="12.75" customHeight="1">
      <c r="A8" s="213" t="s">
        <v>212</v>
      </c>
      <c r="B8" s="359">
        <f t="shared" si="0"/>
        <v>2.5966786750418491E-3</v>
      </c>
      <c r="C8" s="214">
        <v>1422791.0116666667</v>
      </c>
      <c r="D8" s="359">
        <f t="shared" si="1"/>
        <v>2.5966786794624748E-3</v>
      </c>
      <c r="E8" s="215">
        <v>194313.07499999998</v>
      </c>
      <c r="F8" s="359">
        <f t="shared" si="2"/>
        <v>2.5966786934878581E-3</v>
      </c>
      <c r="G8" s="215">
        <v>47777.223333333335</v>
      </c>
      <c r="H8" s="359">
        <f t="shared" si="3"/>
        <v>2.5966786810491926E-3</v>
      </c>
      <c r="I8" s="215">
        <v>80540.44</v>
      </c>
      <c r="J8" s="215">
        <v>39611.251666666671</v>
      </c>
      <c r="K8" s="215">
        <v>8488.7366666666658</v>
      </c>
      <c r="L8" s="216">
        <f t="shared" si="4"/>
        <v>1793521.7461233693</v>
      </c>
      <c r="M8" s="249">
        <f>+'COEF Art 14 F I '!AF9*'PART MES'!J$4</f>
        <v>215354.79887494151</v>
      </c>
      <c r="N8" s="249">
        <f>+'COEF Art 14 F I '!AF9*'PART MES'!J$5</f>
        <v>35281.573868546977</v>
      </c>
      <c r="O8" s="249">
        <f>+'COEF Art 14 F I '!AF9*'PART MES'!J$6</f>
        <v>-1295.7364843726382</v>
      </c>
      <c r="P8" s="249">
        <f>+'COEF Art 14 F I '!AF9*'PART MES'!J$7</f>
        <v>-25506.092564260078</v>
      </c>
      <c r="Q8" s="214">
        <f>+'COEF Art 14 F I '!AF9*'PART MES'!J$8</f>
        <v>21038.528180067333</v>
      </c>
      <c r="R8" s="214">
        <f>+'COEF Art 14 F I '!AF9*'PART MES'!J$9</f>
        <v>307.25034385181942</v>
      </c>
      <c r="S8" s="217">
        <f t="shared" si="5"/>
        <v>245180.32221877493</v>
      </c>
      <c r="T8" s="218">
        <f t="shared" si="6"/>
        <v>2038702.0683421441</v>
      </c>
      <c r="V8" s="353">
        <v>80540.44</v>
      </c>
      <c r="W8" s="354">
        <f t="shared" si="7"/>
        <v>2.5966786810491926E-3</v>
      </c>
    </row>
    <row r="9" spans="1:23" ht="12.75" customHeight="1">
      <c r="A9" s="213" t="s">
        <v>4</v>
      </c>
      <c r="B9" s="359">
        <f t="shared" si="0"/>
        <v>7.163369161917562E-3</v>
      </c>
      <c r="C9" s="214">
        <v>3925005.1824999996</v>
      </c>
      <c r="D9" s="359">
        <f t="shared" si="1"/>
        <v>7.1633691633567736E-3</v>
      </c>
      <c r="E9" s="215">
        <v>536044.8716666667</v>
      </c>
      <c r="F9" s="359">
        <f t="shared" si="2"/>
        <v>7.1633691838468676E-3</v>
      </c>
      <c r="G9" s="215">
        <v>131801.40083333335</v>
      </c>
      <c r="H9" s="359">
        <f t="shared" si="3"/>
        <v>7.1633691596085913E-3</v>
      </c>
      <c r="I9" s="215">
        <v>222184.17249999999</v>
      </c>
      <c r="J9" s="215">
        <v>109274.21333333333</v>
      </c>
      <c r="K9" s="215">
        <v>23417.59</v>
      </c>
      <c r="L9" s="216">
        <f t="shared" si="4"/>
        <v>4947727.4523234395</v>
      </c>
      <c r="M9" s="249">
        <f>+'COEF Art 14 F I '!AF10*'PART MES'!J$4</f>
        <v>836137.70618915383</v>
      </c>
      <c r="N9" s="249">
        <f>+'COEF Art 14 F I '!AF10*'PART MES'!J$5</f>
        <v>136984.42941279022</v>
      </c>
      <c r="O9" s="249">
        <f>+'COEF Art 14 F I '!AF10*'PART MES'!J$6</f>
        <v>-5030.8334781900294</v>
      </c>
      <c r="P9" s="249">
        <f>+'COEF Art 14 F I '!AF10*'PART MES'!J$7</f>
        <v>-99030.092860448436</v>
      </c>
      <c r="Q9" s="214">
        <f>+'COEF Art 14 F I '!AF10*'PART MES'!J$8</f>
        <v>81684.303233440776</v>
      </c>
      <c r="R9" s="214">
        <f>+'COEF Art 14 F I '!AF10*'PART MES'!J$9</f>
        <v>1192.9318458479086</v>
      </c>
      <c r="S9" s="217">
        <f t="shared" si="5"/>
        <v>951938.44434259424</v>
      </c>
      <c r="T9" s="218">
        <f t="shared" si="6"/>
        <v>5899665.8966660341</v>
      </c>
      <c r="V9" s="353">
        <v>222184.17249999999</v>
      </c>
      <c r="W9" s="354">
        <f t="shared" si="7"/>
        <v>7.1633691596085913E-3</v>
      </c>
    </row>
    <row r="10" spans="1:23" ht="12.75" customHeight="1">
      <c r="A10" s="213" t="s">
        <v>236</v>
      </c>
      <c r="B10" s="359">
        <f t="shared" si="0"/>
        <v>8.9925647680691445E-3</v>
      </c>
      <c r="C10" s="214">
        <v>4927271.3049999997</v>
      </c>
      <c r="D10" s="359">
        <f t="shared" si="1"/>
        <v>8.992564772006233E-3</v>
      </c>
      <c r="E10" s="215">
        <v>672926.1216666667</v>
      </c>
      <c r="F10" s="359">
        <f t="shared" si="2"/>
        <v>8.9925647521862349E-3</v>
      </c>
      <c r="G10" s="215">
        <v>165457.42666666667</v>
      </c>
      <c r="H10" s="359">
        <f t="shared" si="3"/>
        <v>8.9925647561075201E-3</v>
      </c>
      <c r="I10" s="215">
        <v>278919.80916666664</v>
      </c>
      <c r="J10" s="215">
        <v>137177.83083333334</v>
      </c>
      <c r="K10" s="215">
        <v>29397.366666666669</v>
      </c>
      <c r="L10" s="216">
        <f t="shared" si="4"/>
        <v>6211149.8869776949</v>
      </c>
      <c r="M10" s="249">
        <f>+'COEF Art 14 F I '!AF11*'PART MES'!J$4</f>
        <v>685157.07959719899</v>
      </c>
      <c r="N10" s="249">
        <f>+'COEF Art 14 F I '!AF11*'PART MES'!J$5</f>
        <v>112249.27534307803</v>
      </c>
      <c r="O10" s="249">
        <f>+'COEF Art 14 F I '!AF11*'PART MES'!J$6</f>
        <v>-4122.4204438362303</v>
      </c>
      <c r="P10" s="249">
        <f>+'COEF Art 14 F I '!AF11*'PART MES'!J$7</f>
        <v>-81148.31888846161</v>
      </c>
      <c r="Q10" s="214">
        <f>+'COEF Art 14 F I '!AF11*'PART MES'!J$8</f>
        <v>66934.642748541926</v>
      </c>
      <c r="R10" s="214">
        <f>+'COEF Art 14 F I '!AF11*'PART MES'!J$9</f>
        <v>977.5252253421836</v>
      </c>
      <c r="S10" s="217">
        <f t="shared" si="5"/>
        <v>780047.78358186327</v>
      </c>
      <c r="T10" s="218">
        <f t="shared" si="6"/>
        <v>6991197.6705595581</v>
      </c>
      <c r="V10" s="353">
        <v>278919.80916666664</v>
      </c>
      <c r="W10" s="354">
        <f t="shared" si="7"/>
        <v>8.9925647561075201E-3</v>
      </c>
    </row>
    <row r="11" spans="1:23" ht="12.75" customHeight="1">
      <c r="A11" s="213" t="s">
        <v>6</v>
      </c>
      <c r="B11" s="359">
        <f t="shared" si="0"/>
        <v>6.1746187376218759E-2</v>
      </c>
      <c r="C11" s="214">
        <v>33832418.792499997</v>
      </c>
      <c r="D11" s="359">
        <f t="shared" si="1"/>
        <v>6.1746187373972854E-2</v>
      </c>
      <c r="E11" s="215">
        <v>4620553.0291666668</v>
      </c>
      <c r="F11" s="359">
        <f t="shared" si="2"/>
        <v>6.1746187391896169E-2</v>
      </c>
      <c r="G11" s="215">
        <v>1136090.2649999999</v>
      </c>
      <c r="H11" s="359">
        <f t="shared" si="3"/>
        <v>6.1746187367451855E-2</v>
      </c>
      <c r="I11" s="215">
        <v>1915163.8341666667</v>
      </c>
      <c r="J11" s="215">
        <v>941912.37749999994</v>
      </c>
      <c r="K11" s="215">
        <v>201852.905</v>
      </c>
      <c r="L11" s="216">
        <f t="shared" si="4"/>
        <v>42647991.388571896</v>
      </c>
      <c r="M11" s="249">
        <f>+'COEF Art 14 F I '!AF12*'PART MES'!J$4</f>
        <v>11438380.774047522</v>
      </c>
      <c r="N11" s="249">
        <f>+'COEF Art 14 F I '!AF12*'PART MES'!J$5</f>
        <v>1873949.7718389758</v>
      </c>
      <c r="O11" s="249">
        <f>+'COEF Art 14 F I '!AF12*'PART MES'!J$6</f>
        <v>-68821.903985927318</v>
      </c>
      <c r="P11" s="249">
        <f>+'COEF Art 14 F I '!AF12*'PART MES'!J$7</f>
        <v>-1354733.678247541</v>
      </c>
      <c r="Q11" s="214">
        <f>+'COEF Art 14 F I '!AF12*'PART MES'!J$8</f>
        <v>1117442.9244499209</v>
      </c>
      <c r="R11" s="214">
        <f>+'COEF Art 14 F I '!AF12*'PART MES'!J$9</f>
        <v>16319.33183887401</v>
      </c>
      <c r="S11" s="217">
        <f t="shared" si="5"/>
        <v>13022537.219941825</v>
      </c>
      <c r="T11" s="218">
        <f t="shared" si="6"/>
        <v>55670528.60851372</v>
      </c>
      <c r="V11" s="353">
        <v>1915163.8341666667</v>
      </c>
      <c r="W11" s="354">
        <f t="shared" si="7"/>
        <v>6.1746187367451855E-2</v>
      </c>
    </row>
    <row r="12" spans="1:23" ht="12.75" customHeight="1">
      <c r="A12" s="213" t="s">
        <v>7</v>
      </c>
      <c r="B12" s="359">
        <f t="shared" si="0"/>
        <v>1.0265070767424937E-2</v>
      </c>
      <c r="C12" s="214">
        <v>5624512.020833333</v>
      </c>
      <c r="D12" s="359">
        <f t="shared" si="1"/>
        <v>1.0265070768274558E-2</v>
      </c>
      <c r="E12" s="215">
        <v>768149.51416666666</v>
      </c>
      <c r="F12" s="359">
        <f t="shared" si="2"/>
        <v>1.0265070771355184E-2</v>
      </c>
      <c r="G12" s="215">
        <v>188870.72166666668</v>
      </c>
      <c r="H12" s="359">
        <f t="shared" si="3"/>
        <v>1.0265070766898993E-2</v>
      </c>
      <c r="I12" s="215">
        <v>318388.76416666666</v>
      </c>
      <c r="J12" s="215">
        <v>156589.38</v>
      </c>
      <c r="K12" s="215">
        <v>33557.284166666665</v>
      </c>
      <c r="L12" s="216">
        <f t="shared" si="4"/>
        <v>7090067.7157952134</v>
      </c>
      <c r="M12" s="249">
        <f>+'COEF Art 14 F I '!AF13*'PART MES'!J$4</f>
        <v>628534.1497904117</v>
      </c>
      <c r="N12" s="249">
        <f>+'COEF Art 14 F I '!AF13*'PART MES'!J$5</f>
        <v>102972.74149721825</v>
      </c>
      <c r="O12" s="249">
        <f>+'COEF Art 14 F I '!AF13*'PART MES'!J$6</f>
        <v>-3781.7342999192288</v>
      </c>
      <c r="P12" s="249">
        <f>+'COEF Art 14 F I '!AF13*'PART MES'!J$7</f>
        <v>-74442.038385512627</v>
      </c>
      <c r="Q12" s="214">
        <f>+'COEF Art 14 F I '!AF13*'PART MES'!J$8</f>
        <v>61403.012570800463</v>
      </c>
      <c r="R12" s="214">
        <f>+'COEF Art 14 F I '!AF13*'PART MES'!J$9</f>
        <v>896.74033109361994</v>
      </c>
      <c r="S12" s="217">
        <f t="shared" si="5"/>
        <v>715582.87150409224</v>
      </c>
      <c r="T12" s="218">
        <f t="shared" si="6"/>
        <v>7805650.5872993059</v>
      </c>
      <c r="V12" s="353">
        <v>318388.76416666666</v>
      </c>
      <c r="W12" s="354">
        <f t="shared" si="7"/>
        <v>1.0265070766898993E-2</v>
      </c>
    </row>
    <row r="13" spans="1:23" ht="12.75" customHeight="1">
      <c r="A13" s="213" t="s">
        <v>8</v>
      </c>
      <c r="B13" s="359">
        <f t="shared" si="0"/>
        <v>1.6322006516159586E-3</v>
      </c>
      <c r="C13" s="214">
        <v>894327.21833333327</v>
      </c>
      <c r="D13" s="359">
        <f t="shared" si="1"/>
        <v>1.6322006488577962E-3</v>
      </c>
      <c r="E13" s="215">
        <v>122139.84333333334</v>
      </c>
      <c r="F13" s="359">
        <f t="shared" si="2"/>
        <v>1.6322006615157286E-3</v>
      </c>
      <c r="G13" s="215">
        <v>30031.445833333331</v>
      </c>
      <c r="H13" s="359">
        <f t="shared" si="3"/>
        <v>1.632200652633072E-3</v>
      </c>
      <c r="I13" s="215">
        <v>50625.500833333332</v>
      </c>
      <c r="J13" s="215">
        <v>24898.541666666668</v>
      </c>
      <c r="K13" s="215">
        <v>5335.7858333333334</v>
      </c>
      <c r="L13" s="216">
        <f t="shared" si="4"/>
        <v>1127358.3407299353</v>
      </c>
      <c r="M13" s="249">
        <f>+'COEF Art 14 F I '!AF14*'PART MES'!J$4</f>
        <v>182238.76785560773</v>
      </c>
      <c r="N13" s="249">
        <f>+'COEF Art 14 F I '!AF14*'PART MES'!J$5</f>
        <v>29856.174942005247</v>
      </c>
      <c r="O13" s="249">
        <f>+'COEF Art 14 F I '!AF14*'PART MES'!J$6</f>
        <v>-1096.4855281202781</v>
      </c>
      <c r="P13" s="249">
        <f>+'COEF Art 14 F I '!AF14*'PART MES'!J$7</f>
        <v>-21583.911322176227</v>
      </c>
      <c r="Q13" s="214">
        <f>+'COEF Art 14 F I '!AF14*'PART MES'!J$8</f>
        <v>17803.343473471476</v>
      </c>
      <c r="R13" s="214">
        <f>+'COEF Art 14 F I '!AF14*'PART MES'!J$9</f>
        <v>260.00314076717171</v>
      </c>
      <c r="S13" s="217">
        <f t="shared" si="5"/>
        <v>207477.89256155511</v>
      </c>
      <c r="T13" s="218">
        <f t="shared" si="6"/>
        <v>1334836.2332914905</v>
      </c>
      <c r="V13" s="353">
        <v>50625.500833333332</v>
      </c>
      <c r="W13" s="354">
        <f t="shared" si="7"/>
        <v>1.632200652633072E-3</v>
      </c>
    </row>
    <row r="14" spans="1:23" ht="12.75" customHeight="1">
      <c r="A14" s="213" t="s">
        <v>237</v>
      </c>
      <c r="B14" s="359">
        <f t="shared" si="0"/>
        <v>1.6224393865143041E-2</v>
      </c>
      <c r="C14" s="214">
        <v>8889787.5516666677</v>
      </c>
      <c r="D14" s="359">
        <f t="shared" si="1"/>
        <v>1.6224393864622787E-2</v>
      </c>
      <c r="E14" s="215">
        <v>1214093.9450000001</v>
      </c>
      <c r="F14" s="359">
        <f t="shared" si="2"/>
        <v>1.6224393884598388E-2</v>
      </c>
      <c r="G14" s="215">
        <v>298518.44666666666</v>
      </c>
      <c r="H14" s="359">
        <f t="shared" si="3"/>
        <v>1.6224393859603142E-2</v>
      </c>
      <c r="I14" s="215">
        <v>503227.38416666671</v>
      </c>
      <c r="J14" s="215">
        <v>247496.37250000003</v>
      </c>
      <c r="K14" s="215">
        <v>53038.7575</v>
      </c>
      <c r="L14" s="216">
        <f t="shared" si="4"/>
        <v>11206162.506173184</v>
      </c>
      <c r="M14" s="249">
        <f>+'COEF Art 14 F I '!AF15*'PART MES'!J$4</f>
        <v>1833287.6729903652</v>
      </c>
      <c r="N14" s="249">
        <f>+'COEF Art 14 F I '!AF15*'PART MES'!J$5</f>
        <v>300347.49536492646</v>
      </c>
      <c r="O14" s="249">
        <f>+'COEF Art 14 F I '!AF15*'PART MES'!J$6</f>
        <v>-11030.437847933355</v>
      </c>
      <c r="P14" s="249">
        <f>+'COEF Art 14 F I '!AF15*'PART MES'!J$7</f>
        <v>-217130.08174646329</v>
      </c>
      <c r="Q14" s="214">
        <f>+'COEF Art 14 F I '!AF15*'PART MES'!J$8</f>
        <v>179098.28140294019</v>
      </c>
      <c r="R14" s="214">
        <f>+'COEF Art 14 F I '!AF15*'PART MES'!J$9</f>
        <v>2615.582614588925</v>
      </c>
      <c r="S14" s="217">
        <f t="shared" si="5"/>
        <v>2087188.5127784244</v>
      </c>
      <c r="T14" s="218">
        <f t="shared" si="6"/>
        <v>13293351.018951608</v>
      </c>
      <c r="V14" s="353">
        <v>503227.38416666671</v>
      </c>
      <c r="W14" s="354">
        <f t="shared" si="7"/>
        <v>1.6224393859603142E-2</v>
      </c>
    </row>
    <row r="15" spans="1:23" ht="12.75" customHeight="1">
      <c r="A15" s="213" t="s">
        <v>238</v>
      </c>
      <c r="B15" s="359">
        <f t="shared" si="0"/>
        <v>2.8090677169562883E-3</v>
      </c>
      <c r="C15" s="214">
        <v>1539164.7558333334</v>
      </c>
      <c r="D15" s="359">
        <f t="shared" si="1"/>
        <v>2.8090677138504746E-3</v>
      </c>
      <c r="E15" s="215">
        <v>210206.44166666665</v>
      </c>
      <c r="F15" s="359">
        <f t="shared" si="2"/>
        <v>2.8090677054860482E-3</v>
      </c>
      <c r="G15" s="215">
        <v>51685.045000000006</v>
      </c>
      <c r="H15" s="359">
        <f t="shared" si="3"/>
        <v>2.8090677174893519E-3</v>
      </c>
      <c r="I15" s="215">
        <v>87128.05</v>
      </c>
      <c r="J15" s="215">
        <v>42851.158333333333</v>
      </c>
      <c r="K15" s="215">
        <v>9183.0524999999998</v>
      </c>
      <c r="L15" s="216">
        <f t="shared" si="4"/>
        <v>1940218.5117605366</v>
      </c>
      <c r="M15" s="249">
        <f>+'COEF Art 14 F I '!AF16*'PART MES'!J$4</f>
        <v>1283557.9856414215</v>
      </c>
      <c r="N15" s="249">
        <f>+'COEF Art 14 F I '!AF16*'PART MES'!J$5</f>
        <v>210285.28791350097</v>
      </c>
      <c r="O15" s="249">
        <f>+'COEF Art 14 F I '!AF16*'PART MES'!J$6</f>
        <v>-7722.8504797297264</v>
      </c>
      <c r="P15" s="249">
        <f>+'COEF Art 14 F I '!AF16*'PART MES'!J$7</f>
        <v>-152021.45001828761</v>
      </c>
      <c r="Q15" s="214">
        <f>+'COEF Art 14 F I '!AF16*'PART MES'!J$8</f>
        <v>125393.86627436649</v>
      </c>
      <c r="R15" s="214">
        <f>+'COEF Art 14 F I '!AF16*'PART MES'!J$9</f>
        <v>1831.2739465401551</v>
      </c>
      <c r="S15" s="217">
        <f t="shared" si="5"/>
        <v>1461324.1132778118</v>
      </c>
      <c r="T15" s="218">
        <f t="shared" si="6"/>
        <v>3401542.6250383481</v>
      </c>
      <c r="V15" s="353">
        <v>87128.05</v>
      </c>
      <c r="W15" s="354">
        <f t="shared" si="7"/>
        <v>2.8090677174893519E-3</v>
      </c>
    </row>
    <row r="16" spans="1:23" s="1" customFormat="1" ht="12.75" customHeight="1">
      <c r="A16" s="213" t="s">
        <v>227</v>
      </c>
      <c r="B16" s="359">
        <f t="shared" si="0"/>
        <v>3.9163993698195301E-3</v>
      </c>
      <c r="C16" s="214">
        <v>2145901.9458333333</v>
      </c>
      <c r="D16" s="359">
        <f t="shared" si="1"/>
        <v>3.9163993650843353E-3</v>
      </c>
      <c r="E16" s="215">
        <v>293069.60833333334</v>
      </c>
      <c r="F16" s="359">
        <f t="shared" si="2"/>
        <v>3.9163993558136443E-3</v>
      </c>
      <c r="G16" s="215">
        <v>72059.237500000003</v>
      </c>
      <c r="H16" s="359">
        <f t="shared" si="3"/>
        <v>3.9163993699225103E-3</v>
      </c>
      <c r="I16" s="215">
        <v>121473.83916666667</v>
      </c>
      <c r="J16" s="215">
        <v>59743.041666666664</v>
      </c>
      <c r="K16" s="215">
        <v>12803.002500000001</v>
      </c>
      <c r="L16" s="216">
        <f t="shared" si="4"/>
        <v>2705050.6867491985</v>
      </c>
      <c r="M16" s="249">
        <f>+'COEF Art 14 F I '!AF17*'PART MES'!J$4</f>
        <v>477502.23553981812</v>
      </c>
      <c r="N16" s="249">
        <f>+'COEF Art 14 F I '!AF17*'PART MES'!J$5</f>
        <v>78229.184971065522</v>
      </c>
      <c r="O16" s="249">
        <f>+'COEF Art 14 F I '!AF17*'PART MES'!J$6</f>
        <v>-2873.0126804266574</v>
      </c>
      <c r="P16" s="249">
        <f>+'COEF Art 14 F I '!AF17*'PART MES'!J$7</f>
        <v>-56554.190029414211</v>
      </c>
      <c r="Q16" s="214">
        <f>+'COEF Art 14 F I '!AF17*'PART MES'!J$8</f>
        <v>46648.341671194357</v>
      </c>
      <c r="R16" s="214">
        <f>+'COEF Art 14 F I '!AF17*'PART MES'!J$9</f>
        <v>681.26053761550497</v>
      </c>
      <c r="S16" s="217">
        <f t="shared" si="5"/>
        <v>543633.82000985264</v>
      </c>
      <c r="T16" s="218">
        <f t="shared" si="6"/>
        <v>3248684.5067590512</v>
      </c>
      <c r="V16" s="353">
        <v>121473.83916666667</v>
      </c>
      <c r="W16" s="354">
        <f t="shared" si="7"/>
        <v>3.9163993699225103E-3</v>
      </c>
    </row>
    <row r="17" spans="1:23" ht="12.75" customHeight="1">
      <c r="A17" s="213" t="s">
        <v>12</v>
      </c>
      <c r="B17" s="359">
        <f t="shared" si="0"/>
        <v>8.2367609168836967E-3</v>
      </c>
      <c r="C17" s="214">
        <v>4513145.7774999999</v>
      </c>
      <c r="D17" s="359">
        <f t="shared" si="1"/>
        <v>8.2367609131725819E-3</v>
      </c>
      <c r="E17" s="215">
        <v>616368.26833333331</v>
      </c>
      <c r="F17" s="359">
        <f t="shared" si="2"/>
        <v>8.2367609288746951E-3</v>
      </c>
      <c r="G17" s="215">
        <v>151551.12083333332</v>
      </c>
      <c r="H17" s="359">
        <f t="shared" si="3"/>
        <v>8.2367609121972128E-3</v>
      </c>
      <c r="I17" s="215">
        <v>255477.25749999998</v>
      </c>
      <c r="J17" s="215">
        <v>125648.35833333334</v>
      </c>
      <c r="K17" s="215">
        <v>26926.587499999998</v>
      </c>
      <c r="L17" s="216">
        <f t="shared" si="4"/>
        <v>5689117.3947102847</v>
      </c>
      <c r="M17" s="249">
        <f>+'COEF Art 14 F I '!AF18*'PART MES'!J$4</f>
        <v>622316.89302275516</v>
      </c>
      <c r="N17" s="249">
        <f>+'COEF Art 14 F I '!AF18*'PART MES'!J$5</f>
        <v>101954.16840270747</v>
      </c>
      <c r="O17" s="249">
        <f>+'COEF Art 14 F I '!AF18*'PART MES'!J$6</f>
        <v>-3744.3266058782738</v>
      </c>
      <c r="P17" s="249">
        <f>+'COEF Art 14 F I '!AF18*'PART MES'!J$7</f>
        <v>-73705.681789606417</v>
      </c>
      <c r="Q17" s="214">
        <f>+'COEF Art 14 F I '!AF18*'PART MES'!J$8</f>
        <v>60795.633806118218</v>
      </c>
      <c r="R17" s="214">
        <f>+'COEF Art 14 F I '!AF18*'PART MES'!J$9</f>
        <v>887.87006542200697</v>
      </c>
      <c r="S17" s="217">
        <f t="shared" si="5"/>
        <v>708504.55690151802</v>
      </c>
      <c r="T17" s="218">
        <f t="shared" si="6"/>
        <v>6397621.9516118029</v>
      </c>
      <c r="V17" s="353">
        <v>255477.25749999998</v>
      </c>
      <c r="W17" s="354">
        <f t="shared" si="7"/>
        <v>8.2367609121972128E-3</v>
      </c>
    </row>
    <row r="18" spans="1:23" ht="12.75" customHeight="1">
      <c r="A18" s="213" t="s">
        <v>239</v>
      </c>
      <c r="B18" s="359">
        <f t="shared" si="0"/>
        <v>4.2224552986780605E-3</v>
      </c>
      <c r="C18" s="214">
        <v>2313598.33</v>
      </c>
      <c r="D18" s="359">
        <f t="shared" si="1"/>
        <v>4.2224552973543043E-3</v>
      </c>
      <c r="E18" s="215">
        <v>315972.19916666666</v>
      </c>
      <c r="F18" s="359">
        <f t="shared" si="2"/>
        <v>4.22245530872465E-3</v>
      </c>
      <c r="G18" s="215">
        <v>77690.47083333334</v>
      </c>
      <c r="H18" s="359">
        <f t="shared" si="3"/>
        <v>4.2224552972740239E-3</v>
      </c>
      <c r="I18" s="215">
        <v>130966.68833333334</v>
      </c>
      <c r="J18" s="215">
        <v>64411.797499999993</v>
      </c>
      <c r="K18" s="215">
        <v>13803.522499999999</v>
      </c>
      <c r="L18" s="216">
        <f t="shared" si="4"/>
        <v>2916443.0210006996</v>
      </c>
      <c r="M18" s="249">
        <f>+'COEF Art 14 F I '!AF19*'PART MES'!J$4</f>
        <v>955243.41895002581</v>
      </c>
      <c r="N18" s="249">
        <f>+'COEF Art 14 F I '!AF19*'PART MES'!J$5</f>
        <v>156497.51676859564</v>
      </c>
      <c r="O18" s="249">
        <f>+'COEF Art 14 F I '!AF19*'PART MES'!J$6</f>
        <v>-5747.4630510053075</v>
      </c>
      <c r="P18" s="249">
        <f>+'COEF Art 14 F I '!AF19*'PART MES'!J$7</f>
        <v>-113136.68045673934</v>
      </c>
      <c r="Q18" s="214">
        <f>+'COEF Art 14 F I '!AF19*'PART MES'!J$8</f>
        <v>93320.026734460858</v>
      </c>
      <c r="R18" s="214">
        <f>+'COEF Art 14 F I '!AF19*'PART MES'!J$9</f>
        <v>1362.861986210117</v>
      </c>
      <c r="S18" s="217">
        <f t="shared" si="5"/>
        <v>1087539.6809315477</v>
      </c>
      <c r="T18" s="218">
        <f t="shared" si="6"/>
        <v>4003982.7019322473</v>
      </c>
      <c r="V18" s="353">
        <v>130966.68833333334</v>
      </c>
      <c r="W18" s="354">
        <f t="shared" si="7"/>
        <v>4.2224552972740239E-3</v>
      </c>
    </row>
    <row r="19" spans="1:23" ht="12.75" customHeight="1">
      <c r="A19" s="213" t="s">
        <v>14</v>
      </c>
      <c r="B19" s="359">
        <f t="shared" si="0"/>
        <v>2.3104377152994793E-2</v>
      </c>
      <c r="C19" s="214">
        <v>12659517.890833333</v>
      </c>
      <c r="D19" s="359">
        <f t="shared" si="1"/>
        <v>2.3104377149899193E-2</v>
      </c>
      <c r="E19" s="215">
        <v>1728932.6575</v>
      </c>
      <c r="F19" s="359">
        <f t="shared" si="2"/>
        <v>2.3104377153551708E-2</v>
      </c>
      <c r="G19" s="215">
        <v>425105.72833333333</v>
      </c>
      <c r="H19" s="359">
        <f t="shared" si="3"/>
        <v>2.310437715398651E-2</v>
      </c>
      <c r="I19" s="215">
        <v>716621.8583333334</v>
      </c>
      <c r="J19" s="215">
        <v>352447.65250000003</v>
      </c>
      <c r="K19" s="215">
        <v>75529.9375</v>
      </c>
      <c r="L19" s="216">
        <f t="shared" si="4"/>
        <v>15958155.794313133</v>
      </c>
      <c r="M19" s="249">
        <f>+'COEF Art 14 F I '!AF20*'PART MES'!J$4</f>
        <v>1391545.2967919789</v>
      </c>
      <c r="N19" s="249">
        <f>+'COEF Art 14 F I '!AF20*'PART MES'!J$5</f>
        <v>227976.84767965521</v>
      </c>
      <c r="O19" s="249">
        <f>+'COEF Art 14 F I '!AF20*'PART MES'!J$6</f>
        <v>-8372.5833839327661</v>
      </c>
      <c r="P19" s="249">
        <f>+'COEF Art 14 F I '!AF20*'PART MES'!J$7</f>
        <v>-164811.20148127282</v>
      </c>
      <c r="Q19" s="214">
        <f>+'COEF Art 14 F I '!AF20*'PART MES'!J$8</f>
        <v>135943.40638491683</v>
      </c>
      <c r="R19" s="214">
        <f>+'COEF Art 14 F I '!AF20*'PART MES'!J$9</f>
        <v>1985.3412747630546</v>
      </c>
      <c r="S19" s="217">
        <f t="shared" si="5"/>
        <v>1584267.1072661083</v>
      </c>
      <c r="T19" s="218">
        <f t="shared" si="6"/>
        <v>17542422.901579242</v>
      </c>
      <c r="V19" s="353">
        <v>716621.8583333334</v>
      </c>
      <c r="W19" s="354">
        <f t="shared" si="7"/>
        <v>2.310437715398651E-2</v>
      </c>
    </row>
    <row r="20" spans="1:23" ht="12.75" customHeight="1">
      <c r="A20" s="213" t="s">
        <v>15</v>
      </c>
      <c r="B20" s="359">
        <f t="shared" si="0"/>
        <v>2.9304992644483946E-3</v>
      </c>
      <c r="C20" s="214">
        <v>1605700.4100000001</v>
      </c>
      <c r="D20" s="359">
        <f t="shared" si="1"/>
        <v>2.9304992637007284E-3</v>
      </c>
      <c r="E20" s="215">
        <v>219293.33333333334</v>
      </c>
      <c r="F20" s="359">
        <f t="shared" si="2"/>
        <v>2.930499245969925E-3</v>
      </c>
      <c r="G20" s="215">
        <v>53919.307499999995</v>
      </c>
      <c r="H20" s="359">
        <f t="shared" si="3"/>
        <v>2.9304992624299281E-3</v>
      </c>
      <c r="I20" s="215">
        <v>90894.457500000004</v>
      </c>
      <c r="J20" s="215">
        <v>44703.545833333337</v>
      </c>
      <c r="K20" s="215">
        <v>9580.0216666666656</v>
      </c>
      <c r="L20" s="216">
        <f t="shared" si="4"/>
        <v>2024091.0846248309</v>
      </c>
      <c r="M20" s="249">
        <f>+'COEF Art 14 F I '!AF21*'PART MES'!J$4</f>
        <v>201531.88779345769</v>
      </c>
      <c r="N20" s="249">
        <f>+'COEF Art 14 F I '!AF21*'PART MES'!J$5</f>
        <v>33016.966527788638</v>
      </c>
      <c r="O20" s="249">
        <f>+'COEF Art 14 F I '!AF21*'PART MES'!J$6</f>
        <v>-1212.5674521426279</v>
      </c>
      <c r="P20" s="249">
        <f>+'COEF Art 14 F I '!AF21*'PART MES'!J$7</f>
        <v>-23868.940982805871</v>
      </c>
      <c r="Q20" s="214">
        <f>+'COEF Art 14 F I '!AF21*'PART MES'!J$8</f>
        <v>19688.134755645708</v>
      </c>
      <c r="R20" s="214">
        <f>+'COEF Art 14 F I '!AF21*'PART MES'!J$9</f>
        <v>287.52896218302573</v>
      </c>
      <c r="S20" s="217">
        <f t="shared" si="5"/>
        <v>229443.00960412654</v>
      </c>
      <c r="T20" s="218">
        <f t="shared" si="6"/>
        <v>2253534.0942289573</v>
      </c>
      <c r="V20" s="353">
        <v>90894.457500000004</v>
      </c>
      <c r="W20" s="354">
        <f t="shared" si="7"/>
        <v>2.9304992624299281E-3</v>
      </c>
    </row>
    <row r="21" spans="1:23" ht="12.75" customHeight="1">
      <c r="A21" s="213" t="s">
        <v>240</v>
      </c>
      <c r="B21" s="359">
        <f t="shared" si="0"/>
        <v>2.0540740478368438E-3</v>
      </c>
      <c r="C21" s="214">
        <v>1125483.1491666667</v>
      </c>
      <c r="D21" s="359">
        <f t="shared" si="1"/>
        <v>2.0540740430941801E-3</v>
      </c>
      <c r="E21" s="215">
        <v>153709.21583333335</v>
      </c>
      <c r="F21" s="359">
        <f t="shared" si="2"/>
        <v>2.0540740553286548E-3</v>
      </c>
      <c r="G21" s="215">
        <v>37793.645833333336</v>
      </c>
      <c r="H21" s="359">
        <f t="shared" si="3"/>
        <v>2.0540740550401317E-3</v>
      </c>
      <c r="I21" s="215">
        <v>63710.627500000002</v>
      </c>
      <c r="J21" s="215">
        <v>31334.04416666667</v>
      </c>
      <c r="K21" s="215">
        <v>6714.9216666666662</v>
      </c>
      <c r="L21" s="216">
        <f t="shared" si="4"/>
        <v>1418745.6103288888</v>
      </c>
      <c r="M21" s="249">
        <f>+'COEF Art 14 F I '!AF22*'PART MES'!J$4</f>
        <v>145498.33750470355</v>
      </c>
      <c r="N21" s="249">
        <f>+'COEF Art 14 F I '!AF22*'PART MES'!J$5</f>
        <v>23836.990720620048</v>
      </c>
      <c r="O21" s="249">
        <f>+'COEF Art 14 F I '!AF22*'PART MES'!J$6</f>
        <v>-875.42745880433245</v>
      </c>
      <c r="P21" s="249">
        <f>+'COEF Art 14 F I '!AF22*'PART MES'!J$7</f>
        <v>-17232.465139985055</v>
      </c>
      <c r="Q21" s="214">
        <f>+'COEF Art 14 F I '!AF22*'PART MES'!J$8</f>
        <v>14214.082480340941</v>
      </c>
      <c r="R21" s="214">
        <f>+'COEF Art 14 F I '!AF22*'PART MES'!J$9</f>
        <v>207.58494568838702</v>
      </c>
      <c r="S21" s="217">
        <f t="shared" si="5"/>
        <v>165649.10305256353</v>
      </c>
      <c r="T21" s="218">
        <f t="shared" si="6"/>
        <v>1584394.7133814523</v>
      </c>
      <c r="V21" s="353">
        <v>63710.627500000002</v>
      </c>
      <c r="W21" s="354">
        <f t="shared" si="7"/>
        <v>2.0540740550401317E-3</v>
      </c>
    </row>
    <row r="22" spans="1:23" ht="12.75" customHeight="1">
      <c r="A22" s="213" t="s">
        <v>17</v>
      </c>
      <c r="B22" s="359">
        <f t="shared" si="0"/>
        <v>1.7897398190793959E-2</v>
      </c>
      <c r="C22" s="214">
        <v>9806472.2149999999</v>
      </c>
      <c r="D22" s="359">
        <f t="shared" si="1"/>
        <v>1.7897398190023586E-2</v>
      </c>
      <c r="E22" s="215">
        <v>1339287.1841666668</v>
      </c>
      <c r="F22" s="359">
        <f t="shared" si="2"/>
        <v>1.7897398186924731E-2</v>
      </c>
      <c r="G22" s="215">
        <v>329300.65333333332</v>
      </c>
      <c r="H22" s="359">
        <f t="shared" si="3"/>
        <v>1.7897398184518628E-2</v>
      </c>
      <c r="I22" s="215">
        <v>555118.48083333333</v>
      </c>
      <c r="J22" s="215">
        <v>273017.35666666663</v>
      </c>
      <c r="K22" s="215">
        <v>58507.933333333327</v>
      </c>
      <c r="L22" s="216">
        <f t="shared" si="4"/>
        <v>12361703.877025524</v>
      </c>
      <c r="M22" s="249">
        <f>+'COEF Art 14 F I '!AF23*'PART MES'!J$4</f>
        <v>1299058.3581982262</v>
      </c>
      <c r="N22" s="249">
        <f>+'COEF Art 14 F I '!AF23*'PART MES'!J$5</f>
        <v>212824.71374570858</v>
      </c>
      <c r="O22" s="249">
        <f>+'COEF Art 14 F I '!AF23*'PART MES'!J$6</f>
        <v>-7816.1123821723249</v>
      </c>
      <c r="P22" s="249">
        <f>+'COEF Art 14 F I '!AF23*'PART MES'!J$7</f>
        <v>-153857.27600999892</v>
      </c>
      <c r="Q22" s="214">
        <f>+'COEF Art 14 F I '!AF23*'PART MES'!J$8</f>
        <v>126908.13494421513</v>
      </c>
      <c r="R22" s="214">
        <f>+'COEF Art 14 F I '!AF23*'PART MES'!J$9</f>
        <v>1853.3885909445974</v>
      </c>
      <c r="S22" s="217">
        <f t="shared" si="5"/>
        <v>1478971.2070869233</v>
      </c>
      <c r="T22" s="218">
        <f t="shared" si="6"/>
        <v>13840675.084112447</v>
      </c>
      <c r="V22" s="353">
        <v>555118.48083333333</v>
      </c>
      <c r="W22" s="354">
        <f t="shared" si="7"/>
        <v>1.7897398184518628E-2</v>
      </c>
    </row>
    <row r="23" spans="1:23" ht="12.75" customHeight="1">
      <c r="A23" s="213" t="s">
        <v>241</v>
      </c>
      <c r="B23" s="359">
        <f t="shared" si="0"/>
        <v>2.2157092195119417E-2</v>
      </c>
      <c r="C23" s="214">
        <v>12140474.646666666</v>
      </c>
      <c r="D23" s="359">
        <f t="shared" si="1"/>
        <v>2.2157092193837855E-2</v>
      </c>
      <c r="E23" s="215">
        <v>1658046.0075000001</v>
      </c>
      <c r="F23" s="359">
        <f t="shared" si="2"/>
        <v>2.2157092202474311E-2</v>
      </c>
      <c r="G23" s="215">
        <v>407676.29249999998</v>
      </c>
      <c r="H23" s="359">
        <f t="shared" si="3"/>
        <v>2.2157092194442868E-2</v>
      </c>
      <c r="I23" s="215">
        <v>687240.19166666665</v>
      </c>
      <c r="J23" s="215">
        <v>337997.21500000003</v>
      </c>
      <c r="K23" s="215">
        <v>72433.191666666666</v>
      </c>
      <c r="L23" s="216">
        <f t="shared" si="4"/>
        <v>15303867.611471275</v>
      </c>
      <c r="M23" s="249">
        <f>+'COEF Art 14 F I '!AF24*'PART MES'!J$4</f>
        <v>5213979.9590298356</v>
      </c>
      <c r="N23" s="249">
        <f>+'COEF Art 14 F I '!AF24*'PART MES'!J$5</f>
        <v>854206.26814292825</v>
      </c>
      <c r="O23" s="249">
        <f>+'COEF Art 14 F I '!AF24*'PART MES'!J$6</f>
        <v>-31371.225981483465</v>
      </c>
      <c r="P23" s="249">
        <f>+'COEF Art 14 F I '!AF24*'PART MES'!J$7</f>
        <v>-617530.95894760825</v>
      </c>
      <c r="Q23" s="214">
        <f>+'COEF Art 14 F I '!AF24*'PART MES'!J$8</f>
        <v>509366.24060119543</v>
      </c>
      <c r="R23" s="214">
        <f>+'COEF Art 14 F I '!AF24*'PART MES'!J$9</f>
        <v>7438.8736337317778</v>
      </c>
      <c r="S23" s="217">
        <f t="shared" si="5"/>
        <v>5936089.1564785996</v>
      </c>
      <c r="T23" s="218">
        <f t="shared" si="6"/>
        <v>21239956.767949875</v>
      </c>
      <c r="V23" s="353">
        <v>687240.19166666665</v>
      </c>
      <c r="W23" s="354">
        <f t="shared" si="7"/>
        <v>2.2157092194442868E-2</v>
      </c>
    </row>
    <row r="24" spans="1:23" ht="12.75" customHeight="1">
      <c r="A24" s="213" t="s">
        <v>19</v>
      </c>
      <c r="B24" s="359">
        <f t="shared" si="0"/>
        <v>3.4398861364585672E-3</v>
      </c>
      <c r="C24" s="214">
        <v>1884807.3591666666</v>
      </c>
      <c r="D24" s="359">
        <f t="shared" si="1"/>
        <v>3.4398861332167515E-3</v>
      </c>
      <c r="E24" s="215">
        <v>257411.46083333332</v>
      </c>
      <c r="F24" s="359">
        <f t="shared" si="2"/>
        <v>3.4398861507291194E-3</v>
      </c>
      <c r="G24" s="215">
        <v>63291.700000000004</v>
      </c>
      <c r="H24" s="359">
        <f t="shared" si="3"/>
        <v>3.4398861261275677E-3</v>
      </c>
      <c r="I24" s="215">
        <v>106693.96416666667</v>
      </c>
      <c r="J24" s="215">
        <v>52474.030833333331</v>
      </c>
      <c r="K24" s="215">
        <v>11245.245000000001</v>
      </c>
      <c r="L24" s="216">
        <f t="shared" si="4"/>
        <v>2375923.7703196583</v>
      </c>
      <c r="M24" s="249">
        <f>+'COEF Art 14 F I '!AF25*'PART MES'!J$4</f>
        <v>445973.4694984075</v>
      </c>
      <c r="N24" s="249">
        <f>+'COEF Art 14 F I '!AF25*'PART MES'!J$5</f>
        <v>73063.827644990146</v>
      </c>
      <c r="O24" s="249">
        <f>+'COEF Art 14 F I '!AF25*'PART MES'!J$6</f>
        <v>-2683.3119044024902</v>
      </c>
      <c r="P24" s="249">
        <f>+'COEF Art 14 F I '!AF25*'PART MES'!J$7</f>
        <v>-52820.000546336509</v>
      </c>
      <c r="Q24" s="214">
        <f>+'COEF Art 14 F I '!AF25*'PART MES'!J$8</f>
        <v>43568.220697293218</v>
      </c>
      <c r="R24" s="214">
        <f>+'COEF Art 14 F I '!AF25*'PART MES'!J$9</f>
        <v>636.27791239398653</v>
      </c>
      <c r="S24" s="217">
        <f t="shared" si="5"/>
        <v>507738.48330234579</v>
      </c>
      <c r="T24" s="218">
        <f t="shared" si="6"/>
        <v>2883662.2536220043</v>
      </c>
      <c r="V24" s="353">
        <v>106693.96416666667</v>
      </c>
      <c r="W24" s="354">
        <f t="shared" si="7"/>
        <v>3.4398861261275677E-3</v>
      </c>
    </row>
    <row r="25" spans="1:23" ht="12.75" customHeight="1">
      <c r="A25" s="213" t="s">
        <v>20</v>
      </c>
      <c r="B25" s="359">
        <f t="shared" si="0"/>
        <v>4.7021207699974518E-2</v>
      </c>
      <c r="C25" s="214">
        <v>25764201.137499999</v>
      </c>
      <c r="D25" s="359">
        <f t="shared" si="1"/>
        <v>4.7021207703241037E-2</v>
      </c>
      <c r="E25" s="215">
        <v>3518662.3325</v>
      </c>
      <c r="F25" s="359">
        <f t="shared" si="2"/>
        <v>4.7021207703736086E-2</v>
      </c>
      <c r="G25" s="215">
        <v>865160.07833333325</v>
      </c>
      <c r="H25" s="359">
        <f t="shared" si="3"/>
        <v>4.70212076892908E-2</v>
      </c>
      <c r="I25" s="215">
        <v>1458443.3508333333</v>
      </c>
      <c r="J25" s="215">
        <v>717288.94416666671</v>
      </c>
      <c r="K25" s="215">
        <v>153715.845</v>
      </c>
      <c r="L25" s="216">
        <f t="shared" si="4"/>
        <v>32477471.829396952</v>
      </c>
      <c r="M25" s="249">
        <f>+'COEF Art 14 F I '!AF26*'PART MES'!J$4</f>
        <v>7477773.9659941997</v>
      </c>
      <c r="N25" s="249">
        <f>+'COEF Art 14 F I '!AF26*'PART MES'!J$5</f>
        <v>1225083.610543218</v>
      </c>
      <c r="O25" s="249">
        <f>+'COEF Art 14 F I '!AF26*'PART MES'!J$6</f>
        <v>-44991.913810368285</v>
      </c>
      <c r="P25" s="249">
        <f>+'COEF Art 14 F I '!AF26*'PART MES'!J$7</f>
        <v>-885649.15176104428</v>
      </c>
      <c r="Q25" s="214">
        <f>+'COEF Art 14 F I '!AF26*'PART MES'!J$8</f>
        <v>730521.7210372024</v>
      </c>
      <c r="R25" s="214">
        <f>+'COEF Art 14 F I '!AF26*'PART MES'!J$9</f>
        <v>10668.666936148049</v>
      </c>
      <c r="S25" s="217">
        <f t="shared" si="5"/>
        <v>8513406.8989393543</v>
      </c>
      <c r="T25" s="218">
        <f t="shared" si="6"/>
        <v>40990878.728336304</v>
      </c>
      <c r="V25" s="353">
        <v>1458443.3508333333</v>
      </c>
      <c r="W25" s="354">
        <f t="shared" si="7"/>
        <v>4.70212076892908E-2</v>
      </c>
    </row>
    <row r="26" spans="1:23" s="1" customFormat="1" ht="12.75" customHeight="1">
      <c r="A26" s="213" t="s">
        <v>242</v>
      </c>
      <c r="B26" s="359">
        <f t="shared" si="0"/>
        <v>6.9425035917534987E-3</v>
      </c>
      <c r="C26" s="214">
        <v>3803986.9175</v>
      </c>
      <c r="D26" s="359">
        <f t="shared" si="1"/>
        <v>6.9425035948134234E-3</v>
      </c>
      <c r="E26" s="215">
        <v>519517.19416666665</v>
      </c>
      <c r="F26" s="359">
        <f t="shared" si="2"/>
        <v>6.9425036084074217E-3</v>
      </c>
      <c r="G26" s="215">
        <v>127737.61583333333</v>
      </c>
      <c r="H26" s="359">
        <f t="shared" si="3"/>
        <v>6.9425035912357887E-3</v>
      </c>
      <c r="I26" s="215">
        <v>215333.64833333332</v>
      </c>
      <c r="J26" s="215">
        <v>105905.00166666666</v>
      </c>
      <c r="K26" s="215">
        <v>22695.563333333335</v>
      </c>
      <c r="L26" s="216">
        <f t="shared" si="4"/>
        <v>4795175.9616608443</v>
      </c>
      <c r="M26" s="249">
        <f>+'COEF Art 14 F I '!AF27*'PART MES'!J$4</f>
        <v>601384.76987692097</v>
      </c>
      <c r="N26" s="249">
        <f>+'COEF Art 14 F I '!AF27*'PART MES'!J$5</f>
        <v>98524.858942906969</v>
      </c>
      <c r="O26" s="249">
        <f>+'COEF Art 14 F I '!AF27*'PART MES'!J$6</f>
        <v>-3618.3832055123098</v>
      </c>
      <c r="P26" s="249">
        <f>+'COEF Art 14 F I '!AF27*'PART MES'!J$7</f>
        <v>-71226.53262128825</v>
      </c>
      <c r="Q26" s="214">
        <f>+'COEF Art 14 F I '!AF27*'PART MES'!J$8</f>
        <v>58750.724359136235</v>
      </c>
      <c r="R26" s="214">
        <f>+'COEF Art 14 F I '!AF27*'PART MES'!J$9</f>
        <v>858.0058503327441</v>
      </c>
      <c r="S26" s="217">
        <f t="shared" si="5"/>
        <v>684673.44320249639</v>
      </c>
      <c r="T26" s="218">
        <f t="shared" si="6"/>
        <v>5479849.4048633408</v>
      </c>
      <c r="V26" s="353">
        <v>215333.64833333332</v>
      </c>
      <c r="W26" s="354">
        <f t="shared" si="7"/>
        <v>6.9425035912357887E-3</v>
      </c>
    </row>
    <row r="27" spans="1:23" ht="12.75" customHeight="1">
      <c r="A27" s="213" t="s">
        <v>22</v>
      </c>
      <c r="B27" s="359">
        <f t="shared" si="0"/>
        <v>1.130412546866887E-3</v>
      </c>
      <c r="C27" s="214">
        <v>619383.84083333332</v>
      </c>
      <c r="D27" s="359">
        <f t="shared" si="1"/>
        <v>1.1304125512818862E-3</v>
      </c>
      <c r="E27" s="215">
        <v>84590.342499999999</v>
      </c>
      <c r="F27" s="359">
        <f t="shared" si="2"/>
        <v>1.1304125269341223E-3</v>
      </c>
      <c r="G27" s="215">
        <v>20798.865833333333</v>
      </c>
      <c r="H27" s="359">
        <f t="shared" si="3"/>
        <v>1.1304125414445905E-3</v>
      </c>
      <c r="I27" s="215">
        <v>35061.682500000003</v>
      </c>
      <c r="J27" s="215">
        <v>17243.9725</v>
      </c>
      <c r="K27" s="215">
        <v>3695.4033333333332</v>
      </c>
      <c r="L27" s="216">
        <f t="shared" si="4"/>
        <v>780774.11089123774</v>
      </c>
      <c r="M27" s="249">
        <f>+'COEF Art 14 F I '!AF28*'PART MES'!J$4</f>
        <v>117882.21014330482</v>
      </c>
      <c r="N27" s="249">
        <f>+'COEF Art 14 F I '!AF28*'PART MES'!J$5</f>
        <v>19312.640938054028</v>
      </c>
      <c r="O27" s="249">
        <f>+'COEF Art 14 F I '!AF28*'PART MES'!J$6</f>
        <v>-709.26806061035279</v>
      </c>
      <c r="P27" s="249">
        <f>+'COEF Art 14 F I '!AF28*'PART MES'!J$7</f>
        <v>-13961.678956319509</v>
      </c>
      <c r="Q27" s="214">
        <f>+'COEF Art 14 F I '!AF28*'PART MES'!J$8</f>
        <v>11516.196588072022</v>
      </c>
      <c r="R27" s="214">
        <f>+'COEF Art 14 F I '!AF28*'PART MES'!J$9</f>
        <v>168.18454842780517</v>
      </c>
      <c r="S27" s="217">
        <f t="shared" si="5"/>
        <v>134208.28520092883</v>
      </c>
      <c r="T27" s="218">
        <f t="shared" si="6"/>
        <v>914982.39609216654</v>
      </c>
      <c r="V27" s="353">
        <v>35061.682500000003</v>
      </c>
      <c r="W27" s="354">
        <f t="shared" si="7"/>
        <v>1.1304125414445905E-3</v>
      </c>
    </row>
    <row r="28" spans="1:23" ht="12.75" customHeight="1">
      <c r="A28" s="213" t="s">
        <v>23</v>
      </c>
      <c r="B28" s="359">
        <f t="shared" si="0"/>
        <v>5.1639461677341339E-3</v>
      </c>
      <c r="C28" s="214">
        <v>2829466.8350000004</v>
      </c>
      <c r="D28" s="359">
        <f t="shared" si="1"/>
        <v>5.1639461719934724E-3</v>
      </c>
      <c r="E28" s="215">
        <v>386425.27</v>
      </c>
      <c r="F28" s="359">
        <f t="shared" si="2"/>
        <v>5.1639461720652041E-3</v>
      </c>
      <c r="G28" s="215">
        <v>95013.299166666679</v>
      </c>
      <c r="H28" s="359">
        <f t="shared" si="3"/>
        <v>5.1639461764604305E-3</v>
      </c>
      <c r="I28" s="215">
        <v>160168.64166666666</v>
      </c>
      <c r="J28" s="215">
        <v>78773.848333333342</v>
      </c>
      <c r="K28" s="215">
        <v>16881.326666666668</v>
      </c>
      <c r="L28" s="216">
        <f t="shared" si="4"/>
        <v>3566729.2363251722</v>
      </c>
      <c r="M28" s="249">
        <f>+'COEF Art 14 F I '!AF29*'PART MES'!J$4</f>
        <v>337196.20291072177</v>
      </c>
      <c r="N28" s="249">
        <f>+'COEF Art 14 F I '!AF29*'PART MES'!J$5</f>
        <v>55242.849489956214</v>
      </c>
      <c r="O28" s="249">
        <f>+'COEF Art 14 F I '!AF29*'PART MES'!J$6</f>
        <v>-2028.8260339954782</v>
      </c>
      <c r="P28" s="249">
        <f>+'COEF Art 14 F I '!AF29*'PART MES'!J$7</f>
        <v>-39936.688704821085</v>
      </c>
      <c r="Q28" s="214">
        <f>+'COEF Art 14 F I '!AF29*'PART MES'!J$8</f>
        <v>32941.50794043154</v>
      </c>
      <c r="R28" s="214">
        <f>+'COEF Art 14 F I '!AF29*'PART MES'!J$9</f>
        <v>481.0835413517334</v>
      </c>
      <c r="S28" s="217">
        <f t="shared" si="5"/>
        <v>383896.12914364465</v>
      </c>
      <c r="T28" s="218">
        <f t="shared" si="6"/>
        <v>3950625.3654688168</v>
      </c>
      <c r="V28" s="353">
        <v>160168.64166666666</v>
      </c>
      <c r="W28" s="354">
        <f t="shared" si="7"/>
        <v>5.1639461764604305E-3</v>
      </c>
    </row>
    <row r="29" spans="1:23" ht="12.75" customHeight="1">
      <c r="A29" s="213" t="s">
        <v>24</v>
      </c>
      <c r="B29" s="359">
        <f t="shared" si="0"/>
        <v>5.1356521485919748E-3</v>
      </c>
      <c r="C29" s="214">
        <v>2813963.7708333335</v>
      </c>
      <c r="D29" s="359">
        <f t="shared" si="1"/>
        <v>5.1356521521579504E-3</v>
      </c>
      <c r="E29" s="215">
        <v>384307.9891666667</v>
      </c>
      <c r="F29" s="359">
        <f t="shared" si="2"/>
        <v>5.1356521609333865E-3</v>
      </c>
      <c r="G29" s="215">
        <v>94492.707500000004</v>
      </c>
      <c r="H29" s="359">
        <f t="shared" si="3"/>
        <v>5.1356521573067571E-3</v>
      </c>
      <c r="I29" s="215">
        <v>159291.05416666667</v>
      </c>
      <c r="J29" s="215">
        <v>78342.235000000001</v>
      </c>
      <c r="K29" s="215">
        <v>16788.830833333333</v>
      </c>
      <c r="L29" s="216">
        <f t="shared" si="4"/>
        <v>3547186.6029069568</v>
      </c>
      <c r="M29" s="249">
        <f>+'COEF Art 14 F I '!AF30*'PART MES'!J$4</f>
        <v>1248365.1668732576</v>
      </c>
      <c r="N29" s="249">
        <f>+'COEF Art 14 F I '!AF30*'PART MES'!J$5</f>
        <v>204519.64887737067</v>
      </c>
      <c r="O29" s="249">
        <f>+'COEF Art 14 F I '!AF30*'PART MES'!J$6</f>
        <v>-7511.1040059847664</v>
      </c>
      <c r="P29" s="249">
        <f>+'COEF Art 14 F I '!AF30*'PART MES'!J$7</f>
        <v>-147853.29914453218</v>
      </c>
      <c r="Q29" s="214">
        <f>+'COEF Art 14 F I '!AF30*'PART MES'!J$8</f>
        <v>121955.79517839813</v>
      </c>
      <c r="R29" s="214">
        <f>+'COEF Art 14 F I '!AF30*'PART MES'!J$9</f>
        <v>1781.0637551530929</v>
      </c>
      <c r="S29" s="217">
        <f t="shared" si="5"/>
        <v>1421257.2715336622</v>
      </c>
      <c r="T29" s="218">
        <f t="shared" si="6"/>
        <v>4968443.8744406188</v>
      </c>
      <c r="V29" s="353">
        <v>159291.05416666667</v>
      </c>
      <c r="W29" s="354">
        <f t="shared" si="7"/>
        <v>5.1356521573067571E-3</v>
      </c>
    </row>
    <row r="30" spans="1:23" ht="12.75" customHeight="1">
      <c r="A30" s="213" t="s">
        <v>25</v>
      </c>
      <c r="B30" s="359">
        <f t="shared" si="0"/>
        <v>8.0421059107526963E-2</v>
      </c>
      <c r="C30" s="214">
        <v>44064889.94833333</v>
      </c>
      <c r="D30" s="359">
        <f t="shared" si="1"/>
        <v>8.042105910582982E-2</v>
      </c>
      <c r="E30" s="215">
        <v>6018019.6391666671</v>
      </c>
      <c r="F30" s="359">
        <f t="shared" si="2"/>
        <v>8.0421059088268451E-2</v>
      </c>
      <c r="G30" s="215">
        <v>1479695.9325000001</v>
      </c>
      <c r="H30" s="359">
        <f t="shared" si="3"/>
        <v>8.0421059110259083E-2</v>
      </c>
      <c r="I30" s="215">
        <v>2494396.9899999998</v>
      </c>
      <c r="J30" s="215">
        <v>1226789.7691666668</v>
      </c>
      <c r="K30" s="215">
        <v>262902.45750000002</v>
      </c>
      <c r="L30" s="216">
        <f t="shared" si="4"/>
        <v>55546694.977929845</v>
      </c>
      <c r="M30" s="249">
        <f>+'COEF Art 14 F I '!AF31*'PART MES'!J$4</f>
        <v>8817918.7017707564</v>
      </c>
      <c r="N30" s="249">
        <f>+'COEF Art 14 F I '!AF31*'PART MES'!J$5</f>
        <v>1444639.5049874475</v>
      </c>
      <c r="O30" s="249">
        <f>+'COEF Art 14 F I '!AF31*'PART MES'!J$6</f>
        <v>-53055.232749891897</v>
      </c>
      <c r="P30" s="249">
        <f>+'COEF Art 14 F I '!AF31*'PART MES'!J$7</f>
        <v>-1044372.5972509795</v>
      </c>
      <c r="Q30" s="214">
        <f>+'COEF Art 14 F I '!AF31*'PART MES'!J$8</f>
        <v>861443.68301018304</v>
      </c>
      <c r="R30" s="214">
        <f>+'COEF Art 14 F I '!AF31*'PART MES'!J$9</f>
        <v>12580.674158785636</v>
      </c>
      <c r="S30" s="217">
        <f t="shared" si="5"/>
        <v>10039154.733926302</v>
      </c>
      <c r="T30" s="218">
        <f t="shared" si="6"/>
        <v>65585849.711856149</v>
      </c>
      <c r="V30" s="353">
        <v>2494396.9899999998</v>
      </c>
      <c r="W30" s="354">
        <f t="shared" si="7"/>
        <v>8.0421059110259083E-2</v>
      </c>
    </row>
    <row r="31" spans="1:23" ht="12.75" customHeight="1">
      <c r="A31" s="213" t="s">
        <v>213</v>
      </c>
      <c r="B31" s="359">
        <f t="shared" si="0"/>
        <v>2.0708092454272318E-3</v>
      </c>
      <c r="C31" s="214">
        <v>1134652.82</v>
      </c>
      <c r="D31" s="359">
        <f t="shared" si="1"/>
        <v>2.0708092438317862E-3</v>
      </c>
      <c r="E31" s="215">
        <v>154961.53416666665</v>
      </c>
      <c r="F31" s="359">
        <f t="shared" si="2"/>
        <v>2.0708092398353966E-3</v>
      </c>
      <c r="G31" s="215">
        <v>38101.5625</v>
      </c>
      <c r="H31" s="359">
        <f t="shared" si="3"/>
        <v>2.0708092524995832E-3</v>
      </c>
      <c r="I31" s="215">
        <v>64229.698333333334</v>
      </c>
      <c r="J31" s="215">
        <v>31589.3325</v>
      </c>
      <c r="K31" s="215">
        <v>6769.63</v>
      </c>
      <c r="L31" s="216">
        <f t="shared" si="4"/>
        <v>1430304.5837124276</v>
      </c>
      <c r="M31" s="249">
        <f>+'COEF Art 14 F I '!AF32*'PART MES'!J$4</f>
        <v>122867.09248321819</v>
      </c>
      <c r="N31" s="249">
        <f>+'COEF Art 14 F I '!AF32*'PART MES'!J$5</f>
        <v>20129.314146268909</v>
      </c>
      <c r="O31" s="249">
        <f>+'COEF Art 14 F I '!AF32*'PART MES'!J$6</f>
        <v>-739.26086296198025</v>
      </c>
      <c r="P31" s="249">
        <f>+'COEF Art 14 F I '!AF32*'PART MES'!J$7</f>
        <v>-14552.07615688345</v>
      </c>
      <c r="Q31" s="214">
        <f>+'COEF Art 14 F I '!AF32*'PART MES'!J$8</f>
        <v>12003.181731335484</v>
      </c>
      <c r="R31" s="214">
        <f>+'COEF Art 14 F I '!AF32*'PART MES'!J$9</f>
        <v>175.29656460297602</v>
      </c>
      <c r="S31" s="217">
        <f t="shared" si="5"/>
        <v>139883.54790558011</v>
      </c>
      <c r="T31" s="218">
        <f t="shared" si="6"/>
        <v>1570188.1316180078</v>
      </c>
      <c r="V31" s="353">
        <v>64229.698333333334</v>
      </c>
      <c r="W31" s="354">
        <f t="shared" si="7"/>
        <v>2.0708092524995832E-3</v>
      </c>
    </row>
    <row r="32" spans="1:23" ht="12.75" customHeight="1">
      <c r="A32" s="213" t="s">
        <v>27</v>
      </c>
      <c r="B32" s="359">
        <f t="shared" si="0"/>
        <v>3.5645779099368535E-3</v>
      </c>
      <c r="C32" s="214">
        <v>1953129.38</v>
      </c>
      <c r="D32" s="359">
        <f t="shared" si="1"/>
        <v>3.5645779124969176E-3</v>
      </c>
      <c r="E32" s="215">
        <v>266742.32</v>
      </c>
      <c r="F32" s="359">
        <f t="shared" si="2"/>
        <v>3.5645779044372154E-3</v>
      </c>
      <c r="G32" s="215">
        <v>65585.948333333334</v>
      </c>
      <c r="H32" s="359">
        <f t="shared" si="3"/>
        <v>3.5645779025248567E-3</v>
      </c>
      <c r="I32" s="215">
        <v>110561.49333333333</v>
      </c>
      <c r="J32" s="215">
        <v>54376.151666666665</v>
      </c>
      <c r="K32" s="215">
        <v>11652.871666666666</v>
      </c>
      <c r="L32" s="216">
        <f t="shared" si="4"/>
        <v>2462048.1756937336</v>
      </c>
      <c r="M32" s="249">
        <f>+'COEF Art 14 F I '!AF33*'PART MES'!J$4</f>
        <v>233302.77860280173</v>
      </c>
      <c r="N32" s="249">
        <f>+'COEF Art 14 F I '!AF33*'PART MES'!J$5</f>
        <v>38221.991151411465</v>
      </c>
      <c r="O32" s="249">
        <f>+'COEF Art 14 F I '!AF33*'PART MES'!J$6</f>
        <v>-1403.7250329244348</v>
      </c>
      <c r="P32" s="249">
        <f>+'COEF Art 14 F I '!AF33*'PART MES'!J$7</f>
        <v>-27631.807127723812</v>
      </c>
      <c r="Q32" s="214">
        <f>+'COEF Art 14 F I '!AF33*'PART MES'!J$8</f>
        <v>22791.909480379752</v>
      </c>
      <c r="R32" s="214">
        <f>+'COEF Art 14 F I '!AF33*'PART MES'!J$9</f>
        <v>332.85703091725549</v>
      </c>
      <c r="S32" s="217">
        <f t="shared" si="5"/>
        <v>265614.00410486193</v>
      </c>
      <c r="T32" s="218">
        <f t="shared" si="6"/>
        <v>2727662.1797985956</v>
      </c>
      <c r="V32" s="353">
        <v>110561.49333333333</v>
      </c>
      <c r="W32" s="354">
        <f t="shared" si="7"/>
        <v>3.5645779025248567E-3</v>
      </c>
    </row>
    <row r="33" spans="1:23" ht="12.75" customHeight="1">
      <c r="A33" s="213" t="s">
        <v>28</v>
      </c>
      <c r="B33" s="359">
        <f t="shared" si="0"/>
        <v>2.045796338559747E-3</v>
      </c>
      <c r="C33" s="214">
        <v>1120947.5666666667</v>
      </c>
      <c r="D33" s="359">
        <f t="shared" si="1"/>
        <v>2.0457963337011491E-3</v>
      </c>
      <c r="E33" s="215">
        <v>153089.78333333333</v>
      </c>
      <c r="F33" s="359">
        <f t="shared" si="2"/>
        <v>2.0457963212784269E-3</v>
      </c>
      <c r="G33" s="215">
        <v>37641.340833333335</v>
      </c>
      <c r="H33" s="359">
        <f t="shared" si="3"/>
        <v>2.0457963406439513E-3</v>
      </c>
      <c r="I33" s="215">
        <v>63453.880000000005</v>
      </c>
      <c r="J33" s="215">
        <v>31207.771666666667</v>
      </c>
      <c r="K33" s="215">
        <v>6687.8616666666667</v>
      </c>
      <c r="L33" s="216">
        <f t="shared" si="4"/>
        <v>1413028.2103040554</v>
      </c>
      <c r="M33" s="249">
        <f>+'COEF Art 14 F I '!AF34*'PART MES'!J$4</f>
        <v>176235.20563293219</v>
      </c>
      <c r="N33" s="249">
        <f>+'COEF Art 14 F I '!AF34*'PART MES'!J$5</f>
        <v>28872.611421989386</v>
      </c>
      <c r="O33" s="249">
        <f>+'COEF Art 14 F I '!AF34*'PART MES'!J$6</f>
        <v>-1060.363581227238</v>
      </c>
      <c r="P33" s="249">
        <f>+'COEF Art 14 F I '!AF34*'PART MES'!J$7</f>
        <v>-20872.864182447618</v>
      </c>
      <c r="Q33" s="214">
        <f>+'COEF Art 14 F I '!AF34*'PART MES'!J$8</f>
        <v>17216.841042773871</v>
      </c>
      <c r="R33" s="214">
        <f>+'COEF Art 14 F I '!AF34*'PART MES'!J$9</f>
        <v>251.43775672702304</v>
      </c>
      <c r="S33" s="217">
        <f t="shared" si="5"/>
        <v>200642.86809074765</v>
      </c>
      <c r="T33" s="218">
        <f t="shared" si="6"/>
        <v>1613671.078394803</v>
      </c>
      <c r="V33" s="353">
        <v>63453.880000000005</v>
      </c>
      <c r="W33" s="354">
        <f t="shared" si="7"/>
        <v>2.0457963406439513E-3</v>
      </c>
    </row>
    <row r="34" spans="1:23" ht="12.75" customHeight="1">
      <c r="A34" s="213" t="s">
        <v>29</v>
      </c>
      <c r="B34" s="359">
        <f t="shared" si="0"/>
        <v>2.8536600265404799E-3</v>
      </c>
      <c r="C34" s="214">
        <v>1563598.0975000001</v>
      </c>
      <c r="D34" s="359">
        <f t="shared" si="1"/>
        <v>2.8536600299820152E-3</v>
      </c>
      <c r="E34" s="215">
        <v>213543.34666666668</v>
      </c>
      <c r="F34" s="359">
        <f t="shared" si="2"/>
        <v>2.8536600199615442E-3</v>
      </c>
      <c r="G34" s="215">
        <v>52505.515000000007</v>
      </c>
      <c r="H34" s="359">
        <f t="shared" si="3"/>
        <v>2.8536600191324808E-3</v>
      </c>
      <c r="I34" s="215">
        <v>88511.156666666662</v>
      </c>
      <c r="J34" s="215">
        <v>43531.395833333336</v>
      </c>
      <c r="K34" s="215">
        <v>9328.8283333333329</v>
      </c>
      <c r="L34" s="216">
        <f t="shared" si="4"/>
        <v>1971018.3485609801</v>
      </c>
      <c r="M34" s="249">
        <f>+'COEF Art 14 F I '!AF35*'PART MES'!J$4</f>
        <v>205990.66862951752</v>
      </c>
      <c r="N34" s="249">
        <f>+'COEF Art 14 F I '!AF35*'PART MES'!J$5</f>
        <v>33747.448533543524</v>
      </c>
      <c r="O34" s="249">
        <f>+'COEF Art 14 F I '!AF35*'PART MES'!J$6</f>
        <v>-1239.3948320537634</v>
      </c>
      <c r="P34" s="249">
        <f>+'COEF Art 14 F I '!AF35*'PART MES'!J$7</f>
        <v>-24397.028015564927</v>
      </c>
      <c r="Q34" s="214">
        <f>+'COEF Art 14 F I '!AF35*'PART MES'!J$8</f>
        <v>20123.723777846524</v>
      </c>
      <c r="R34" s="214">
        <f>+'COEF Art 14 F I '!AF35*'PART MES'!J$9</f>
        <v>293.89038042026147</v>
      </c>
      <c r="S34" s="217">
        <f t="shared" si="5"/>
        <v>234519.30847370913</v>
      </c>
      <c r="T34" s="218">
        <f t="shared" si="6"/>
        <v>2205537.6570346891</v>
      </c>
      <c r="V34" s="353">
        <v>88511.156666666662</v>
      </c>
      <c r="W34" s="354">
        <f t="shared" si="7"/>
        <v>2.8536600191324808E-3</v>
      </c>
    </row>
    <row r="35" spans="1:23" ht="12.75" customHeight="1">
      <c r="A35" s="213" t="s">
        <v>30</v>
      </c>
      <c r="B35" s="359">
        <f t="shared" si="0"/>
        <v>2.7195745105938825E-3</v>
      </c>
      <c r="C35" s="214">
        <v>1490128.9891666668</v>
      </c>
      <c r="D35" s="359">
        <f t="shared" si="1"/>
        <v>2.7195745100998207E-3</v>
      </c>
      <c r="E35" s="215">
        <v>203509.54083333336</v>
      </c>
      <c r="F35" s="359">
        <f t="shared" si="2"/>
        <v>2.7195745060017837E-3</v>
      </c>
      <c r="G35" s="215">
        <v>50038.427499999998</v>
      </c>
      <c r="H35" s="359">
        <f t="shared" si="3"/>
        <v>2.7195745171458207E-3</v>
      </c>
      <c r="I35" s="215">
        <v>84352.264999999999</v>
      </c>
      <c r="J35" s="215">
        <v>41485.976666666662</v>
      </c>
      <c r="K35" s="215">
        <v>8890.4925000000003</v>
      </c>
      <c r="L35" s="216">
        <f t="shared" si="4"/>
        <v>1878405.6998253902</v>
      </c>
      <c r="M35" s="249">
        <f>+'COEF Art 14 F I '!AF36*'PART MES'!J$4</f>
        <v>214904.13174504499</v>
      </c>
      <c r="N35" s="249">
        <f>+'COEF Art 14 F I '!AF36*'PART MES'!J$5</f>
        <v>35207.741078580664</v>
      </c>
      <c r="O35" s="249">
        <f>+'COEF Art 14 F I '!AF36*'PART MES'!J$6</f>
        <v>-1293.0249318761762</v>
      </c>
      <c r="P35" s="249">
        <f>+'COEF Art 14 F I '!AF36*'PART MES'!J$7</f>
        <v>-25452.7166581235</v>
      </c>
      <c r="Q35" s="214">
        <f>+'COEF Art 14 F I '!AF36*'PART MES'!J$8</f>
        <v>20994.50142439859</v>
      </c>
      <c r="R35" s="214">
        <f>+'COEF Art 14 F I '!AF36*'PART MES'!J$9</f>
        <v>306.60736941453359</v>
      </c>
      <c r="S35" s="217">
        <f t="shared" si="5"/>
        <v>244667.24002743911</v>
      </c>
      <c r="T35" s="218">
        <f t="shared" si="6"/>
        <v>2123072.9398528296</v>
      </c>
      <c r="V35" s="353">
        <v>84352.264999999999</v>
      </c>
      <c r="W35" s="354">
        <f t="shared" si="7"/>
        <v>2.7195745171458207E-3</v>
      </c>
    </row>
    <row r="36" spans="1:23" ht="12.75" customHeight="1">
      <c r="A36" s="213" t="s">
        <v>243</v>
      </c>
      <c r="B36" s="359">
        <f t="shared" si="0"/>
        <v>2.522123925925621E-2</v>
      </c>
      <c r="C36" s="214">
        <v>13819404.328333333</v>
      </c>
      <c r="D36" s="359">
        <f t="shared" si="1"/>
        <v>2.5221239260040482E-2</v>
      </c>
      <c r="E36" s="215">
        <v>1887340.3916666666</v>
      </c>
      <c r="F36" s="359">
        <f t="shared" si="2"/>
        <v>2.5221239265995142E-2</v>
      </c>
      <c r="G36" s="215">
        <v>464054.63416666671</v>
      </c>
      <c r="H36" s="359">
        <f t="shared" si="3"/>
        <v>2.5221239264739653E-2</v>
      </c>
      <c r="I36" s="215">
        <v>782279.96499999997</v>
      </c>
      <c r="J36" s="215">
        <v>384739.5025</v>
      </c>
      <c r="K36" s="215">
        <v>82450.117500000008</v>
      </c>
      <c r="L36" s="216">
        <f t="shared" si="4"/>
        <v>17420269.014830388</v>
      </c>
      <c r="M36" s="249">
        <f>+'COEF Art 14 F I '!AF37*'PART MES'!J$4</f>
        <v>6420014.1896821465</v>
      </c>
      <c r="N36" s="249">
        <f>+'COEF Art 14 F I '!AF37*'PART MES'!J$5</f>
        <v>1051790.8402957197</v>
      </c>
      <c r="O36" s="249">
        <f>+'COEF Art 14 F I '!AF37*'PART MES'!J$6</f>
        <v>-38627.635229024592</v>
      </c>
      <c r="P36" s="249">
        <f>+'COEF Art 14 F I '!AF37*'PART MES'!J$7</f>
        <v>-760370.68614842801</v>
      </c>
      <c r="Q36" s="214">
        <f>+'COEF Art 14 F I '!AF37*'PART MES'!J$8</f>
        <v>627186.62482415815</v>
      </c>
      <c r="R36" s="214">
        <f>+'COEF Art 14 F I '!AF37*'PART MES'!J$9</f>
        <v>9159.5431242694449</v>
      </c>
      <c r="S36" s="217">
        <f t="shared" si="5"/>
        <v>7309152.8765488407</v>
      </c>
      <c r="T36" s="218">
        <f t="shared" si="6"/>
        <v>24729421.89137923</v>
      </c>
      <c r="V36" s="353">
        <v>782279.96499999997</v>
      </c>
      <c r="W36" s="354">
        <f t="shared" si="7"/>
        <v>2.5221239264739653E-2</v>
      </c>
    </row>
    <row r="37" spans="1:23" ht="12.75" customHeight="1">
      <c r="A37" s="213" t="s">
        <v>32</v>
      </c>
      <c r="B37" s="359">
        <f t="shared" si="0"/>
        <v>4.8624005988842384E-3</v>
      </c>
      <c r="C37" s="214">
        <v>2664241.8000000003</v>
      </c>
      <c r="D37" s="359">
        <f t="shared" si="1"/>
        <v>4.8624006018403937E-3</v>
      </c>
      <c r="E37" s="215">
        <v>363860.1958333333</v>
      </c>
      <c r="F37" s="359">
        <f t="shared" si="2"/>
        <v>4.862400611804504E-3</v>
      </c>
      <c r="G37" s="215">
        <v>89465.054166666654</v>
      </c>
      <c r="H37" s="359">
        <f t="shared" si="3"/>
        <v>4.8624005861269944E-3</v>
      </c>
      <c r="I37" s="215">
        <v>150815.68833333332</v>
      </c>
      <c r="J37" s="215">
        <v>74173.896666666667</v>
      </c>
      <c r="K37" s="215">
        <v>15895.551666666666</v>
      </c>
      <c r="L37" s="216">
        <f t="shared" si="4"/>
        <v>3358452.2012538691</v>
      </c>
      <c r="M37" s="249">
        <f>+'COEF Art 14 F I '!AF38*'PART MES'!J$4</f>
        <v>511032.86126582714</v>
      </c>
      <c r="N37" s="249">
        <f>+'COEF Art 14 F I '!AF38*'PART MES'!J$5</f>
        <v>83722.506942951441</v>
      </c>
      <c r="O37" s="249">
        <f>+'COEF Art 14 F I '!AF38*'PART MES'!J$6</f>
        <v>-3074.7581503396063</v>
      </c>
      <c r="P37" s="249">
        <f>+'COEF Art 14 F I '!AF38*'PART MES'!J$7</f>
        <v>-60525.474848573445</v>
      </c>
      <c r="Q37" s="214">
        <f>+'COEF Art 14 F I '!AF38*'PART MES'!J$8</f>
        <v>49924.029131688716</v>
      </c>
      <c r="R37" s="214">
        <f>+'COEF Art 14 F I '!AF38*'PART MES'!J$9</f>
        <v>729.09924999946065</v>
      </c>
      <c r="S37" s="217">
        <f t="shared" si="5"/>
        <v>581808.26359155378</v>
      </c>
      <c r="T37" s="218">
        <f t="shared" si="6"/>
        <v>3940260.4648454227</v>
      </c>
      <c r="V37" s="353">
        <v>150815.68833333332</v>
      </c>
      <c r="W37" s="354">
        <f t="shared" si="7"/>
        <v>4.8624005861269944E-3</v>
      </c>
    </row>
    <row r="38" spans="1:23" s="1" customFormat="1" ht="12.75" customHeight="1">
      <c r="A38" s="213" t="s">
        <v>33</v>
      </c>
      <c r="B38" s="359">
        <f t="shared" si="0"/>
        <v>1.7827541222552108E-2</v>
      </c>
      <c r="C38" s="214">
        <v>9768195.6783333328</v>
      </c>
      <c r="D38" s="359">
        <f t="shared" si="1"/>
        <v>1.7827541220030194E-2</v>
      </c>
      <c r="E38" s="215">
        <v>1334059.69</v>
      </c>
      <c r="F38" s="359">
        <f t="shared" si="2"/>
        <v>1.7827541224107457E-2</v>
      </c>
      <c r="G38" s="215">
        <v>328015.33</v>
      </c>
      <c r="H38" s="359">
        <f t="shared" si="3"/>
        <v>1.7827541225031125E-2</v>
      </c>
      <c r="I38" s="215">
        <v>552951.74749999994</v>
      </c>
      <c r="J38" s="215">
        <v>271951.71833333332</v>
      </c>
      <c r="K38" s="215">
        <v>58279.565833333334</v>
      </c>
      <c r="L38" s="216">
        <f t="shared" si="4"/>
        <v>12313453.783482622</v>
      </c>
      <c r="M38" s="249">
        <f>+'COEF Art 14 F I '!AF39*'PART MES'!J$4</f>
        <v>1430340.6933931569</v>
      </c>
      <c r="N38" s="249">
        <f>+'COEF Art 14 F I '!AF39*'PART MES'!J$5</f>
        <v>234332.69699480745</v>
      </c>
      <c r="O38" s="249">
        <f>+'COEF Art 14 F I '!AF39*'PART MES'!J$6</f>
        <v>-8606.0056761893884</v>
      </c>
      <c r="P38" s="249">
        <f>+'COEF Art 14 F I '!AF39*'PART MES'!J$7</f>
        <v>-169406.03281053173</v>
      </c>
      <c r="Q38" s="214">
        <f>+'COEF Art 14 F I '!AF39*'PART MES'!J$8</f>
        <v>139733.42197275034</v>
      </c>
      <c r="R38" s="214">
        <f>+'COEF Art 14 F I '!AF39*'PART MES'!J$9</f>
        <v>2040.6913250421835</v>
      </c>
      <c r="S38" s="217">
        <f t="shared" si="5"/>
        <v>1628435.4651990358</v>
      </c>
      <c r="T38" s="218">
        <f t="shared" si="6"/>
        <v>13941889.248681659</v>
      </c>
      <c r="V38" s="353">
        <v>552951.74749999994</v>
      </c>
      <c r="W38" s="354">
        <f t="shared" si="7"/>
        <v>1.7827541225031125E-2</v>
      </c>
    </row>
    <row r="39" spans="1:23" ht="12.75" customHeight="1">
      <c r="A39" s="213" t="s">
        <v>244</v>
      </c>
      <c r="B39" s="359">
        <f t="shared" si="0"/>
        <v>3.8037956441703239E-3</v>
      </c>
      <c r="C39" s="214">
        <v>2084203.2958333334</v>
      </c>
      <c r="D39" s="359">
        <f t="shared" si="1"/>
        <v>3.8037956391355618E-3</v>
      </c>
      <c r="E39" s="215">
        <v>284643.315</v>
      </c>
      <c r="F39" s="359">
        <f t="shared" si="2"/>
        <v>3.8037956591256469E-3</v>
      </c>
      <c r="G39" s="215">
        <v>69987.401666666658</v>
      </c>
      <c r="H39" s="359">
        <f t="shared" si="3"/>
        <v>3.8037956460077195E-3</v>
      </c>
      <c r="I39" s="215">
        <v>117981.24166666665</v>
      </c>
      <c r="J39" s="215">
        <v>58025.318333333329</v>
      </c>
      <c r="K39" s="215">
        <v>12434.8925</v>
      </c>
      <c r="L39" s="216">
        <f t="shared" si="4"/>
        <v>2627275.4764113873</v>
      </c>
      <c r="M39" s="249">
        <f>+'COEF Art 14 F I '!AF40*'PART MES'!J$4</f>
        <v>260230.83370680985</v>
      </c>
      <c r="N39" s="249">
        <f>+'COEF Art 14 F I '!AF40*'PART MES'!J$5</f>
        <v>42633.614065094836</v>
      </c>
      <c r="O39" s="249">
        <f>+'COEF Art 14 F I '!AF40*'PART MES'!J$6</f>
        <v>-1565.744470771845</v>
      </c>
      <c r="P39" s="249">
        <f>+'COEF Art 14 F I '!AF40*'PART MES'!J$7</f>
        <v>-30821.099726014945</v>
      </c>
      <c r="Q39" s="214">
        <f>+'COEF Art 14 F I '!AF40*'PART MES'!J$8</f>
        <v>25422.575939171173</v>
      </c>
      <c r="R39" s="214">
        <f>+'COEF Art 14 F I '!AF40*'PART MES'!J$9</f>
        <v>371.27574381889747</v>
      </c>
      <c r="S39" s="217">
        <f t="shared" si="5"/>
        <v>296271.45525810798</v>
      </c>
      <c r="T39" s="218">
        <f t="shared" si="6"/>
        <v>2923546.9316694951</v>
      </c>
      <c r="V39" s="353">
        <v>117981.24166666665</v>
      </c>
      <c r="W39" s="354">
        <f t="shared" si="7"/>
        <v>3.8037956460077195E-3</v>
      </c>
    </row>
    <row r="40" spans="1:23" ht="12.75" customHeight="1">
      <c r="A40" s="213" t="s">
        <v>35</v>
      </c>
      <c r="B40" s="359">
        <f t="shared" si="0"/>
        <v>3.6562210002390257E-3</v>
      </c>
      <c r="C40" s="214">
        <v>2003343.1266666667</v>
      </c>
      <c r="D40" s="359">
        <f t="shared" si="1"/>
        <v>3.6562210050394253E-3</v>
      </c>
      <c r="E40" s="215">
        <v>273600.10000000003</v>
      </c>
      <c r="F40" s="359">
        <f t="shared" si="2"/>
        <v>3.6562209976648244E-3</v>
      </c>
      <c r="G40" s="215">
        <v>67272.122499999998</v>
      </c>
      <c r="H40" s="359">
        <f t="shared" si="3"/>
        <v>3.6562209921184221E-3</v>
      </c>
      <c r="I40" s="215">
        <v>113403.96083333333</v>
      </c>
      <c r="J40" s="215">
        <v>55774.129166666673</v>
      </c>
      <c r="K40" s="215">
        <v>11952.46</v>
      </c>
      <c r="L40" s="216">
        <f t="shared" si="4"/>
        <v>2525345.9101353302</v>
      </c>
      <c r="M40" s="249">
        <f>+'COEF Art 14 F I '!AF41*'PART MES'!J$4</f>
        <v>47682.236763367597</v>
      </c>
      <c r="N40" s="249">
        <f>+'COEF Art 14 F I '!AF41*'PART MES'!J$5</f>
        <v>7811.7802220940048</v>
      </c>
      <c r="O40" s="249">
        <f>+'COEF Art 14 F I '!AF41*'PART MES'!J$6</f>
        <v>-286.89220836294436</v>
      </c>
      <c r="P40" s="249">
        <f>+'COEF Art 14 F I '!AF41*'PART MES'!J$7</f>
        <v>-5647.3668147217377</v>
      </c>
      <c r="Q40" s="214">
        <f>+'COEF Art 14 F I '!AF41*'PART MES'!J$8</f>
        <v>4658.192374051986</v>
      </c>
      <c r="R40" s="214">
        <f>+'COEF Art 14 F I '!AF41*'PART MES'!J$9</f>
        <v>68.02905585436325</v>
      </c>
      <c r="S40" s="217">
        <f t="shared" si="5"/>
        <v>54285.979392283269</v>
      </c>
      <c r="T40" s="218">
        <f t="shared" si="6"/>
        <v>2579631.8895276133</v>
      </c>
      <c r="V40" s="353">
        <v>113403.96083333333</v>
      </c>
      <c r="W40" s="354">
        <f t="shared" si="7"/>
        <v>3.6562209921184221E-3</v>
      </c>
    </row>
    <row r="41" spans="1:23" ht="12.75" customHeight="1">
      <c r="A41" s="213" t="s">
        <v>36</v>
      </c>
      <c r="B41" s="359">
        <f t="shared" si="0"/>
        <v>3.9344779604671204E-3</v>
      </c>
      <c r="C41" s="214">
        <v>2155807.6983333332</v>
      </c>
      <c r="D41" s="359">
        <f t="shared" si="1"/>
        <v>3.9344779637371288E-3</v>
      </c>
      <c r="E41" s="215">
        <v>294422.45500000002</v>
      </c>
      <c r="F41" s="359">
        <f t="shared" si="2"/>
        <v>3.934477974807094E-3</v>
      </c>
      <c r="G41" s="215">
        <v>72391.872499999998</v>
      </c>
      <c r="H41" s="359">
        <f t="shared" si="3"/>
        <v>3.9344779559820561E-3</v>
      </c>
      <c r="I41" s="215">
        <v>122034.5775</v>
      </c>
      <c r="J41" s="215">
        <v>60018.823333333334</v>
      </c>
      <c r="K41" s="215">
        <v>12862.102500000001</v>
      </c>
      <c r="L41" s="216">
        <f t="shared" si="4"/>
        <v>2717537.5409701006</v>
      </c>
      <c r="M41" s="249">
        <f>+'COEF Art 14 F I '!AF42*'PART MES'!J$4</f>
        <v>371341.44470488135</v>
      </c>
      <c r="N41" s="249">
        <f>+'COEF Art 14 F I '!AF42*'PART MES'!J$5</f>
        <v>60836.864004207266</v>
      </c>
      <c r="O41" s="249">
        <f>+'COEF Art 14 F I '!AF42*'PART MES'!J$6</f>
        <v>-2234.2694965584387</v>
      </c>
      <c r="P41" s="249">
        <f>+'COEF Art 14 F I '!AF42*'PART MES'!J$7</f>
        <v>-43980.767139017589</v>
      </c>
      <c r="Q41" s="214">
        <f>+'COEF Art 14 F I '!AF42*'PART MES'!J$8</f>
        <v>36277.23872263157</v>
      </c>
      <c r="R41" s="214">
        <f>+'COEF Art 14 F I '!AF42*'PART MES'!J$9</f>
        <v>529.79913690366413</v>
      </c>
      <c r="S41" s="217">
        <f t="shared" si="5"/>
        <v>422770.3099330478</v>
      </c>
      <c r="T41" s="218">
        <f t="shared" si="6"/>
        <v>3140307.8509031483</v>
      </c>
      <c r="V41" s="353">
        <v>122034.5775</v>
      </c>
      <c r="W41" s="354">
        <f t="shared" si="7"/>
        <v>3.9344779559820561E-3</v>
      </c>
    </row>
    <row r="42" spans="1:23" ht="12.75" customHeight="1">
      <c r="A42" s="213" t="s">
        <v>37</v>
      </c>
      <c r="B42" s="359">
        <f t="shared" si="0"/>
        <v>5.4073805596657433E-3</v>
      </c>
      <c r="C42" s="214">
        <v>2962851.1724999999</v>
      </c>
      <c r="D42" s="359">
        <f t="shared" si="1"/>
        <v>5.407380556017213E-3</v>
      </c>
      <c r="E42" s="215">
        <v>404641.80333333329</v>
      </c>
      <c r="F42" s="359">
        <f t="shared" si="2"/>
        <v>5.4073805591692723E-3</v>
      </c>
      <c r="G42" s="215">
        <v>99492.335833333331</v>
      </c>
      <c r="H42" s="359">
        <f t="shared" si="3"/>
        <v>5.4073805712193338E-3</v>
      </c>
      <c r="I42" s="215">
        <v>167719.17666666667</v>
      </c>
      <c r="J42" s="215">
        <v>82487.339166666658</v>
      </c>
      <c r="K42" s="215">
        <v>17677.131666666664</v>
      </c>
      <c r="L42" s="216">
        <f t="shared" si="4"/>
        <v>3734868.9753888082</v>
      </c>
      <c r="M42" s="249">
        <f>+'COEF Art 14 F I '!AF43*'PART MES'!J$4</f>
        <v>484874.98133575555</v>
      </c>
      <c r="N42" s="249">
        <f>+'COEF Art 14 F I '!AF43*'PART MES'!J$5</f>
        <v>79437.061817889073</v>
      </c>
      <c r="O42" s="249">
        <f>+'COEF Art 14 F I '!AF43*'PART MES'!J$6</f>
        <v>-2917.372665751845</v>
      </c>
      <c r="P42" s="249">
        <f>+'COEF Art 14 F I '!AF43*'PART MES'!J$7</f>
        <v>-57427.399903103353</v>
      </c>
      <c r="Q42" s="214">
        <f>+'COEF Art 14 F I '!AF43*'PART MES'!J$8</f>
        <v>47368.602937730502</v>
      </c>
      <c r="R42" s="214">
        <f>+'COEF Art 14 F I '!AF43*'PART MES'!J$9</f>
        <v>691.77935908021402</v>
      </c>
      <c r="S42" s="217">
        <f t="shared" si="5"/>
        <v>552027.6528816002</v>
      </c>
      <c r="T42" s="218">
        <f t="shared" si="6"/>
        <v>4286896.6282704081</v>
      </c>
      <c r="V42" s="353">
        <v>167719.17666666667</v>
      </c>
      <c r="W42" s="354">
        <f t="shared" si="7"/>
        <v>5.4073805712193338E-3</v>
      </c>
    </row>
    <row r="43" spans="1:23" s="1" customFormat="1" ht="12.75" customHeight="1">
      <c r="A43" s="213" t="s">
        <v>38</v>
      </c>
      <c r="B43" s="359">
        <f t="shared" si="0"/>
        <v>1.2686214131127917E-2</v>
      </c>
      <c r="C43" s="214">
        <v>6951122.4516666671</v>
      </c>
      <c r="D43" s="359">
        <f t="shared" si="1"/>
        <v>1.2686214132083101E-2</v>
      </c>
      <c r="E43" s="215">
        <v>949327.03749999998</v>
      </c>
      <c r="F43" s="359">
        <f t="shared" si="2"/>
        <v>1.2686214137197546E-2</v>
      </c>
      <c r="G43" s="215">
        <v>233418.20750000002</v>
      </c>
      <c r="H43" s="359">
        <f t="shared" si="3"/>
        <v>1.2686214143552841E-2</v>
      </c>
      <c r="I43" s="215">
        <v>393484.67583333334</v>
      </c>
      <c r="J43" s="215">
        <v>193522.91416666668</v>
      </c>
      <c r="K43" s="215">
        <v>41472.183333333334</v>
      </c>
      <c r="L43" s="216">
        <f t="shared" si="4"/>
        <v>8762347.5080586448</v>
      </c>
      <c r="M43" s="249">
        <f>+'COEF Art 14 F I '!AF44*'PART MES'!J$4</f>
        <v>1110416.9607067253</v>
      </c>
      <c r="N43" s="249">
        <f>+'COEF Art 14 F I '!AF44*'PART MES'!J$5</f>
        <v>181919.59607462634</v>
      </c>
      <c r="O43" s="249">
        <f>+'COEF Art 14 F I '!AF44*'PART MES'!J$6</f>
        <v>-6681.1038173772531</v>
      </c>
      <c r="P43" s="249">
        <f>+'COEF Art 14 F I '!AF44*'PART MES'!J$7</f>
        <v>-131515.05298545567</v>
      </c>
      <c r="Q43" s="214">
        <f>+'COEF Art 14 F I '!AF44*'PART MES'!J$8</f>
        <v>108479.30318478493</v>
      </c>
      <c r="R43" s="214">
        <f>+'COEF Art 14 F I '!AF44*'PART MES'!J$9</f>
        <v>1584.2507098908793</v>
      </c>
      <c r="S43" s="217">
        <f t="shared" si="5"/>
        <v>1264203.9538731945</v>
      </c>
      <c r="T43" s="218">
        <f t="shared" si="6"/>
        <v>10026551.46193184</v>
      </c>
      <c r="V43" s="353">
        <v>393484.67583333334</v>
      </c>
      <c r="W43" s="354">
        <f t="shared" si="7"/>
        <v>1.2686214143552841E-2</v>
      </c>
    </row>
    <row r="44" spans="1:23" ht="12.75" customHeight="1">
      <c r="A44" s="213" t="s">
        <v>39</v>
      </c>
      <c r="B44" s="359">
        <f t="shared" si="0"/>
        <v>0.26254387381838923</v>
      </c>
      <c r="C44" s="214">
        <v>143854943.40416667</v>
      </c>
      <c r="D44" s="359">
        <f t="shared" si="1"/>
        <v>0.26254387382378169</v>
      </c>
      <c r="E44" s="215">
        <v>19646523.017500002</v>
      </c>
      <c r="F44" s="359">
        <f t="shared" si="2"/>
        <v>0.26254387380665273</v>
      </c>
      <c r="G44" s="215">
        <v>4830638.9716666667</v>
      </c>
      <c r="H44" s="359">
        <f t="shared" si="3"/>
        <v>0.26254387384492123</v>
      </c>
      <c r="I44" s="215">
        <v>8143248.2474999996</v>
      </c>
      <c r="J44" s="215">
        <v>4004997.4716666662</v>
      </c>
      <c r="K44" s="215">
        <v>858275.56166666665</v>
      </c>
      <c r="L44" s="216">
        <f t="shared" si="4"/>
        <v>181338627.46179834</v>
      </c>
      <c r="M44" s="249">
        <f>+'COEF Art 14 F I '!AF45*'PART MES'!J$4</f>
        <v>37933962.783579625</v>
      </c>
      <c r="N44" s="249">
        <f>+'COEF Art 14 F I '!AF45*'PART MES'!J$5</f>
        <v>6214720.6241397951</v>
      </c>
      <c r="O44" s="249">
        <f>+'COEF Art 14 F I '!AF45*'PART MES'!J$6</f>
        <v>-228239.25834158552</v>
      </c>
      <c r="P44" s="249">
        <f>+'COEF Art 14 F I '!AF45*'PART MES'!J$7</f>
        <v>-4492805.2271964569</v>
      </c>
      <c r="Q44" s="214">
        <f>+'COEF Art 14 F I '!AF45*'PART MES'!J$8</f>
        <v>3705860.0466452325</v>
      </c>
      <c r="R44" s="214">
        <f>+'COEF Art 14 F I '!AF45*'PART MES'!J$9</f>
        <v>54121.028042125297</v>
      </c>
      <c r="S44" s="217">
        <f t="shared" si="5"/>
        <v>43187619.99686873</v>
      </c>
      <c r="T44" s="218">
        <f t="shared" si="6"/>
        <v>224526247.45866707</v>
      </c>
      <c r="V44" s="353">
        <v>8143248.2474999996</v>
      </c>
      <c r="W44" s="354">
        <f t="shared" si="7"/>
        <v>0.26254387384492123</v>
      </c>
    </row>
    <row r="45" spans="1:23" ht="12.75" customHeight="1">
      <c r="A45" s="213" t="s">
        <v>245</v>
      </c>
      <c r="B45" s="359">
        <f t="shared" si="0"/>
        <v>1.394574012118E-3</v>
      </c>
      <c r="C45" s="214">
        <v>764125.10666666657</v>
      </c>
      <c r="D45" s="359">
        <f t="shared" si="1"/>
        <v>1.3945740103081671E-3</v>
      </c>
      <c r="E45" s="215">
        <v>104357.91166666667</v>
      </c>
      <c r="F45" s="359">
        <f t="shared" si="2"/>
        <v>1.3945739948698454E-3</v>
      </c>
      <c r="G45" s="215">
        <v>25659.267500000002</v>
      </c>
      <c r="H45" s="359">
        <f t="shared" si="3"/>
        <v>1.394574013653843E-3</v>
      </c>
      <c r="I45" s="215">
        <v>43255.103333333333</v>
      </c>
      <c r="J45" s="215">
        <v>21273.645833333332</v>
      </c>
      <c r="K45" s="215">
        <v>4558.9666666666662</v>
      </c>
      <c r="L45" s="216">
        <f t="shared" si="4"/>
        <v>963230.00585038867</v>
      </c>
      <c r="M45" s="249">
        <f>+'COEF Art 14 F I '!AF46*'PART MES'!J$4</f>
        <v>243803.56633069427</v>
      </c>
      <c r="N45" s="249">
        <f>+'COEF Art 14 F I '!AF46*'PART MES'!J$5</f>
        <v>39942.335066824817</v>
      </c>
      <c r="O45" s="249">
        <f>+'COEF Art 14 F I '!AF46*'PART MES'!J$6</f>
        <v>-1466.9056717807071</v>
      </c>
      <c r="P45" s="249">
        <f>+'COEF Art 14 F I '!AF46*'PART MES'!J$7</f>
        <v>-28875.494592245122</v>
      </c>
      <c r="Q45" s="214">
        <f>+'COEF Art 14 F I '!AF46*'PART MES'!J$8</f>
        <v>23817.756685458582</v>
      </c>
      <c r="R45" s="214">
        <f>+'COEF Art 14 F I '!AF46*'PART MES'!J$9</f>
        <v>347.83868285612647</v>
      </c>
      <c r="S45" s="217">
        <f t="shared" si="5"/>
        <v>277569.09650180797</v>
      </c>
      <c r="T45" s="218">
        <f t="shared" si="6"/>
        <v>1240799.1023521966</v>
      </c>
      <c r="V45" s="353">
        <v>43255.103333333333</v>
      </c>
      <c r="W45" s="354">
        <f t="shared" si="7"/>
        <v>1.394574013653843E-3</v>
      </c>
    </row>
    <row r="46" spans="1:23" s="1" customFormat="1" ht="12.75" customHeight="1">
      <c r="A46" s="213" t="s">
        <v>246</v>
      </c>
      <c r="B46" s="359">
        <f t="shared" si="0"/>
        <v>5.8189583540360574E-3</v>
      </c>
      <c r="C46" s="214">
        <v>3188365.8625000003</v>
      </c>
      <c r="D46" s="359">
        <f t="shared" si="1"/>
        <v>5.8189583488149777E-3</v>
      </c>
      <c r="E46" s="215">
        <v>435440.7416666667</v>
      </c>
      <c r="F46" s="359">
        <f t="shared" si="2"/>
        <v>5.8189583497159246E-3</v>
      </c>
      <c r="G46" s="215">
        <v>107065.10333333333</v>
      </c>
      <c r="H46" s="359">
        <f t="shared" si="3"/>
        <v>5.8189583418368149E-3</v>
      </c>
      <c r="I46" s="215">
        <v>180484.96666666667</v>
      </c>
      <c r="J46" s="215">
        <v>88765.786666666667</v>
      </c>
      <c r="K46" s="215">
        <v>19022.61</v>
      </c>
      <c r="L46" s="216">
        <f t="shared" si="4"/>
        <v>4019145.088290209</v>
      </c>
      <c r="M46" s="249">
        <f>+'COEF Art 14 F I '!AF47*'PART MES'!J$4</f>
        <v>1786608.5155981123</v>
      </c>
      <c r="N46" s="249">
        <f>+'COEF Art 14 F I '!AF47*'PART MES'!J$5</f>
        <v>292700.04962301528</v>
      </c>
      <c r="O46" s="249">
        <f>+'COEF Art 14 F I '!AF47*'PART MES'!J$6</f>
        <v>-10749.580919697277</v>
      </c>
      <c r="P46" s="249">
        <f>+'COEF Art 14 F I '!AF47*'PART MES'!J$7</f>
        <v>-211601.51718468696</v>
      </c>
      <c r="Q46" s="214">
        <f>+'COEF Art 14 F I '!AF47*'PART MES'!J$8</f>
        <v>174538.08226482393</v>
      </c>
      <c r="R46" s="214">
        <f>+'COEF Art 14 F I '!AF47*'PART MES'!J$9</f>
        <v>2548.9846690849963</v>
      </c>
      <c r="S46" s="217">
        <f t="shared" si="5"/>
        <v>2034044.5340506521</v>
      </c>
      <c r="T46" s="218">
        <f t="shared" si="6"/>
        <v>6053189.6223408608</v>
      </c>
      <c r="V46" s="353">
        <v>180484.96666666667</v>
      </c>
      <c r="W46" s="354">
        <f t="shared" si="7"/>
        <v>5.8189583418368149E-3</v>
      </c>
    </row>
    <row r="47" spans="1:23" ht="12.75" customHeight="1">
      <c r="A47" s="213" t="s">
        <v>214</v>
      </c>
      <c r="B47" s="359">
        <f t="shared" si="0"/>
        <v>2.8758962509314889E-3</v>
      </c>
      <c r="C47" s="214">
        <v>1575781.9308333334</v>
      </c>
      <c r="D47" s="359">
        <f t="shared" si="1"/>
        <v>2.8758962533065057E-3</v>
      </c>
      <c r="E47" s="215">
        <v>215207.31416666668</v>
      </c>
      <c r="F47" s="359">
        <f t="shared" si="2"/>
        <v>2.8758962566333849E-3</v>
      </c>
      <c r="G47" s="215">
        <v>52914.647499999999</v>
      </c>
      <c r="H47" s="359">
        <f t="shared" si="3"/>
        <v>2.8758962560207599E-3</v>
      </c>
      <c r="I47" s="215">
        <v>89200.851666666669</v>
      </c>
      <c r="J47" s="215">
        <v>43870.6</v>
      </c>
      <c r="K47" s="215">
        <v>9401.52</v>
      </c>
      <c r="L47" s="216">
        <f t="shared" si="4"/>
        <v>1986376.8727943553</v>
      </c>
      <c r="M47" s="249">
        <f>+'COEF Art 14 F I '!AF48*'PART MES'!J$4</f>
        <v>273124.83962289215</v>
      </c>
      <c r="N47" s="249">
        <f>+'COEF Art 14 F I '!AF48*'PART MES'!J$5</f>
        <v>44746.038884817171</v>
      </c>
      <c r="O47" s="249">
        <f>+'COEF Art 14 F I '!AF48*'PART MES'!J$6</f>
        <v>-1643.3245106988238</v>
      </c>
      <c r="P47" s="249">
        <f>+'COEF Art 14 F I '!AF48*'PART MES'!J$7</f>
        <v>-32348.234064965491</v>
      </c>
      <c r="Q47" s="214">
        <f>+'COEF Art 14 F I '!AF48*'PART MES'!J$8</f>
        <v>26682.222384184832</v>
      </c>
      <c r="R47" s="214">
        <f>+'COEF Art 14 F I '!AF48*'PART MES'!J$9</f>
        <v>389.67184073450073</v>
      </c>
      <c r="S47" s="217">
        <f t="shared" si="5"/>
        <v>310951.21415696427</v>
      </c>
      <c r="T47" s="218">
        <f t="shared" si="6"/>
        <v>2297328.0869513196</v>
      </c>
      <c r="V47" s="353">
        <v>89200.851666666669</v>
      </c>
      <c r="W47" s="354">
        <f t="shared" si="7"/>
        <v>2.8758962560207599E-3</v>
      </c>
    </row>
    <row r="48" spans="1:23" ht="12.75" customHeight="1">
      <c r="A48" s="213" t="s">
        <v>43</v>
      </c>
      <c r="B48" s="359">
        <f t="shared" si="0"/>
        <v>3.2226555439758839E-3</v>
      </c>
      <c r="C48" s="214">
        <v>1765780.7975000001</v>
      </c>
      <c r="D48" s="359">
        <f t="shared" si="1"/>
        <v>3.2226555477104383E-3</v>
      </c>
      <c r="E48" s="215">
        <v>241155.79416666666</v>
      </c>
      <c r="F48" s="359">
        <f t="shared" si="2"/>
        <v>3.2226555298308316E-3</v>
      </c>
      <c r="G48" s="215">
        <v>59294.795833333337</v>
      </c>
      <c r="H48" s="359">
        <f t="shared" si="3"/>
        <v>3.2226555334004762E-3</v>
      </c>
      <c r="I48" s="215">
        <v>99956.184999999998</v>
      </c>
      <c r="J48" s="215">
        <v>49160.268333333333</v>
      </c>
      <c r="K48" s="215">
        <v>10535.101666666667</v>
      </c>
      <c r="L48" s="216">
        <f t="shared" si="4"/>
        <v>2225882.9521679669</v>
      </c>
      <c r="M48" s="249">
        <f>+'COEF Art 14 F I '!AF49*'PART MES'!J$4</f>
        <v>252047.5730247187</v>
      </c>
      <c r="N48" s="249">
        <f>+'COEF Art 14 F I '!AF49*'PART MES'!J$5</f>
        <v>41292.950575128045</v>
      </c>
      <c r="O48" s="249">
        <f>+'COEF Art 14 F I '!AF49*'PART MES'!J$6</f>
        <v>-1516.5078181301965</v>
      </c>
      <c r="P48" s="249">
        <f>+'COEF Art 14 F I '!AF49*'PART MES'!J$7</f>
        <v>-29851.89446323325</v>
      </c>
      <c r="Q48" s="214">
        <f>+'COEF Art 14 F I '!AF49*'PART MES'!J$8</f>
        <v>24623.133524307741</v>
      </c>
      <c r="R48" s="214">
        <f>+'COEF Art 14 F I '!AF49*'PART MES'!J$9</f>
        <v>359.60054702023376</v>
      </c>
      <c r="S48" s="217">
        <f t="shared" si="5"/>
        <v>286954.85538981127</v>
      </c>
      <c r="T48" s="218">
        <f t="shared" si="6"/>
        <v>2512837.807557778</v>
      </c>
      <c r="V48" s="353">
        <v>99956.184999999998</v>
      </c>
      <c r="W48" s="354">
        <f t="shared" si="7"/>
        <v>3.2226555334004762E-3</v>
      </c>
    </row>
    <row r="49" spans="1:23" ht="12.75" customHeight="1">
      <c r="A49" s="213" t="s">
        <v>44</v>
      </c>
      <c r="B49" s="359">
        <f t="shared" si="0"/>
        <v>9.2720853114895158E-3</v>
      </c>
      <c r="C49" s="214">
        <v>5080428.2283333335</v>
      </c>
      <c r="D49" s="359">
        <f t="shared" si="1"/>
        <v>9.2720853158560698E-3</v>
      </c>
      <c r="E49" s="215">
        <v>693843.03249999997</v>
      </c>
      <c r="F49" s="359">
        <f t="shared" si="2"/>
        <v>9.2720853150187726E-3</v>
      </c>
      <c r="G49" s="215">
        <v>170600.42583333334</v>
      </c>
      <c r="H49" s="359">
        <f t="shared" si="3"/>
        <v>9.2720853128843185E-3</v>
      </c>
      <c r="I49" s="215">
        <v>287589.61833333335</v>
      </c>
      <c r="J49" s="215">
        <v>141441.80083333334</v>
      </c>
      <c r="K49" s="215">
        <v>30311.140833333335</v>
      </c>
      <c r="L49" s="216">
        <f t="shared" si="4"/>
        <v>6404214.2744829226</v>
      </c>
      <c r="M49" s="249">
        <f>+'COEF Art 14 F I '!AF50*'PART MES'!J$4</f>
        <v>666153.80529099051</v>
      </c>
      <c r="N49" s="249">
        <f>+'COEF Art 14 F I '!AF50*'PART MES'!J$5</f>
        <v>109135.96916331603</v>
      </c>
      <c r="O49" s="249">
        <f>+'COEF Art 14 F I '!AF50*'PART MES'!J$6</f>
        <v>-4008.0824491886424</v>
      </c>
      <c r="P49" s="249">
        <f>+'COEF Art 14 F I '!AF50*'PART MES'!J$7</f>
        <v>-78897.617831367228</v>
      </c>
      <c r="Q49" s="214">
        <f>+'COEF Art 14 F I '!AF50*'PART MES'!J$8</f>
        <v>65078.167183133766</v>
      </c>
      <c r="R49" s="214">
        <f>+'COEF Art 14 F I '!AF50*'PART MES'!J$9</f>
        <v>950.41293160461225</v>
      </c>
      <c r="S49" s="217">
        <f t="shared" si="5"/>
        <v>758412.65428848914</v>
      </c>
      <c r="T49" s="218">
        <f t="shared" si="6"/>
        <v>7162626.928771412</v>
      </c>
      <c r="V49" s="353">
        <v>287589.61833333335</v>
      </c>
      <c r="W49" s="354">
        <f t="shared" si="7"/>
        <v>9.2720853128843185E-3</v>
      </c>
    </row>
    <row r="50" spans="1:23" ht="12.75" customHeight="1">
      <c r="A50" s="213" t="s">
        <v>45</v>
      </c>
      <c r="B50" s="359">
        <f t="shared" si="0"/>
        <v>8.0282653571620618E-3</v>
      </c>
      <c r="C50" s="214">
        <v>4398905.3783333329</v>
      </c>
      <c r="D50" s="359">
        <f t="shared" si="1"/>
        <v>8.0282653540577013E-3</v>
      </c>
      <c r="E50" s="215">
        <v>600766.25583333336</v>
      </c>
      <c r="F50" s="359">
        <f t="shared" si="2"/>
        <v>8.028265349625998E-3</v>
      </c>
      <c r="G50" s="215">
        <v>147714.93583333332</v>
      </c>
      <c r="H50" s="359">
        <f t="shared" si="3"/>
        <v>8.0282653679346373E-3</v>
      </c>
      <c r="I50" s="215">
        <v>249010.41083333336</v>
      </c>
      <c r="J50" s="215">
        <v>122467.84499999999</v>
      </c>
      <c r="K50" s="215">
        <v>26245</v>
      </c>
      <c r="L50" s="216">
        <f t="shared" si="4"/>
        <v>5545109.849918128</v>
      </c>
      <c r="M50" s="249">
        <f>+'COEF Art 14 F I '!AF51*'PART MES'!J$4</f>
        <v>1368177.884294061</v>
      </c>
      <c r="N50" s="249">
        <f>+'COEF Art 14 F I '!AF51*'PART MES'!J$5</f>
        <v>224148.5647973181</v>
      </c>
      <c r="O50" s="249">
        <f>+'COEF Art 14 F I '!AF51*'PART MES'!J$6</f>
        <v>-8231.9874507234035</v>
      </c>
      <c r="P50" s="249">
        <f>+'COEF Art 14 F I '!AF51*'PART MES'!J$7</f>
        <v>-162043.62263337706</v>
      </c>
      <c r="Q50" s="214">
        <f>+'COEF Art 14 F I '!AF51*'PART MES'!J$8</f>
        <v>133660.58766482794</v>
      </c>
      <c r="R50" s="214">
        <f>+'COEF Art 14 F I '!AF51*'PART MES'!J$9</f>
        <v>1952.0025910540289</v>
      </c>
      <c r="S50" s="217">
        <f t="shared" si="5"/>
        <v>1557663.4292631606</v>
      </c>
      <c r="T50" s="218">
        <f t="shared" si="6"/>
        <v>7102773.2791812886</v>
      </c>
      <c r="V50" s="353">
        <v>249010.41083333336</v>
      </c>
      <c r="W50" s="354">
        <f t="shared" si="7"/>
        <v>8.0282653679346373E-3</v>
      </c>
    </row>
    <row r="51" spans="1:23" ht="12.75" customHeight="1">
      <c r="A51" s="213" t="s">
        <v>247</v>
      </c>
      <c r="B51" s="359">
        <f t="shared" si="0"/>
        <v>7.2199427408614625E-2</v>
      </c>
      <c r="C51" s="214">
        <v>39560033.881666668</v>
      </c>
      <c r="D51" s="359">
        <f t="shared" si="1"/>
        <v>7.2199427405141597E-2</v>
      </c>
      <c r="E51" s="215">
        <v>5402783.5108333332</v>
      </c>
      <c r="F51" s="359">
        <f t="shared" si="2"/>
        <v>7.2199427400267899E-2</v>
      </c>
      <c r="G51" s="215">
        <v>1328423.18</v>
      </c>
      <c r="H51" s="359">
        <f t="shared" si="3"/>
        <v>7.2199427406569691E-2</v>
      </c>
      <c r="I51" s="215">
        <v>2239388.9908333332</v>
      </c>
      <c r="J51" s="215">
        <v>1101372.2016666667</v>
      </c>
      <c r="K51" s="215">
        <v>236025.32833333334</v>
      </c>
      <c r="L51" s="216">
        <f t="shared" si="4"/>
        <v>49868027.309931614</v>
      </c>
      <c r="M51" s="249">
        <f>+'COEF Art 14 F I '!AF52*'PART MES'!J$4</f>
        <v>9018256.8673011363</v>
      </c>
      <c r="N51" s="249">
        <f>+'COEF Art 14 F I '!AF52*'PART MES'!J$5</f>
        <v>1477460.9040125692</v>
      </c>
      <c r="O51" s="249">
        <f>+'COEF Art 14 F I '!AF52*'PART MES'!J$6</f>
        <v>-54260.61787084637</v>
      </c>
      <c r="P51" s="249">
        <f>+'COEF Art 14 F I '!AF52*'PART MES'!J$7</f>
        <v>-1068100.1567057343</v>
      </c>
      <c r="Q51" s="214">
        <f>+'COEF Art 14 F I '!AF52*'PART MES'!J$8</f>
        <v>881015.20016732544</v>
      </c>
      <c r="R51" s="214">
        <f>+'COEF Art 14 F I '!AF52*'PART MES'!J$9</f>
        <v>12866.500017171065</v>
      </c>
      <c r="S51" s="217">
        <f t="shared" si="5"/>
        <v>10267238.696921621</v>
      </c>
      <c r="T51" s="218">
        <f t="shared" si="6"/>
        <v>60135266.006853238</v>
      </c>
      <c r="V51" s="353">
        <v>2239388.9908333332</v>
      </c>
      <c r="W51" s="354">
        <f t="shared" si="7"/>
        <v>7.2199427406569691E-2</v>
      </c>
    </row>
    <row r="52" spans="1:23" ht="12.75" customHeight="1">
      <c r="A52" s="213" t="s">
        <v>248</v>
      </c>
      <c r="B52" s="359">
        <f t="shared" si="0"/>
        <v>0.13950769392075885</v>
      </c>
      <c r="C52" s="214">
        <v>76440067.412500009</v>
      </c>
      <c r="D52" s="359">
        <f t="shared" si="1"/>
        <v>0.13950769391814699</v>
      </c>
      <c r="E52" s="215">
        <v>10439554.653333334</v>
      </c>
      <c r="F52" s="359">
        <f t="shared" si="2"/>
        <v>0.13950769390229639</v>
      </c>
      <c r="G52" s="215">
        <v>2566852.1350000002</v>
      </c>
      <c r="H52" s="359">
        <f t="shared" si="3"/>
        <v>0.13950769392700124</v>
      </c>
      <c r="I52" s="215">
        <v>4327070.2433333332</v>
      </c>
      <c r="J52" s="215">
        <v>2128131.7799999998</v>
      </c>
      <c r="K52" s="215">
        <v>456061.08666666667</v>
      </c>
      <c r="L52" s="216">
        <f t="shared" si="4"/>
        <v>96357737.729356453</v>
      </c>
      <c r="M52" s="249">
        <f>+'COEF Art 14 F I '!AF53*'PART MES'!J$4</f>
        <v>17201515.866835862</v>
      </c>
      <c r="N52" s="249">
        <f>+'COEF Art 14 F I '!AF53*'PART MES'!J$5</f>
        <v>2818124.1183261615</v>
      </c>
      <c r="O52" s="249">
        <f>+'COEF Art 14 F I '!AF53*'PART MES'!J$6</f>
        <v>-103497.26038896987</v>
      </c>
      <c r="P52" s="249">
        <f>+'COEF Art 14 F I '!AF53*'PART MES'!J$7</f>
        <v>-2037305.2202095867</v>
      </c>
      <c r="Q52" s="214">
        <f>+'COEF Art 14 F I '!AF53*'PART MES'!J$8</f>
        <v>1680457.4506577731</v>
      </c>
      <c r="R52" s="214">
        <f>+'COEF Art 14 F I '!AF53*'PART MES'!J$9</f>
        <v>24541.694415302973</v>
      </c>
      <c r="S52" s="217">
        <f t="shared" si="5"/>
        <v>19583836.649636544</v>
      </c>
      <c r="T52" s="218">
        <f t="shared" si="6"/>
        <v>115941574.378993</v>
      </c>
      <c r="V52" s="353">
        <v>4327070.2433333332</v>
      </c>
      <c r="W52" s="354">
        <f t="shared" si="7"/>
        <v>0.13950769392700124</v>
      </c>
    </row>
    <row r="53" spans="1:23" s="1" customFormat="1" ht="12.75" customHeight="1">
      <c r="A53" s="213" t="s">
        <v>48</v>
      </c>
      <c r="B53" s="359">
        <f t="shared" si="0"/>
        <v>3.7592415872311255E-2</v>
      </c>
      <c r="C53" s="214">
        <v>20597909.138333332</v>
      </c>
      <c r="D53" s="359">
        <f t="shared" si="1"/>
        <v>3.7592415868039158E-2</v>
      </c>
      <c r="E53" s="215">
        <v>2813092.7333333329</v>
      </c>
      <c r="F53" s="359">
        <f t="shared" si="2"/>
        <v>3.7592415887362077E-2</v>
      </c>
      <c r="G53" s="215">
        <v>691676.35333333339</v>
      </c>
      <c r="H53" s="359">
        <f t="shared" si="3"/>
        <v>3.7592415871864023E-2</v>
      </c>
      <c r="I53" s="215">
        <v>1165993.2116666667</v>
      </c>
      <c r="J53" s="215">
        <v>573456.65083333326</v>
      </c>
      <c r="K53" s="215">
        <v>122892.41916666667</v>
      </c>
      <c r="L53" s="216">
        <f t="shared" si="4"/>
        <v>25965020.619443908</v>
      </c>
      <c r="M53" s="249">
        <f>+'COEF Art 14 F I '!AF54*'PART MES'!J$4</f>
        <v>4827329.3430661056</v>
      </c>
      <c r="N53" s="249">
        <f>+'COEF Art 14 F I '!AF54*'PART MES'!J$5</f>
        <v>790861.30281264393</v>
      </c>
      <c r="O53" s="249">
        <f>+'COEF Art 14 F I '!AF54*'PART MES'!J$6</f>
        <v>-29044.844993334267</v>
      </c>
      <c r="P53" s="249">
        <f>+'COEF Art 14 F I '!AF54*'PART MES'!J$7</f>
        <v>-571737.01122821716</v>
      </c>
      <c r="Q53" s="214">
        <f>+'COEF Art 14 F I '!AF54*'PART MES'!J$8</f>
        <v>471593.412123307</v>
      </c>
      <c r="R53" s="214">
        <f>+'COEF Art 14 F I '!AF54*'PART MES'!J$9</f>
        <v>6887.2326425581323</v>
      </c>
      <c r="S53" s="217">
        <f t="shared" si="5"/>
        <v>5495889.4344230639</v>
      </c>
      <c r="T53" s="218">
        <f t="shared" si="6"/>
        <v>31460910.053866971</v>
      </c>
      <c r="V53" s="353">
        <v>1165993.2116666667</v>
      </c>
      <c r="W53" s="354">
        <f t="shared" si="7"/>
        <v>3.7592415871864023E-2</v>
      </c>
    </row>
    <row r="54" spans="1:23" s="1" customFormat="1" ht="12.75" customHeight="1">
      <c r="A54" s="213" t="s">
        <v>49</v>
      </c>
      <c r="B54" s="359">
        <f t="shared" si="0"/>
        <v>1.216049401573883E-2</v>
      </c>
      <c r="C54" s="214">
        <v>6663066.0733333332</v>
      </c>
      <c r="D54" s="359">
        <f t="shared" si="1"/>
        <v>1.2160494021042868E-2</v>
      </c>
      <c r="E54" s="215">
        <v>909986.6708333334</v>
      </c>
      <c r="F54" s="359">
        <f t="shared" si="2"/>
        <v>1.2160494009399801E-2</v>
      </c>
      <c r="G54" s="215">
        <v>223745.29416666666</v>
      </c>
      <c r="H54" s="359">
        <f t="shared" si="3"/>
        <v>1.2160494016226223E-2</v>
      </c>
      <c r="I54" s="215">
        <v>377178.565</v>
      </c>
      <c r="J54" s="215">
        <v>185503.27249999999</v>
      </c>
      <c r="K54" s="215">
        <v>39753.564166666671</v>
      </c>
      <c r="L54" s="216">
        <f t="shared" si="4"/>
        <v>8399233.4764814824</v>
      </c>
      <c r="M54" s="249">
        <f>+'COEF Art 14 F I '!AF55*'PART MES'!J$4</f>
        <v>2140051.5977311493</v>
      </c>
      <c r="N54" s="249">
        <f>+'COEF Art 14 F I '!AF55*'PART MES'!J$5</f>
        <v>350604.62512237584</v>
      </c>
      <c r="O54" s="249">
        <f>+'COEF Art 14 F I '!AF55*'PART MES'!J$6</f>
        <v>-12876.160401842169</v>
      </c>
      <c r="P54" s="249">
        <f>+'COEF Art 14 F I '!AF55*'PART MES'!J$7</f>
        <v>-253462.44629413151</v>
      </c>
      <c r="Q54" s="214">
        <f>+'COEF Art 14 F I '!AF55*'PART MES'!J$8</f>
        <v>209066.78690643192</v>
      </c>
      <c r="R54" s="214">
        <f>+'COEF Art 14 F I '!AF55*'PART MES'!J$9</f>
        <v>3053.2479085611913</v>
      </c>
      <c r="S54" s="217">
        <f t="shared" si="5"/>
        <v>2436437.6509725442</v>
      </c>
      <c r="T54" s="218">
        <f t="shared" si="6"/>
        <v>10835671.127454028</v>
      </c>
      <c r="V54" s="353">
        <v>377178.565</v>
      </c>
      <c r="W54" s="354">
        <f t="shared" si="7"/>
        <v>1.2160494016226223E-2</v>
      </c>
    </row>
    <row r="55" spans="1:23" ht="12.75" customHeight="1">
      <c r="A55" s="213" t="s">
        <v>50</v>
      </c>
      <c r="B55" s="359">
        <f t="shared" si="0"/>
        <v>2.4490768696581208E-3</v>
      </c>
      <c r="C55" s="214">
        <v>1341915.96</v>
      </c>
      <c r="D55" s="359">
        <f t="shared" si="1"/>
        <v>2.4490768731685081E-3</v>
      </c>
      <c r="E55" s="215">
        <v>183267.82666666666</v>
      </c>
      <c r="F55" s="359">
        <f t="shared" si="2"/>
        <v>2.4490768571672132E-3</v>
      </c>
      <c r="G55" s="215">
        <v>45061.444166666661</v>
      </c>
      <c r="H55" s="359">
        <f t="shared" si="3"/>
        <v>2.4490768643856561E-3</v>
      </c>
      <c r="I55" s="215">
        <v>75962.316666666666</v>
      </c>
      <c r="J55" s="215">
        <v>37359.647499999999</v>
      </c>
      <c r="K55" s="215">
        <v>8006.2158333333327</v>
      </c>
      <c r="L55" s="216">
        <f t="shared" si="4"/>
        <v>1691573.4181805637</v>
      </c>
      <c r="M55" s="249">
        <f>+'COEF Art 14 F I '!AF56*'PART MES'!J$4</f>
        <v>379317.81867648108</v>
      </c>
      <c r="N55" s="249">
        <f>+'COEF Art 14 F I '!AF56*'PART MES'!J$5</f>
        <v>62143.633247114056</v>
      </c>
      <c r="O55" s="249">
        <f>+'COEF Art 14 F I '!AF56*'PART MES'!J$6</f>
        <v>-2282.2613631060881</v>
      </c>
      <c r="P55" s="249">
        <f>+'COEF Art 14 F I '!AF56*'PART MES'!J$7</f>
        <v>-44925.469248790032</v>
      </c>
      <c r="Q55" s="214">
        <f>+'COEF Art 14 F I '!AF56*'PART MES'!J$8</f>
        <v>37056.469877232892</v>
      </c>
      <c r="R55" s="214">
        <f>+'COEF Art 14 F I '!AF56*'PART MES'!J$9</f>
        <v>541.17916492378686</v>
      </c>
      <c r="S55" s="217">
        <f t="shared" si="5"/>
        <v>431851.37035385572</v>
      </c>
      <c r="T55" s="218">
        <f t="shared" si="6"/>
        <v>2123424.7885344196</v>
      </c>
      <c r="V55" s="353">
        <v>75962.316666666666</v>
      </c>
      <c r="W55" s="354">
        <f t="shared" si="7"/>
        <v>2.4490768643856561E-3</v>
      </c>
    </row>
    <row r="56" spans="1:23" ht="12.75" customHeight="1">
      <c r="A56" s="213" t="s">
        <v>51</v>
      </c>
      <c r="B56" s="359">
        <f t="shared" si="0"/>
        <v>3.3169607729599004E-3</v>
      </c>
      <c r="C56" s="214">
        <v>1817453.2024999999</v>
      </c>
      <c r="D56" s="359">
        <f t="shared" si="1"/>
        <v>3.3169607695184861E-3</v>
      </c>
      <c r="E56" s="215">
        <v>248212.785</v>
      </c>
      <c r="F56" s="359">
        <f t="shared" si="2"/>
        <v>3.3169607629094208E-3</v>
      </c>
      <c r="G56" s="215">
        <v>61029.951666666668</v>
      </c>
      <c r="H56" s="359">
        <f t="shared" si="3"/>
        <v>3.3169607629400509E-3</v>
      </c>
      <c r="I56" s="215">
        <v>102881.22333333333</v>
      </c>
      <c r="J56" s="215">
        <v>50598.855000000003</v>
      </c>
      <c r="K56" s="215">
        <v>10843.3925</v>
      </c>
      <c r="L56" s="216">
        <f t="shared" si="4"/>
        <v>2291019.419950882</v>
      </c>
      <c r="M56" s="249">
        <f>+'COEF Art 14 F I '!AF57*'PART MES'!J$4</f>
        <v>323997.94928454759</v>
      </c>
      <c r="N56" s="249">
        <f>+'COEF Art 14 F I '!AF57*'PART MES'!J$5</f>
        <v>53080.579771889279</v>
      </c>
      <c r="O56" s="249">
        <f>+'COEF Art 14 F I '!AF57*'PART MES'!J$6</f>
        <v>-1949.4154109549006</v>
      </c>
      <c r="P56" s="249">
        <f>+'COEF Art 14 F I '!AF57*'PART MES'!J$7</f>
        <v>-38373.52001559551</v>
      </c>
      <c r="Q56" s="214">
        <f>+'COEF Art 14 F I '!AF57*'PART MES'!J$8</f>
        <v>31652.138804974347</v>
      </c>
      <c r="R56" s="214">
        <f>+'COEF Art 14 F I '!AF57*'PART MES'!J$9</f>
        <v>462.25336906827101</v>
      </c>
      <c r="S56" s="217">
        <f t="shared" si="5"/>
        <v>368869.98580392898</v>
      </c>
      <c r="T56" s="218">
        <f t="shared" si="6"/>
        <v>2659889.4057548111</v>
      </c>
      <c r="V56" s="353">
        <v>102881.22333333333</v>
      </c>
      <c r="W56" s="354">
        <f t="shared" si="7"/>
        <v>3.3169607629400509E-3</v>
      </c>
    </row>
    <row r="57" spans="1:23" s="222" customFormat="1" ht="16.5" customHeight="1" thickBot="1">
      <c r="A57" s="219" t="s">
        <v>52</v>
      </c>
      <c r="B57" s="357">
        <f>SUM(B6:B56)</f>
        <v>0.99999999999999978</v>
      </c>
      <c r="C57" s="220">
        <f>SUM(C6:C56)</f>
        <v>547927252.35583353</v>
      </c>
      <c r="D57" s="357">
        <f t="shared" ref="D57:L57" si="8">SUM(D6:D56)</f>
        <v>0.99999999999999989</v>
      </c>
      <c r="E57" s="220">
        <f t="shared" si="8"/>
        <v>74831390.012500018</v>
      </c>
      <c r="F57" s="357">
        <f t="shared" si="8"/>
        <v>1.0000000000000002</v>
      </c>
      <c r="G57" s="220">
        <f t="shared" si="8"/>
        <v>18399358.939999998</v>
      </c>
      <c r="H57" s="357">
        <f t="shared" si="8"/>
        <v>1.0000000000000002</v>
      </c>
      <c r="I57" s="220">
        <f t="shared" si="8"/>
        <v>31016713.999999993</v>
      </c>
      <c r="J57" s="220">
        <f t="shared" si="8"/>
        <v>15254583.600833332</v>
      </c>
      <c r="K57" s="220">
        <f t="shared" si="8"/>
        <v>3269074.8008333319</v>
      </c>
      <c r="L57" s="220">
        <f t="shared" si="8"/>
        <v>690698376.70999992</v>
      </c>
      <c r="M57" s="326">
        <f>SUM(M6:M56)</f>
        <v>134730017.44416666</v>
      </c>
      <c r="N57" s="326">
        <f t="shared" ref="N57:S57" si="9">SUM(N6:N56)</f>
        <v>22072816.986666642</v>
      </c>
      <c r="O57" s="326">
        <f t="shared" si="9"/>
        <v>-810637.14416666329</v>
      </c>
      <c r="P57" s="326">
        <f t="shared" si="9"/>
        <v>-15957091.804166669</v>
      </c>
      <c r="Q57" s="220">
        <f t="shared" si="9"/>
        <v>13162099.398333333</v>
      </c>
      <c r="R57" s="220">
        <f t="shared" si="9"/>
        <v>192221.60083333356</v>
      </c>
      <c r="S57" s="220">
        <f t="shared" si="9"/>
        <v>153389426.48166665</v>
      </c>
      <c r="T57" s="221">
        <f>SUM(T6:T56)</f>
        <v>844087803.19166672</v>
      </c>
      <c r="V57" s="366">
        <f t="shared" ref="V57:W57" si="10">SUM(V6:V56)</f>
        <v>31016713.999999993</v>
      </c>
      <c r="W57" s="366">
        <f t="shared" si="10"/>
        <v>1.0000000000000002</v>
      </c>
    </row>
    <row r="58" spans="1:23" ht="15" thickTop="1">
      <c r="M58" s="223"/>
      <c r="N58" s="224"/>
      <c r="O58" s="224"/>
      <c r="P58" s="224"/>
      <c r="Q58" s="225"/>
      <c r="R58" s="224"/>
      <c r="S58" s="224"/>
      <c r="T58" s="226"/>
      <c r="V58" s="327"/>
      <c r="W58" s="327"/>
    </row>
    <row r="59" spans="1:23">
      <c r="A59" s="227"/>
      <c r="B59" s="227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9"/>
    </row>
    <row r="60" spans="1:23">
      <c r="A60" s="227"/>
      <c r="B60" s="227"/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30"/>
    </row>
    <row r="64" spans="1:23">
      <c r="P64" s="231"/>
    </row>
  </sheetData>
  <mergeCells count="5">
    <mergeCell ref="A1:T1"/>
    <mergeCell ref="A3:A4"/>
    <mergeCell ref="C3:L3"/>
    <mergeCell ref="M3:S3"/>
    <mergeCell ref="T3:T4"/>
  </mergeCells>
  <conditionalFormatting sqref="S7:S56">
    <cfRule type="cellIs" dxfId="0" priority="1" operator="lessThan">
      <formula>#REF!-0.00001</formula>
    </cfRule>
  </conditionalFormatting>
  <printOptions horizontalCentered="1" verticalCentered="1"/>
  <pageMargins left="0.19685039370078741" right="0.19685039370078741" top="0.39370078740157483" bottom="0.19685039370078741" header="0.11811023622047245" footer="0.15748031496062992"/>
  <pageSetup scale="60" orientation="landscape" horizontalDpi="300" verticalDpi="300" r:id="rId1"/>
  <headerFooter alignWithMargins="0">
    <oddHeader>&amp;LANEXO I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showGridLines="0" zoomScaleNormal="100" zoomScaleSheetLayoutView="100" workbookViewId="0">
      <selection activeCell="B13" sqref="B13"/>
    </sheetView>
  </sheetViews>
  <sheetFormatPr baseColWidth="10" defaultColWidth="11.42578125" defaultRowHeight="12.75"/>
  <cols>
    <col min="1" max="1" width="59" style="11" customWidth="1"/>
    <col min="2" max="5" width="17.28515625" style="11" customWidth="1"/>
    <col min="6" max="6" width="17.140625" style="11" customWidth="1"/>
    <col min="7" max="16384" width="11.42578125" style="11"/>
  </cols>
  <sheetData>
    <row r="1" spans="1:6" ht="18.75" customHeight="1">
      <c r="A1" s="397" t="s">
        <v>249</v>
      </c>
      <c r="B1" s="397"/>
      <c r="C1" s="397"/>
      <c r="D1" s="397"/>
      <c r="E1" s="397"/>
      <c r="F1" s="397"/>
    </row>
    <row r="3" spans="1:6" ht="25.5">
      <c r="A3" s="232" t="s">
        <v>103</v>
      </c>
      <c r="B3" s="232" t="s">
        <v>104</v>
      </c>
      <c r="C3" s="232" t="s">
        <v>105</v>
      </c>
      <c r="D3" s="232" t="s">
        <v>116</v>
      </c>
      <c r="E3" s="232" t="s">
        <v>250</v>
      </c>
      <c r="F3" s="232" t="s">
        <v>251</v>
      </c>
    </row>
    <row r="4" spans="1:6" ht="25.5" customHeight="1">
      <c r="A4" s="195" t="s">
        <v>106</v>
      </c>
      <c r="B4" s="233">
        <v>36165566160</v>
      </c>
      <c r="C4" s="234">
        <v>20</v>
      </c>
      <c r="D4" s="234">
        <f>+C4/100*B4</f>
        <v>7233113232</v>
      </c>
      <c r="E4" s="234">
        <v>6575127028.2700005</v>
      </c>
      <c r="F4" s="234">
        <f>+D4-E4</f>
        <v>657986203.72999954</v>
      </c>
    </row>
    <row r="5" spans="1:6" ht="25.5" customHeight="1">
      <c r="A5" s="195" t="s">
        <v>127</v>
      </c>
      <c r="B5" s="233">
        <v>1008332033</v>
      </c>
      <c r="C5" s="234">
        <v>100</v>
      </c>
      <c r="D5" s="234">
        <f t="shared" ref="D5:D9" si="0">+C5/100*B5</f>
        <v>1008332033</v>
      </c>
      <c r="E5" s="234">
        <v>897976680.16000021</v>
      </c>
      <c r="F5" s="234">
        <f t="shared" ref="F5:F9" si="1">+D5-E5</f>
        <v>110355352.83999979</v>
      </c>
    </row>
    <row r="6" spans="1:6" ht="25.5" customHeight="1">
      <c r="A6" s="195" t="s">
        <v>107</v>
      </c>
      <c r="B6" s="233">
        <v>1197376503</v>
      </c>
      <c r="C6" s="234">
        <v>20</v>
      </c>
      <c r="D6" s="234">
        <f t="shared" si="0"/>
        <v>239475300.60000002</v>
      </c>
      <c r="E6" s="234">
        <v>220792307.32999998</v>
      </c>
      <c r="F6" s="234">
        <f t="shared" si="1"/>
        <v>18682993.270000041</v>
      </c>
    </row>
    <row r="7" spans="1:6" ht="25.5" customHeight="1">
      <c r="A7" s="195" t="s">
        <v>115</v>
      </c>
      <c r="B7" s="233">
        <v>2189235910</v>
      </c>
      <c r="C7" s="234">
        <v>20</v>
      </c>
      <c r="D7" s="234">
        <f t="shared" si="0"/>
        <v>437847182</v>
      </c>
      <c r="E7" s="234">
        <v>372200568.05000001</v>
      </c>
      <c r="F7" s="234">
        <f t="shared" si="1"/>
        <v>65646613.949999988</v>
      </c>
    </row>
    <row r="8" spans="1:6" ht="25.5" customHeight="1">
      <c r="A8" s="195" t="s">
        <v>121</v>
      </c>
      <c r="B8" s="233">
        <v>927868809</v>
      </c>
      <c r="C8" s="234">
        <v>20</v>
      </c>
      <c r="D8" s="234">
        <f t="shared" si="0"/>
        <v>185573761.80000001</v>
      </c>
      <c r="E8" s="234">
        <v>183055003.22</v>
      </c>
      <c r="F8" s="234">
        <f t="shared" si="1"/>
        <v>2518758.5800000131</v>
      </c>
    </row>
    <row r="9" spans="1:6" ht="25.5" customHeight="1">
      <c r="A9" s="195" t="s">
        <v>120</v>
      </c>
      <c r="B9" s="233">
        <v>207677784</v>
      </c>
      <c r="C9" s="234">
        <v>20</v>
      </c>
      <c r="D9" s="234">
        <f t="shared" si="0"/>
        <v>41535556.800000004</v>
      </c>
      <c r="E9" s="234">
        <v>39228897.590000004</v>
      </c>
      <c r="F9" s="234">
        <f t="shared" si="1"/>
        <v>2306659.2100000009</v>
      </c>
    </row>
    <row r="10" spans="1:6" ht="25.5" customHeight="1">
      <c r="A10" s="235" t="s">
        <v>225</v>
      </c>
      <c r="B10" s="236">
        <f>SUM(B4:B9)</f>
        <v>41696057199</v>
      </c>
      <c r="C10" s="237"/>
      <c r="D10" s="238">
        <f>SUM(D4:D9)</f>
        <v>9145877066.1999989</v>
      </c>
      <c r="E10" s="238">
        <f>SUM(E4:E9)</f>
        <v>8288380484.6200008</v>
      </c>
      <c r="F10" s="237">
        <f>SUM(F4:F9)</f>
        <v>857496581.57999957</v>
      </c>
    </row>
    <row r="11" spans="1:6" ht="25.5" customHeight="1">
      <c r="A11" s="195" t="s">
        <v>126</v>
      </c>
      <c r="B11" s="233">
        <v>339287460</v>
      </c>
      <c r="C11" s="234">
        <v>100</v>
      </c>
      <c r="D11" s="234">
        <f>+C11/100*B11</f>
        <v>339287460</v>
      </c>
      <c r="E11" s="234"/>
      <c r="F11" s="234"/>
    </row>
    <row r="12" spans="1:6" ht="25.5" customHeight="1">
      <c r="A12" s="195" t="s">
        <v>114</v>
      </c>
      <c r="B12" s="233">
        <v>1270773990</v>
      </c>
      <c r="C12" s="234">
        <v>20</v>
      </c>
      <c r="D12" s="234">
        <f>+C12/100*B12</f>
        <v>254154798</v>
      </c>
      <c r="E12" s="234"/>
      <c r="F12" s="234"/>
    </row>
    <row r="13" spans="1:6" ht="25.5" customHeight="1">
      <c r="A13" s="195" t="s">
        <v>252</v>
      </c>
      <c r="B13" s="233">
        <v>530000000</v>
      </c>
      <c r="C13" s="234">
        <v>20</v>
      </c>
      <c r="D13" s="234">
        <f t="shared" ref="D13" si="2">+C13/100*B13</f>
        <v>106000000</v>
      </c>
      <c r="E13" s="234"/>
      <c r="F13" s="234"/>
    </row>
    <row r="14" spans="1:6" ht="25.5" customHeight="1">
      <c r="A14" s="235" t="s">
        <v>225</v>
      </c>
      <c r="B14" s="236">
        <f>SUM(B11:B13)</f>
        <v>2140061450</v>
      </c>
      <c r="C14" s="237"/>
      <c r="D14" s="238">
        <f>SUM(D11:D13)</f>
        <v>699442258</v>
      </c>
      <c r="E14" s="238"/>
      <c r="F14" s="237"/>
    </row>
    <row r="15" spans="1:6" ht="21.75" customHeight="1">
      <c r="A15" s="239" t="s">
        <v>53</v>
      </c>
      <c r="B15" s="240">
        <f>SUM(B14,B10)</f>
        <v>43836118649</v>
      </c>
      <c r="C15" s="241"/>
      <c r="D15" s="241">
        <f>SUM(D14,D10)</f>
        <v>9845319324.1999989</v>
      </c>
      <c r="E15" s="241"/>
      <c r="F15" s="241">
        <f>SUM(F14,F10)</f>
        <v>857496581.57999957</v>
      </c>
    </row>
    <row r="16" spans="1:6">
      <c r="A16" s="12"/>
      <c r="B16" s="13"/>
      <c r="C16" s="14"/>
      <c r="D16" s="13"/>
      <c r="E16" s="13"/>
    </row>
    <row r="17" spans="1:3">
      <c r="A17" s="15"/>
    </row>
    <row r="22" spans="1:3" hidden="1">
      <c r="A22" s="195" t="s">
        <v>253</v>
      </c>
      <c r="B22" s="242" t="e">
        <f>+#REF!+#REF!</f>
        <v>#REF!</v>
      </c>
      <c r="C22" s="243">
        <f>+B5+B11</f>
        <v>1347619493</v>
      </c>
    </row>
    <row r="23" spans="1:3" hidden="1">
      <c r="A23" s="11" t="s">
        <v>254</v>
      </c>
      <c r="B23" s="11" t="e">
        <f>+B22*#REF!</f>
        <v>#REF!</v>
      </c>
    </row>
    <row r="24" spans="1:3" hidden="1"/>
    <row r="25" spans="1:3" hidden="1">
      <c r="A25" s="244"/>
      <c r="B25" s="245"/>
    </row>
    <row r="26" spans="1:3" hidden="1">
      <c r="A26" s="246"/>
      <c r="B26" s="247"/>
    </row>
    <row r="27" spans="1:3" hidden="1"/>
    <row r="31" spans="1:3">
      <c r="B31" s="243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&amp;LANEXO I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A60" sqref="A60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27" t="s">
        <v>117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</row>
    <row r="2" spans="1:54" ht="26.25" customHeight="1">
      <c r="A2" s="60"/>
      <c r="B2" s="60"/>
      <c r="C2" s="63"/>
      <c r="D2" s="60"/>
      <c r="E2" s="63"/>
      <c r="F2" s="60"/>
      <c r="G2" s="63"/>
      <c r="H2" s="60"/>
      <c r="I2" s="60"/>
      <c r="J2" s="60"/>
      <c r="K2" s="60"/>
      <c r="L2" s="6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</row>
    <row r="3" spans="1:54" ht="37.5" customHeight="1" thickBot="1">
      <c r="A3" s="60"/>
      <c r="B3" s="429" t="s">
        <v>91</v>
      </c>
      <c r="C3" s="430"/>
      <c r="D3" s="431" t="s">
        <v>93</v>
      </c>
      <c r="E3" s="431"/>
      <c r="F3" s="60"/>
      <c r="G3" s="107" t="s">
        <v>92</v>
      </c>
      <c r="H3" s="60"/>
      <c r="I3" s="60"/>
      <c r="J3" s="60"/>
      <c r="K3" s="60"/>
      <c r="L3" s="6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</row>
    <row r="4" spans="1:54" ht="39" customHeight="1" thickBot="1">
      <c r="A4" s="64" t="s">
        <v>0</v>
      </c>
      <c r="B4" s="64" t="s">
        <v>221</v>
      </c>
      <c r="C4" s="374" t="s">
        <v>79</v>
      </c>
      <c r="D4" s="108" t="s">
        <v>228</v>
      </c>
      <c r="E4" s="374" t="s">
        <v>80</v>
      </c>
      <c r="F4" s="60"/>
      <c r="G4" s="374" t="s">
        <v>86</v>
      </c>
      <c r="H4" s="375" t="s">
        <v>83</v>
      </c>
      <c r="I4" s="375" t="s">
        <v>84</v>
      </c>
      <c r="J4" s="375" t="s">
        <v>85</v>
      </c>
      <c r="K4" s="375" t="s">
        <v>118</v>
      </c>
      <c r="L4" s="376" t="s">
        <v>78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</row>
    <row r="5" spans="1:54">
      <c r="A5" s="123"/>
      <c r="B5" s="122"/>
      <c r="C5" s="368"/>
      <c r="D5" s="109"/>
      <c r="E5" s="368"/>
      <c r="F5" s="62"/>
      <c r="G5" s="368"/>
      <c r="H5" s="369" t="s">
        <v>94</v>
      </c>
      <c r="I5" s="369" t="s">
        <v>94</v>
      </c>
      <c r="J5" s="369" t="s">
        <v>94</v>
      </c>
      <c r="K5" s="369" t="s">
        <v>94</v>
      </c>
      <c r="L5" s="377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</row>
    <row r="6" spans="1:54" s="3" customFormat="1" ht="11.25">
      <c r="A6" s="110"/>
      <c r="B6" s="65" t="s">
        <v>57</v>
      </c>
      <c r="C6" s="378" t="s">
        <v>66</v>
      </c>
      <c r="D6" s="111" t="s">
        <v>56</v>
      </c>
      <c r="E6" s="378" t="s">
        <v>67</v>
      </c>
      <c r="F6" s="66"/>
      <c r="G6" s="112" t="s">
        <v>63</v>
      </c>
      <c r="H6" s="67">
        <f>+K6*0.35</f>
        <v>88954179.299999997</v>
      </c>
      <c r="I6" s="67">
        <f>+K6*0.35</f>
        <v>88954179.299999997</v>
      </c>
      <c r="J6" s="67">
        <f>+K6*0.3</f>
        <v>76246439.399999991</v>
      </c>
      <c r="K6" s="67">
        <f>+'[5]PART PEF2022'!D12</f>
        <v>254154798</v>
      </c>
      <c r="L6" s="113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 s="4" customFormat="1" ht="23.25" customHeight="1" thickBot="1">
      <c r="A7" s="68"/>
      <c r="B7" s="68"/>
      <c r="C7" s="114"/>
      <c r="D7" s="115"/>
      <c r="E7" s="116"/>
      <c r="F7" s="69"/>
      <c r="G7" s="370"/>
      <c r="H7" s="67" t="s">
        <v>81</v>
      </c>
      <c r="I7" s="67" t="s">
        <v>62</v>
      </c>
      <c r="J7" s="67" t="s">
        <v>82</v>
      </c>
      <c r="K7" s="70" t="s">
        <v>95</v>
      </c>
      <c r="L7" s="117" t="s">
        <v>64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4" ht="13.5" thickTop="1">
      <c r="A8" s="58" t="s">
        <v>1</v>
      </c>
      <c r="B8" s="371">
        <v>2974</v>
      </c>
      <c r="C8" s="166">
        <f t="shared" ref="C8:C58" si="0">+B8/$B$59</f>
        <v>5.141377508841821E-4</v>
      </c>
      <c r="D8" s="118">
        <v>2926</v>
      </c>
      <c r="E8" s="379">
        <f t="shared" ref="E8:E59" si="1">(D8/D$59)</f>
        <v>5.1460739289975466E-4</v>
      </c>
      <c r="F8" s="60"/>
      <c r="G8" s="169">
        <f>+'[5]COEF Art 14 F I'!AD8</f>
        <v>7.1256637707732139E-4</v>
      </c>
      <c r="H8" s="71">
        <f t="shared" ref="H8:H58" si="2">+C8*H$6</f>
        <v>45734.701677050267</v>
      </c>
      <c r="I8" s="119">
        <f t="shared" ref="I8:I58" si="3">+E8*I$6</f>
        <v>45776.47829711032</v>
      </c>
      <c r="J8" s="119">
        <f t="shared" ref="J8:J58" si="4">+G8*J$6</f>
        <v>54330.649088303529</v>
      </c>
      <c r="K8" s="119">
        <f>SUM(H8:J8)</f>
        <v>145841.82906246412</v>
      </c>
      <c r="L8" s="193">
        <f>+K8/K$59</f>
        <v>5.7383071344757435E-4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</row>
    <row r="9" spans="1:54">
      <c r="A9" s="59" t="s">
        <v>2</v>
      </c>
      <c r="B9" s="372">
        <v>3382</v>
      </c>
      <c r="C9" s="167">
        <f t="shared" si="0"/>
        <v>5.8467177992276519E-4</v>
      </c>
      <c r="D9" s="120">
        <v>2595</v>
      </c>
      <c r="E9" s="380">
        <f t="shared" si="1"/>
        <v>4.5639309110555819E-4</v>
      </c>
      <c r="F9" s="60"/>
      <c r="G9" s="170">
        <f>+'[5]COEF Art 14 F I'!AD9</f>
        <v>1.2933233677186271E-3</v>
      </c>
      <c r="H9" s="72">
        <f t="shared" si="2"/>
        <v>52008.998342899795</v>
      </c>
      <c r="I9" s="73">
        <f t="shared" si="3"/>
        <v>40598.072857485058</v>
      </c>
      <c r="J9" s="73">
        <f t="shared" si="4"/>
        <v>98611.301781362214</v>
      </c>
      <c r="K9" s="73">
        <f t="shared" ref="K9:K58" si="5">SUM(H9:J9)</f>
        <v>191218.37298174706</v>
      </c>
      <c r="L9" s="194">
        <f t="shared" ref="L9:L58" si="6">+K9/K$59</f>
        <v>7.523697151755013E-4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</row>
    <row r="10" spans="1:54">
      <c r="A10" s="59" t="s">
        <v>3</v>
      </c>
      <c r="B10" s="372">
        <v>1407</v>
      </c>
      <c r="C10" s="167">
        <f t="shared" si="0"/>
        <v>2.4323867366981983E-4</v>
      </c>
      <c r="D10" s="120">
        <v>1535</v>
      </c>
      <c r="E10" s="380">
        <f t="shared" si="1"/>
        <v>2.6996662614529166E-4</v>
      </c>
      <c r="F10" s="60"/>
      <c r="G10" s="170">
        <f>+'[5]COEF Art 14 F I'!AD10</f>
        <v>1.5979735818737342E-3</v>
      </c>
      <c r="H10" s="72">
        <f t="shared" si="2"/>
        <v>21637.096590319343</v>
      </c>
      <c r="I10" s="73">
        <f t="shared" si="3"/>
        <v>24014.65966714434</v>
      </c>
      <c r="J10" s="73">
        <f t="shared" si="4"/>
        <v>121839.79587313661</v>
      </c>
      <c r="K10" s="73">
        <f t="shared" si="5"/>
        <v>167491.55213060029</v>
      </c>
      <c r="L10" s="194">
        <f t="shared" si="6"/>
        <v>6.5901392949740934E-4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</row>
    <row r="11" spans="1:54" ht="13.5" customHeight="1">
      <c r="A11" s="59" t="s">
        <v>4</v>
      </c>
      <c r="B11" s="372">
        <v>35289</v>
      </c>
      <c r="C11" s="167">
        <f t="shared" si="0"/>
        <v>6.1006748792709828E-3</v>
      </c>
      <c r="D11" s="120">
        <v>38797</v>
      </c>
      <c r="E11" s="380">
        <f t="shared" si="1"/>
        <v>6.8233844915693027E-3</v>
      </c>
      <c r="F11" s="60"/>
      <c r="G11" s="170">
        <f>+'[5]COEF Art 14 F I'!AD11</f>
        <v>6.1329563703880399E-3</v>
      </c>
      <c r="H11" s="72">
        <f t="shared" si="2"/>
        <v>542680.52706167684</v>
      </c>
      <c r="I11" s="73">
        <f t="shared" si="3"/>
        <v>606968.56749589508</v>
      </c>
      <c r="J11" s="73">
        <f t="shared" si="4"/>
        <v>467616.08623763558</v>
      </c>
      <c r="K11" s="73">
        <f t="shared" si="5"/>
        <v>1617265.1807952076</v>
      </c>
      <c r="L11" s="194">
        <f t="shared" si="6"/>
        <v>6.3633076909105132E-3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</row>
    <row r="12" spans="1:54" ht="14.25">
      <c r="A12" s="59" t="s">
        <v>5</v>
      </c>
      <c r="B12" s="372">
        <v>18030</v>
      </c>
      <c r="C12" s="167">
        <f t="shared" si="0"/>
        <v>3.1169817244256232E-3</v>
      </c>
      <c r="D12" s="381">
        <v>20134</v>
      </c>
      <c r="E12" s="380">
        <f t="shared" si="1"/>
        <v>3.5410475901037799E-3</v>
      </c>
      <c r="F12" s="60"/>
      <c r="G12" s="170">
        <f>+'[5]COEF Art 14 F I'!AD12</f>
        <v>5.0832722725483821E-3</v>
      </c>
      <c r="H12" s="72">
        <f t="shared" si="2"/>
        <v>277268.55118938006</v>
      </c>
      <c r="I12" s="73">
        <f t="shared" si="3"/>
        <v>314990.98223992455</v>
      </c>
      <c r="J12" s="73">
        <f t="shared" si="4"/>
        <v>387581.41128256044</v>
      </c>
      <c r="K12" s="73">
        <f t="shared" si="5"/>
        <v>979840.94471186504</v>
      </c>
      <c r="L12" s="194">
        <f t="shared" si="6"/>
        <v>3.8552919418498059E-3</v>
      </c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</row>
    <row r="13" spans="1:54">
      <c r="A13" s="59" t="s">
        <v>6</v>
      </c>
      <c r="B13" s="372">
        <v>656464</v>
      </c>
      <c r="C13" s="167">
        <f t="shared" si="0"/>
        <v>0.11348786970290306</v>
      </c>
      <c r="D13" s="120">
        <v>676062</v>
      </c>
      <c r="E13" s="380">
        <f t="shared" si="1"/>
        <v>0.11890174410751672</v>
      </c>
      <c r="F13" s="60"/>
      <c r="G13" s="170">
        <f>+'[5]COEF Art 14 F I'!AD13</f>
        <v>8.3902945573294238E-2</v>
      </c>
      <c r="H13" s="72">
        <f t="shared" si="2"/>
        <v>10095220.309927076</v>
      </c>
      <c r="I13" s="73">
        <f t="shared" si="3"/>
        <v>10576807.06442276</v>
      </c>
      <c r="J13" s="73">
        <f t="shared" si="4"/>
        <v>6397300.8551356765</v>
      </c>
      <c r="K13" s="73">
        <f t="shared" si="5"/>
        <v>27069328.229485512</v>
      </c>
      <c r="L13" s="194">
        <f t="shared" si="6"/>
        <v>0.1065072485056352</v>
      </c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</row>
    <row r="14" spans="1:54">
      <c r="A14" s="59" t="s">
        <v>7</v>
      </c>
      <c r="B14" s="372">
        <v>14992</v>
      </c>
      <c r="C14" s="167">
        <f t="shared" si="0"/>
        <v>2.5917798121236242E-3</v>
      </c>
      <c r="D14" s="120">
        <v>18031</v>
      </c>
      <c r="E14" s="380">
        <f t="shared" si="1"/>
        <v>3.1711845185835529E-3</v>
      </c>
      <c r="F14" s="60"/>
      <c r="G14" s="170">
        <f>+'[5]COEF Art 14 F I'!AD14</f>
        <v>4.6630835249251955E-3</v>
      </c>
      <c r="H14" s="72">
        <f t="shared" si="2"/>
        <v>230549.64611376516</v>
      </c>
      <c r="I14" s="73">
        <f t="shared" si="3"/>
        <v>282090.11625946552</v>
      </c>
      <c r="J14" s="73">
        <f t="shared" si="4"/>
        <v>355543.51540034724</v>
      </c>
      <c r="K14" s="73">
        <f t="shared" si="5"/>
        <v>868183.27777357795</v>
      </c>
      <c r="L14" s="194">
        <f t="shared" si="6"/>
        <v>3.4159625732250705E-3</v>
      </c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</row>
    <row r="15" spans="1:54">
      <c r="A15" s="59" t="s">
        <v>8</v>
      </c>
      <c r="B15" s="372">
        <v>3661</v>
      </c>
      <c r="C15" s="167">
        <f t="shared" si="0"/>
        <v>6.329046086035611E-4</v>
      </c>
      <c r="D15" s="120">
        <v>4441</v>
      </c>
      <c r="E15" s="380">
        <f t="shared" si="1"/>
        <v>7.8105653857409789E-4</v>
      </c>
      <c r="F15" s="60"/>
      <c r="G15" s="170">
        <f>+'[5]COEF Art 14 F I'!AD15</f>
        <v>1.3500867056770605E-3</v>
      </c>
      <c r="H15" s="72">
        <f t="shared" si="2"/>
        <v>56299.510033517494</v>
      </c>
      <c r="I15" s="73">
        <f t="shared" si="3"/>
        <v>69478.243375757665</v>
      </c>
      <c r="J15" s="73">
        <f t="shared" si="4"/>
        <v>102939.30418915162</v>
      </c>
      <c r="K15" s="73">
        <f t="shared" si="5"/>
        <v>228717.05759842676</v>
      </c>
      <c r="L15" s="194">
        <f t="shared" si="6"/>
        <v>8.9991241321529878E-4</v>
      </c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</row>
    <row r="16" spans="1:54">
      <c r="A16" s="59" t="s">
        <v>9</v>
      </c>
      <c r="B16" s="372">
        <v>122337</v>
      </c>
      <c r="C16" s="167">
        <f t="shared" si="0"/>
        <v>2.1149317427679282E-2</v>
      </c>
      <c r="D16" s="120">
        <v>106525</v>
      </c>
      <c r="E16" s="380">
        <f t="shared" si="1"/>
        <v>1.8734980358389049E-2</v>
      </c>
      <c r="F16" s="60"/>
      <c r="G16" s="170">
        <f>+'[5]COEF Art 14 F I'!AD16</f>
        <v>1.3535450850661275E-2</v>
      </c>
      <c r="H16" s="72">
        <f t="shared" si="2"/>
        <v>1881320.1745343974</v>
      </c>
      <c r="I16" s="73">
        <f t="shared" si="3"/>
        <v>1666554.8019821178</v>
      </c>
      <c r="J16" s="73">
        <f t="shared" si="4"/>
        <v>1032029.9330366233</v>
      </c>
      <c r="K16" s="73">
        <f t="shared" si="5"/>
        <v>4579904.9095531385</v>
      </c>
      <c r="L16" s="194">
        <f t="shared" si="6"/>
        <v>1.80201394803223E-2</v>
      </c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</row>
    <row r="17" spans="1:54">
      <c r="A17" s="59" t="s">
        <v>10</v>
      </c>
      <c r="B17" s="372">
        <v>104478</v>
      </c>
      <c r="C17" s="167">
        <f t="shared" si="0"/>
        <v>1.8061897759541888E-2</v>
      </c>
      <c r="D17" s="120">
        <v>48695</v>
      </c>
      <c r="E17" s="380">
        <f t="shared" si="1"/>
        <v>8.5641855766416791E-3</v>
      </c>
      <c r="F17" s="60"/>
      <c r="G17" s="170">
        <f>+'[5]COEF Art 14 F I'!AD17</f>
        <v>9.5521143121326309E-3</v>
      </c>
      <c r="H17" s="72">
        <f t="shared" si="2"/>
        <v>1606681.2918005574</v>
      </c>
      <c r="I17" s="73">
        <f t="shared" si="3"/>
        <v>761820.09934305784</v>
      </c>
      <c r="J17" s="73">
        <f t="shared" si="4"/>
        <v>728314.70504189329</v>
      </c>
      <c r="K17" s="73">
        <f t="shared" si="5"/>
        <v>3096816.0961855086</v>
      </c>
      <c r="L17" s="194">
        <f t="shared" si="6"/>
        <v>1.218476346130404E-2</v>
      </c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</row>
    <row r="18" spans="1:54">
      <c r="A18" s="59" t="s">
        <v>11</v>
      </c>
      <c r="B18" s="372">
        <v>7340</v>
      </c>
      <c r="C18" s="167">
        <f t="shared" si="0"/>
        <v>1.2689210126058832E-3</v>
      </c>
      <c r="D18" s="120">
        <v>8352</v>
      </c>
      <c r="E18" s="380">
        <f t="shared" si="1"/>
        <v>1.4688998446680623E-3</v>
      </c>
      <c r="F18" s="60"/>
      <c r="G18" s="170">
        <f>+'[5]COEF Art 14 F I'!AD18</f>
        <v>3.5417557207622586E-3</v>
      </c>
      <c r="H18" s="72">
        <f t="shared" si="2"/>
        <v>112875.82727288129</v>
      </c>
      <c r="I18" s="73">
        <f t="shared" si="3"/>
        <v>130664.78015634496</v>
      </c>
      <c r="J18" s="73">
        <f t="shared" si="4"/>
        <v>270046.26293270284</v>
      </c>
      <c r="K18" s="73">
        <f t="shared" si="5"/>
        <v>513586.87036192906</v>
      </c>
      <c r="L18" s="194">
        <f t="shared" si="6"/>
        <v>2.0207640162745585E-3</v>
      </c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</row>
    <row r="19" spans="1:54">
      <c r="A19" s="59" t="s">
        <v>12</v>
      </c>
      <c r="B19" s="372">
        <v>9930</v>
      </c>
      <c r="C19" s="167">
        <f t="shared" si="0"/>
        <v>1.7166737949831634E-3</v>
      </c>
      <c r="D19" s="120">
        <v>12086</v>
      </c>
      <c r="E19" s="380">
        <f t="shared" si="1"/>
        <v>2.1256134485941333E-3</v>
      </c>
      <c r="F19" s="60"/>
      <c r="G19" s="170">
        <f>+'[5]COEF Art 14 F I'!AD19</f>
        <v>4.6145729353621601E-3</v>
      </c>
      <c r="H19" s="72">
        <f t="shared" si="2"/>
        <v>152705.30855854377</v>
      </c>
      <c r="I19" s="73">
        <f t="shared" si="3"/>
        <v>189082.19982873386</v>
      </c>
      <c r="J19" s="73">
        <f t="shared" si="4"/>
        <v>351844.75567297102</v>
      </c>
      <c r="K19" s="73">
        <f t="shared" si="5"/>
        <v>693632.26406024862</v>
      </c>
      <c r="L19" s="194">
        <f t="shared" si="6"/>
        <v>2.729172415860702E-3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</row>
    <row r="20" spans="1:54">
      <c r="A20" s="59" t="s">
        <v>13</v>
      </c>
      <c r="B20" s="372">
        <v>68747</v>
      </c>
      <c r="C20" s="167">
        <f t="shared" si="0"/>
        <v>1.1884811015479108E-2</v>
      </c>
      <c r="D20" s="120">
        <v>51865</v>
      </c>
      <c r="E20" s="380">
        <f t="shared" si="1"/>
        <v>9.1217062312870037E-3</v>
      </c>
      <c r="F20" s="60"/>
      <c r="G20" s="170">
        <f>+'[5]COEF Art 14 F I'!AD20</f>
        <v>7.0656858602468958E-3</v>
      </c>
      <c r="H20" s="72">
        <f t="shared" si="2"/>
        <v>1057203.6100175437</v>
      </c>
      <c r="I20" s="73">
        <f t="shared" si="3"/>
        <v>811413.89161983132</v>
      </c>
      <c r="J20" s="73">
        <f t="shared" si="4"/>
        <v>538733.38876275171</v>
      </c>
      <c r="K20" s="73">
        <f t="shared" si="5"/>
        <v>2407350.8904001266</v>
      </c>
      <c r="L20" s="194">
        <f t="shared" si="6"/>
        <v>9.4719867944422081E-3</v>
      </c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</row>
    <row r="21" spans="1:54">
      <c r="A21" s="59" t="s">
        <v>14</v>
      </c>
      <c r="B21" s="372">
        <v>36088</v>
      </c>
      <c r="C21" s="167">
        <f t="shared" si="0"/>
        <v>6.2388040194715413E-3</v>
      </c>
      <c r="D21" s="120">
        <v>38266</v>
      </c>
      <c r="E21" s="380">
        <f t="shared" si="1"/>
        <v>6.7299953850656225E-3</v>
      </c>
      <c r="F21" s="60"/>
      <c r="G21" s="170">
        <f>+'[5]COEF Art 14 F I'!AD21</f>
        <v>1.0327055310165754E-2</v>
      </c>
      <c r="H21" s="72">
        <f t="shared" si="2"/>
        <v>554967.69136563211</v>
      </c>
      <c r="I21" s="73">
        <f t="shared" si="3"/>
        <v>598661.21617129992</v>
      </c>
      <c r="J21" s="73">
        <f t="shared" si="4"/>
        <v>787401.19688700128</v>
      </c>
      <c r="K21" s="73">
        <f t="shared" si="5"/>
        <v>1941030.1044239332</v>
      </c>
      <c r="L21" s="194">
        <f t="shared" si="6"/>
        <v>7.6371963846377337E-3</v>
      </c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</row>
    <row r="22" spans="1:54">
      <c r="A22" s="59" t="s">
        <v>15</v>
      </c>
      <c r="B22" s="372">
        <v>1360</v>
      </c>
      <c r="C22" s="167">
        <f t="shared" si="0"/>
        <v>2.351134301286105E-4</v>
      </c>
      <c r="D22" s="120">
        <v>1874</v>
      </c>
      <c r="E22" s="380">
        <f t="shared" si="1"/>
        <v>3.2958792012786745E-4</v>
      </c>
      <c r="F22" s="60"/>
      <c r="G22" s="170">
        <f>+'[5]COEF Art 14 F I'!AD22</f>
        <v>1.4953083739842738E-3</v>
      </c>
      <c r="H22" s="72">
        <f t="shared" si="2"/>
        <v>20914.322219498441</v>
      </c>
      <c r="I22" s="73">
        <f t="shared" si="3"/>
        <v>29318.222942168399</v>
      </c>
      <c r="J22" s="73">
        <f t="shared" si="4"/>
        <v>114011.93932130445</v>
      </c>
      <c r="K22" s="73">
        <f t="shared" si="5"/>
        <v>164244.48448297131</v>
      </c>
      <c r="L22" s="194">
        <f t="shared" si="6"/>
        <v>6.4623798478504954E-4</v>
      </c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</row>
    <row r="23" spans="1:54">
      <c r="A23" s="59" t="s">
        <v>16</v>
      </c>
      <c r="B23" s="372">
        <v>3256</v>
      </c>
      <c r="C23" s="167">
        <f t="shared" si="0"/>
        <v>5.6288921213143808E-4</v>
      </c>
      <c r="D23" s="120">
        <v>3314</v>
      </c>
      <c r="E23" s="380">
        <f t="shared" si="1"/>
        <v>5.8284651403615407E-4</v>
      </c>
      <c r="F23" s="60"/>
      <c r="G23" s="170">
        <f>+'[5]COEF Art 14 F I'!AD23</f>
        <v>1.0769672220122481E-3</v>
      </c>
      <c r="H23" s="72">
        <f t="shared" si="2"/>
        <v>50071.347901975678</v>
      </c>
      <c r="I23" s="73">
        <f t="shared" si="3"/>
        <v>51846.633313952014</v>
      </c>
      <c r="J23" s="73">
        <f t="shared" si="4"/>
        <v>82114.916028943204</v>
      </c>
      <c r="K23" s="73">
        <f t="shared" si="5"/>
        <v>184032.8972448709</v>
      </c>
      <c r="L23" s="194">
        <f t="shared" si="6"/>
        <v>7.2409767076233168E-4</v>
      </c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</row>
    <row r="24" spans="1:54">
      <c r="A24" s="59" t="s">
        <v>17</v>
      </c>
      <c r="B24" s="372">
        <v>40903</v>
      </c>
      <c r="C24" s="167">
        <f t="shared" si="0"/>
        <v>7.0712092886401146E-3</v>
      </c>
      <c r="D24" s="120">
        <v>45483</v>
      </c>
      <c r="E24" s="380">
        <f t="shared" si="1"/>
        <v>7.999278213007362E-3</v>
      </c>
      <c r="F24" s="60"/>
      <c r="G24" s="170">
        <f>+'[5]COEF Art 14 F I'!AD24</f>
        <v>9.6409554439645037E-3</v>
      </c>
      <c r="H24" s="72">
        <f t="shared" si="2"/>
        <v>629013.61892951815</v>
      </c>
      <c r="I24" s="73">
        <f t="shared" si="3"/>
        <v>711569.22843044042</v>
      </c>
      <c r="J24" s="73">
        <f t="shared" si="4"/>
        <v>735088.5250163395</v>
      </c>
      <c r="K24" s="73">
        <f t="shared" si="5"/>
        <v>2075671.3723762981</v>
      </c>
      <c r="L24" s="194">
        <f t="shared" si="6"/>
        <v>8.1669572587659677E-3</v>
      </c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</row>
    <row r="25" spans="1:54">
      <c r="A25" s="59" t="s">
        <v>18</v>
      </c>
      <c r="B25" s="372">
        <v>397205</v>
      </c>
      <c r="C25" s="167">
        <f t="shared" si="0"/>
        <v>6.8667816186937305E-2</v>
      </c>
      <c r="D25" s="120">
        <v>309453</v>
      </c>
      <c r="E25" s="380">
        <f t="shared" si="1"/>
        <v>5.4424744208820153E-2</v>
      </c>
      <c r="F25" s="60"/>
      <c r="G25" s="170">
        <f>+'[5]COEF Art 14 F I'!AD25</f>
        <v>3.8557733783828881E-2</v>
      </c>
      <c r="H25" s="72">
        <f t="shared" si="2"/>
        <v>6108289.2332322635</v>
      </c>
      <c r="I25" s="73">
        <f t="shared" si="3"/>
        <v>4841308.4547080239</v>
      </c>
      <c r="J25" s="73">
        <f t="shared" si="4"/>
        <v>2939889.9123500413</v>
      </c>
      <c r="K25" s="73">
        <f t="shared" si="5"/>
        <v>13889487.60029033</v>
      </c>
      <c r="L25" s="194">
        <f t="shared" si="6"/>
        <v>5.4649716273663787E-2</v>
      </c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</row>
    <row r="26" spans="1:54">
      <c r="A26" s="59" t="s">
        <v>19</v>
      </c>
      <c r="B26" s="372">
        <v>5506</v>
      </c>
      <c r="C26" s="167">
        <f t="shared" si="0"/>
        <v>9.5186363697656574E-4</v>
      </c>
      <c r="D26" s="120">
        <v>6204</v>
      </c>
      <c r="E26" s="380">
        <f t="shared" si="1"/>
        <v>1.0911224420882015E-3</v>
      </c>
      <c r="F26" s="60"/>
      <c r="G26" s="170">
        <f>+'[5]COEF Art 14 F I'!AD26</f>
        <v>3.2963327983727398E-3</v>
      </c>
      <c r="H26" s="72">
        <f t="shared" si="2"/>
        <v>84672.248632763542</v>
      </c>
      <c r="I26" s="73">
        <f t="shared" si="3"/>
        <v>97059.901351767738</v>
      </c>
      <c r="J26" s="73">
        <f t="shared" si="4"/>
        <v>251333.63895335951</v>
      </c>
      <c r="K26" s="73">
        <f t="shared" si="5"/>
        <v>433065.78893789079</v>
      </c>
      <c r="L26" s="194">
        <f t="shared" si="6"/>
        <v>1.7039449671844907E-3</v>
      </c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</row>
    <row r="27" spans="1:54">
      <c r="A27" s="59" t="s">
        <v>20</v>
      </c>
      <c r="B27" s="372">
        <v>481213</v>
      </c>
      <c r="C27" s="167">
        <f t="shared" si="0"/>
        <v>8.3190911067999293E-2</v>
      </c>
      <c r="D27" s="120">
        <v>472873</v>
      </c>
      <c r="E27" s="380">
        <f t="shared" si="1"/>
        <v>8.3166077136939742E-2</v>
      </c>
      <c r="F27" s="60"/>
      <c r="G27" s="170">
        <f>+'[5]COEF Art 14 F I'!AD27</f>
        <v>6.6566820892338618E-2</v>
      </c>
      <c r="H27" s="72">
        <f t="shared" si="2"/>
        <v>7400179.219273163</v>
      </c>
      <c r="I27" s="73">
        <f t="shared" si="3"/>
        <v>7397970.1373169683</v>
      </c>
      <c r="J27" s="73">
        <f t="shared" si="4"/>
        <v>5075483.0752183497</v>
      </c>
      <c r="K27" s="73">
        <f t="shared" si="5"/>
        <v>19873632.431808479</v>
      </c>
      <c r="L27" s="194">
        <f t="shared" si="6"/>
        <v>7.819499213943025E-2</v>
      </c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</row>
    <row r="28" spans="1:54">
      <c r="A28" s="59" t="s">
        <v>21</v>
      </c>
      <c r="B28" s="372">
        <v>14109</v>
      </c>
      <c r="C28" s="167">
        <f t="shared" si="0"/>
        <v>2.4391289600621804E-3</v>
      </c>
      <c r="D28" s="120">
        <v>16479</v>
      </c>
      <c r="E28" s="380">
        <f t="shared" si="1"/>
        <v>2.8982280340379548E-3</v>
      </c>
      <c r="F28" s="60"/>
      <c r="G28" s="170">
        <f>+'[5]COEF Art 14 F I'!AD28</f>
        <v>4.4534152616681555E-3</v>
      </c>
      <c r="H28" s="72">
        <f t="shared" si="2"/>
        <v>216970.71484919373</v>
      </c>
      <c r="I28" s="73">
        <f t="shared" si="3"/>
        <v>257809.49619209874</v>
      </c>
      <c r="J28" s="73">
        <f t="shared" si="4"/>
        <v>339557.05687181611</v>
      </c>
      <c r="K28" s="73">
        <f t="shared" si="5"/>
        <v>814337.26791310858</v>
      </c>
      <c r="L28" s="194">
        <f t="shared" si="6"/>
        <v>3.2040995264354943E-3</v>
      </c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</row>
    <row r="29" spans="1:54">
      <c r="A29" s="59" t="s">
        <v>22</v>
      </c>
      <c r="B29" s="372">
        <v>1808</v>
      </c>
      <c r="C29" s="167">
        <f t="shared" si="0"/>
        <v>3.1256256005332924E-4</v>
      </c>
      <c r="D29" s="120">
        <v>1199</v>
      </c>
      <c r="E29" s="380">
        <f t="shared" si="1"/>
        <v>2.108729542333581E-4</v>
      </c>
      <c r="F29" s="60"/>
      <c r="G29" s="170">
        <f>+'[5]COEF Art 14 F I'!AD29</f>
        <v>8.7412230819066642E-4</v>
      </c>
      <c r="H29" s="72">
        <f t="shared" si="2"/>
        <v>27803.746009450864</v>
      </c>
      <c r="I29" s="73">
        <f t="shared" si="3"/>
        <v>18758.030580394829</v>
      </c>
      <c r="J29" s="73">
        <f t="shared" si="4"/>
        <v>66648.713599647759</v>
      </c>
      <c r="K29" s="73">
        <f t="shared" si="5"/>
        <v>113210.49018949346</v>
      </c>
      <c r="L29" s="194">
        <f t="shared" si="6"/>
        <v>4.4543912245754053E-4</v>
      </c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</row>
    <row r="30" spans="1:54">
      <c r="A30" s="59" t="s">
        <v>23</v>
      </c>
      <c r="B30" s="372">
        <v>6282</v>
      </c>
      <c r="C30" s="167">
        <f t="shared" si="0"/>
        <v>1.0860165941675964E-3</v>
      </c>
      <c r="D30" s="120">
        <v>6672</v>
      </c>
      <c r="E30" s="380">
        <f t="shared" si="1"/>
        <v>1.1734314851083946E-3</v>
      </c>
      <c r="F30" s="60"/>
      <c r="G30" s="170">
        <f>+'[5]COEF Art 14 F I'!AD30</f>
        <v>2.5026603218983772E-3</v>
      </c>
      <c r="H30" s="72">
        <f t="shared" si="2"/>
        <v>96605.714840359695</v>
      </c>
      <c r="I30" s="73">
        <f t="shared" si="3"/>
        <v>104381.6347225974</v>
      </c>
      <c r="J30" s="73">
        <f t="shared" si="4"/>
        <v>190818.9385724091</v>
      </c>
      <c r="K30" s="73">
        <f t="shared" si="5"/>
        <v>391806.28813536617</v>
      </c>
      <c r="L30" s="194">
        <f t="shared" si="6"/>
        <v>1.54160492431611E-3</v>
      </c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</row>
    <row r="31" spans="1:54">
      <c r="A31" s="59" t="s">
        <v>24</v>
      </c>
      <c r="B31" s="372">
        <v>102149</v>
      </c>
      <c r="C31" s="167">
        <f t="shared" si="0"/>
        <v>1.7659266010446643E-2</v>
      </c>
      <c r="D31" s="120">
        <v>94516</v>
      </c>
      <c r="E31" s="380">
        <f t="shared" si="1"/>
        <v>1.6622909209608069E-2</v>
      </c>
      <c r="F31" s="60"/>
      <c r="G31" s="170">
        <f>+'[5]COEF Art 14 F I'!AD31</f>
        <v>9.250870349813322E-3</v>
      </c>
      <c r="H31" s="72">
        <f t="shared" si="2"/>
        <v>1570865.5149996663</v>
      </c>
      <c r="I31" s="73">
        <f t="shared" si="3"/>
        <v>1478677.2463190975</v>
      </c>
      <c r="J31" s="73">
        <f t="shared" si="4"/>
        <v>705345.92552429822</v>
      </c>
      <c r="K31" s="73">
        <f t="shared" si="5"/>
        <v>3754888.6868430618</v>
      </c>
      <c r="L31" s="194">
        <f t="shared" si="6"/>
        <v>1.4774022431963147E-2</v>
      </c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</row>
    <row r="32" spans="1:54">
      <c r="A32" s="59" t="s">
        <v>25</v>
      </c>
      <c r="B32" s="372">
        <v>643143</v>
      </c>
      <c r="C32" s="167">
        <f t="shared" si="0"/>
        <v>0.11118496823029775</v>
      </c>
      <c r="D32" s="120">
        <v>715442</v>
      </c>
      <c r="E32" s="380">
        <f t="shared" si="1"/>
        <v>0.12582766315481417</v>
      </c>
      <c r="F32" s="60"/>
      <c r="G32" s="170">
        <f>+'[5]COEF Art 14 F I'!AD32</f>
        <v>6.493171821481393E-2</v>
      </c>
      <c r="H32" s="72">
        <f t="shared" si="2"/>
        <v>9890367.59942271</v>
      </c>
      <c r="I32" s="73">
        <f t="shared" si="3"/>
        <v>11192896.509173343</v>
      </c>
      <c r="J32" s="73">
        <f t="shared" si="4"/>
        <v>4950812.3180036861</v>
      </c>
      <c r="K32" s="73">
        <f t="shared" si="5"/>
        <v>26034076.426599741</v>
      </c>
      <c r="L32" s="194">
        <f t="shared" si="6"/>
        <v>0.10243393644923336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</row>
    <row r="33" spans="1:54">
      <c r="A33" s="59" t="s">
        <v>26</v>
      </c>
      <c r="B33" s="372">
        <v>1959</v>
      </c>
      <c r="C33" s="167">
        <f t="shared" si="0"/>
        <v>3.3866706589849116E-4</v>
      </c>
      <c r="D33" s="120">
        <v>2019</v>
      </c>
      <c r="E33" s="380">
        <f t="shared" si="1"/>
        <v>3.5508965354224354E-4</v>
      </c>
      <c r="F33" s="60"/>
      <c r="G33" s="170">
        <f>+'[5]COEF Art 14 F I'!AD33</f>
        <v>9.1141775029762446E-4</v>
      </c>
      <c r="H33" s="72">
        <f t="shared" si="2"/>
        <v>30125.850902939299</v>
      </c>
      <c r="I33" s="73">
        <f t="shared" si="3"/>
        <v>31586.70870877161</v>
      </c>
      <c r="J33" s="73">
        <f t="shared" si="4"/>
        <v>69492.35826615215</v>
      </c>
      <c r="K33" s="73">
        <f t="shared" si="5"/>
        <v>131204.91787786304</v>
      </c>
      <c r="L33" s="194">
        <f t="shared" si="6"/>
        <v>5.1624017689354447E-4</v>
      </c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</row>
    <row r="34" spans="1:54">
      <c r="A34" s="59" t="s">
        <v>27</v>
      </c>
      <c r="B34" s="372">
        <v>16086</v>
      </c>
      <c r="C34" s="167">
        <f t="shared" si="0"/>
        <v>2.7809078213594327E-3</v>
      </c>
      <c r="D34" s="120">
        <v>15960</v>
      </c>
      <c r="E34" s="380">
        <f t="shared" si="1"/>
        <v>2.8069494158168432E-3</v>
      </c>
      <c r="F34" s="60"/>
      <c r="G34" s="170">
        <f>+'[5]COEF Art 14 F I'!AD34</f>
        <v>1.7308856663320641E-3</v>
      </c>
      <c r="H34" s="72">
        <f t="shared" si="2"/>
        <v>247373.37295797933</v>
      </c>
      <c r="I34" s="73">
        <f t="shared" si="3"/>
        <v>249689.88162060172</v>
      </c>
      <c r="J34" s="73">
        <f t="shared" si="4"/>
        <v>131973.86906631634</v>
      </c>
      <c r="K34" s="73">
        <f t="shared" si="5"/>
        <v>629037.12364489748</v>
      </c>
      <c r="L34" s="194">
        <f t="shared" si="6"/>
        <v>2.4750157329113164E-3</v>
      </c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</row>
    <row r="35" spans="1:54">
      <c r="A35" s="59" t="s">
        <v>28</v>
      </c>
      <c r="B35" s="372">
        <v>1386</v>
      </c>
      <c r="C35" s="167">
        <f t="shared" si="0"/>
        <v>2.3960824570459864E-4</v>
      </c>
      <c r="D35" s="120">
        <v>1732</v>
      </c>
      <c r="E35" s="380">
        <f t="shared" si="1"/>
        <v>3.0461380878413365E-4</v>
      </c>
      <c r="F35" s="60"/>
      <c r="G35" s="170">
        <f>+'[5]COEF Art 14 F I'!AD35</f>
        <v>1.3065546183127293E-3</v>
      </c>
      <c r="H35" s="72">
        <f t="shared" si="2"/>
        <v>21314.15485016532</v>
      </c>
      <c r="I35" s="73">
        <f t="shared" si="3"/>
        <v>27096.671363839738</v>
      </c>
      <c r="J35" s="73">
        <f t="shared" si="4"/>
        <v>99620.13752797163</v>
      </c>
      <c r="K35" s="73">
        <f t="shared" si="5"/>
        <v>148030.96374197668</v>
      </c>
      <c r="L35" s="194">
        <f t="shared" si="6"/>
        <v>5.8244410456487509E-4</v>
      </c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</row>
    <row r="36" spans="1:54">
      <c r="A36" s="59" t="s">
        <v>29</v>
      </c>
      <c r="B36" s="372">
        <v>7026</v>
      </c>
      <c r="C36" s="167">
        <f t="shared" si="0"/>
        <v>1.2146374706497186E-3</v>
      </c>
      <c r="D36" s="120">
        <v>7833</v>
      </c>
      <c r="E36" s="380">
        <f t="shared" si="1"/>
        <v>1.3776212264469507E-3</v>
      </c>
      <c r="F36" s="60"/>
      <c r="G36" s="170">
        <f>+'[5]COEF Art 14 F I'!AD36</f>
        <v>1.5276041033046534E-3</v>
      </c>
      <c r="H36" s="72">
        <f t="shared" si="2"/>
        <v>108047.07934867355</v>
      </c>
      <c r="I36" s="73">
        <f t="shared" si="3"/>
        <v>122545.16558484796</v>
      </c>
      <c r="J36" s="73">
        <f t="shared" si="4"/>
        <v>116474.37368980958</v>
      </c>
      <c r="K36" s="73">
        <f t="shared" si="5"/>
        <v>347066.61862333107</v>
      </c>
      <c r="L36" s="194">
        <f t="shared" si="6"/>
        <v>1.3655717749752304E-3</v>
      </c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</row>
    <row r="37" spans="1:54">
      <c r="A37" s="59" t="s">
        <v>30</v>
      </c>
      <c r="B37" s="372">
        <v>3298</v>
      </c>
      <c r="C37" s="167">
        <f t="shared" si="0"/>
        <v>5.7015006806188052E-4</v>
      </c>
      <c r="D37" s="120">
        <v>4025</v>
      </c>
      <c r="E37" s="380">
        <f t="shared" si="1"/>
        <v>7.0789294477837056E-4</v>
      </c>
      <c r="F37" s="60"/>
      <c r="G37" s="170">
        <f>+'[5]COEF Art 14 F I'!AD37</f>
        <v>1.5948995596964082E-3</v>
      </c>
      <c r="H37" s="72">
        <f t="shared" si="2"/>
        <v>50717.231382283724</v>
      </c>
      <c r="I37" s="73">
        <f t="shared" si="3"/>
        <v>62970.035935020169</v>
      </c>
      <c r="J37" s="73">
        <f t="shared" si="4"/>
        <v>121605.41262747886</v>
      </c>
      <c r="K37" s="73">
        <f t="shared" si="5"/>
        <v>235292.67994478275</v>
      </c>
      <c r="L37" s="194">
        <f t="shared" si="6"/>
        <v>9.2578492240301033E-4</v>
      </c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</row>
    <row r="38" spans="1:54">
      <c r="A38" s="59" t="s">
        <v>31</v>
      </c>
      <c r="B38" s="372">
        <v>471523</v>
      </c>
      <c r="C38" s="167">
        <f t="shared" si="0"/>
        <v>8.1515727878332944E-2</v>
      </c>
      <c r="D38" s="120">
        <v>406584</v>
      </c>
      <c r="E38" s="380">
        <f t="shared" si="1"/>
        <v>7.1507563990004727E-2</v>
      </c>
      <c r="F38" s="60"/>
      <c r="G38" s="170">
        <f>+'[5]COEF Art 14 F I'!AD38</f>
        <v>4.7490960931980568E-2</v>
      </c>
      <c r="H38" s="72">
        <f t="shared" si="2"/>
        <v>7251164.6734592374</v>
      </c>
      <c r="I38" s="73">
        <f t="shared" si="3"/>
        <v>6360896.668473104</v>
      </c>
      <c r="J38" s="73">
        <f t="shared" si="4"/>
        <v>3621016.6747480235</v>
      </c>
      <c r="K38" s="73">
        <f t="shared" si="5"/>
        <v>17233078.016680364</v>
      </c>
      <c r="L38" s="194">
        <f t="shared" si="6"/>
        <v>6.7805440433512359E-2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</row>
    <row r="39" spans="1:54">
      <c r="A39" s="59" t="s">
        <v>32</v>
      </c>
      <c r="B39" s="372">
        <v>5351</v>
      </c>
      <c r="C39" s="167">
        <f t="shared" si="0"/>
        <v>9.2506762104279034E-4</v>
      </c>
      <c r="D39" s="120">
        <v>5855</v>
      </c>
      <c r="E39" s="380">
        <f t="shared" si="1"/>
        <v>1.0297424078701514E-3</v>
      </c>
      <c r="F39" s="60"/>
      <c r="G39" s="170">
        <f>+'[5]COEF Art 14 F I'!AD39</f>
        <v>3.7908202607914243E-3</v>
      </c>
      <c r="H39" s="72">
        <f t="shared" si="2"/>
        <v>82288.631026864823</v>
      </c>
      <c r="I39" s="73">
        <f t="shared" si="3"/>
        <v>91599.890782495175</v>
      </c>
      <c r="J39" s="73">
        <f t="shared" si="4"/>
        <v>289036.54729072552</v>
      </c>
      <c r="K39" s="73">
        <f t="shared" si="5"/>
        <v>462925.06910008553</v>
      </c>
      <c r="L39" s="194">
        <f t="shared" si="6"/>
        <v>1.8214295883569572E-3</v>
      </c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</row>
    <row r="40" spans="1:54">
      <c r="A40" s="59" t="s">
        <v>33</v>
      </c>
      <c r="B40" s="372">
        <v>84666</v>
      </c>
      <c r="C40" s="167">
        <f t="shared" si="0"/>
        <v>1.4636848290638924E-2</v>
      </c>
      <c r="D40" s="120">
        <v>89739</v>
      </c>
      <c r="E40" s="380">
        <f t="shared" si="1"/>
        <v>1.5782758999122036E-2</v>
      </c>
      <c r="F40" s="60"/>
      <c r="G40" s="170">
        <f>+'[5]COEF Art 14 F I'!AD40</f>
        <v>1.0579146413349503E-2</v>
      </c>
      <c r="H40" s="72">
        <f t="shared" si="2"/>
        <v>1302008.8272323932</v>
      </c>
      <c r="I40" s="73">
        <f t="shared" si="3"/>
        <v>1403942.3738565901</v>
      </c>
      <c r="J40" s="73">
        <f t="shared" si="4"/>
        <v>806622.24590918014</v>
      </c>
      <c r="K40" s="73">
        <f t="shared" si="5"/>
        <v>3512573.4469981636</v>
      </c>
      <c r="L40" s="194">
        <f t="shared" si="6"/>
        <v>1.3820606475421188E-2</v>
      </c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</row>
    <row r="41" spans="1:54">
      <c r="A41" s="59" t="s">
        <v>34</v>
      </c>
      <c r="B41" s="372">
        <v>5119</v>
      </c>
      <c r="C41" s="167">
        <f t="shared" si="0"/>
        <v>8.8496003590320376E-4</v>
      </c>
      <c r="D41" s="120">
        <v>6248</v>
      </c>
      <c r="E41" s="380">
        <f t="shared" si="1"/>
        <v>1.0988608991242882E-3</v>
      </c>
      <c r="F41" s="60"/>
      <c r="G41" s="170">
        <f>+'[5]COEF Art 14 F I'!AD41</f>
        <v>1.9290346766197061E-3</v>
      </c>
      <c r="H41" s="72">
        <f t="shared" si="2"/>
        <v>78720.893707068026</v>
      </c>
      <c r="I41" s="73">
        <f t="shared" si="3"/>
        <v>97748.269446461141</v>
      </c>
      <c r="J41" s="73">
        <f t="shared" si="4"/>
        <v>147082.02557138298</v>
      </c>
      <c r="K41" s="73">
        <f t="shared" si="5"/>
        <v>323551.18872491212</v>
      </c>
      <c r="L41" s="194">
        <f t="shared" si="6"/>
        <v>1.273047730245534E-3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</row>
    <row r="42" spans="1:54">
      <c r="A42" s="59" t="s">
        <v>35</v>
      </c>
      <c r="B42" s="372">
        <v>1483</v>
      </c>
      <c r="C42" s="167">
        <f t="shared" si="0"/>
        <v>2.5637736535347747E-4</v>
      </c>
      <c r="D42" s="120">
        <v>1087</v>
      </c>
      <c r="E42" s="380">
        <f t="shared" si="1"/>
        <v>1.9117506359604691E-4</v>
      </c>
      <c r="F42" s="60"/>
      <c r="G42" s="170">
        <f>+'[5]COEF Art 14 F I'!AD42</f>
        <v>3.5319460368419539E-4</v>
      </c>
      <c r="H42" s="72">
        <f t="shared" si="2"/>
        <v>22805.838126114842</v>
      </c>
      <c r="I42" s="73">
        <f t="shared" si="3"/>
        <v>17005.820884811659</v>
      </c>
      <c r="J42" s="73">
        <f t="shared" si="4"/>
        <v>26929.830946214017</v>
      </c>
      <c r="K42" s="73">
        <f t="shared" si="5"/>
        <v>66741.489957140526</v>
      </c>
      <c r="L42" s="194">
        <f t="shared" si="6"/>
        <v>2.6260173123759218E-4</v>
      </c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</row>
    <row r="43" spans="1:54">
      <c r="A43" s="59" t="s">
        <v>36</v>
      </c>
      <c r="B43" s="372">
        <v>7652</v>
      </c>
      <c r="C43" s="167">
        <f t="shared" si="0"/>
        <v>1.322858799517741E-3</v>
      </c>
      <c r="D43" s="120">
        <v>7662</v>
      </c>
      <c r="E43" s="380">
        <f t="shared" si="1"/>
        <v>1.3475467684203417E-3</v>
      </c>
      <c r="F43" s="60"/>
      <c r="G43" s="170">
        <f>+'[5]COEF Art 14 F I'!AD43</f>
        <v>2.7561164778683333E-3</v>
      </c>
      <c r="H43" s="72">
        <f t="shared" si="2"/>
        <v>117673.81884088388</v>
      </c>
      <c r="I43" s="73">
        <f t="shared" si="3"/>
        <v>119869.91685319865</v>
      </c>
      <c r="J43" s="73">
        <f t="shared" si="4"/>
        <v>210144.06800912929</v>
      </c>
      <c r="K43" s="73">
        <f t="shared" si="5"/>
        <v>447687.80370321183</v>
      </c>
      <c r="L43" s="194">
        <f t="shared" si="6"/>
        <v>1.7614768921388291E-3</v>
      </c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</row>
    <row r="44" spans="1:54">
      <c r="A44" s="59" t="s">
        <v>37</v>
      </c>
      <c r="B44" s="372">
        <v>6048</v>
      </c>
      <c r="C44" s="167">
        <f t="shared" si="0"/>
        <v>1.0455632539837032E-3</v>
      </c>
      <c r="D44" s="120">
        <v>5923</v>
      </c>
      <c r="E44" s="380">
        <f t="shared" si="1"/>
        <v>1.0417018414713762E-3</v>
      </c>
      <c r="F44" s="60"/>
      <c r="G44" s="170">
        <f>+'[5]COEF Art 14 F I'!AD44</f>
        <v>3.5936539799167806E-3</v>
      </c>
      <c r="H44" s="72">
        <f t="shared" si="2"/>
        <v>93007.221164357776</v>
      </c>
      <c r="I44" s="73">
        <f t="shared" si="3"/>
        <v>92663.732383384966</v>
      </c>
      <c r="J44" s="73">
        <f t="shared" si="4"/>
        <v>274003.3204042936</v>
      </c>
      <c r="K44" s="73">
        <f t="shared" si="5"/>
        <v>459674.27395203634</v>
      </c>
      <c r="L44" s="194">
        <f t="shared" si="6"/>
        <v>1.8086389773843119E-3</v>
      </c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</row>
    <row r="45" spans="1:54">
      <c r="A45" s="59" t="s">
        <v>38</v>
      </c>
      <c r="B45" s="372">
        <v>67428</v>
      </c>
      <c r="C45" s="167">
        <f t="shared" si="0"/>
        <v>1.1656785563758786E-2</v>
      </c>
      <c r="D45" s="120">
        <v>68518</v>
      </c>
      <c r="E45" s="380">
        <f t="shared" si="1"/>
        <v>1.2050536345422211E-2</v>
      </c>
      <c r="F45" s="60"/>
      <c r="G45" s="170">
        <f>+'[5]COEF Art 14 F I'!AD45</f>
        <v>8.1976120067314695E-3</v>
      </c>
      <c r="H45" s="72">
        <f t="shared" si="2"/>
        <v>1036919.7931002505</v>
      </c>
      <c r="I45" s="73">
        <f t="shared" si="3"/>
        <v>1071945.5707318541</v>
      </c>
      <c r="J45" s="73">
        <f t="shared" si="4"/>
        <v>625038.72709596332</v>
      </c>
      <c r="K45" s="73">
        <f t="shared" si="5"/>
        <v>2733904.0909280679</v>
      </c>
      <c r="L45" s="194">
        <f t="shared" si="6"/>
        <v>1.075684627023279E-2</v>
      </c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</row>
    <row r="46" spans="1:54">
      <c r="A46" s="59" t="s">
        <v>39</v>
      </c>
      <c r="B46" s="372">
        <v>1142994</v>
      </c>
      <c r="C46" s="167">
        <f t="shared" si="0"/>
        <v>0.19759797055619194</v>
      </c>
      <c r="D46" s="120">
        <v>1136308</v>
      </c>
      <c r="E46" s="380">
        <f t="shared" si="1"/>
        <v>0.19984705994912316</v>
      </c>
      <c r="F46" s="60"/>
      <c r="G46" s="170">
        <f>+'[5]COEF Art 14 F I'!AD46</f>
        <v>0.27707565837179199</v>
      </c>
      <c r="H46" s="72">
        <f t="shared" si="2"/>
        <v>17577165.302171618</v>
      </c>
      <c r="I46" s="73">
        <f t="shared" si="3"/>
        <v>17777231.20329215</v>
      </c>
      <c r="J46" s="73">
        <f t="shared" si="4"/>
        <v>21126032.395259939</v>
      </c>
      <c r="K46" s="73">
        <f t="shared" si="5"/>
        <v>56480428.900723703</v>
      </c>
      <c r="L46" s="194">
        <f t="shared" si="6"/>
        <v>0.22222845818839787</v>
      </c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</row>
    <row r="47" spans="1:54">
      <c r="A47" s="59" t="s">
        <v>40</v>
      </c>
      <c r="B47" s="372">
        <v>906</v>
      </c>
      <c r="C47" s="167">
        <f t="shared" si="0"/>
        <v>1.5662703507097141E-4</v>
      </c>
      <c r="D47" s="120">
        <v>1093</v>
      </c>
      <c r="E47" s="380">
        <f t="shared" si="1"/>
        <v>1.9223030773733143E-4</v>
      </c>
      <c r="F47" s="60"/>
      <c r="G47" s="170">
        <f>+'[5]COEF Art 14 F I'!AD47</f>
        <v>1.8089315329689922E-3</v>
      </c>
      <c r="H47" s="72">
        <f t="shared" si="2"/>
        <v>13932.629360930579</v>
      </c>
      <c r="I47" s="73">
        <f t="shared" si="3"/>
        <v>17099.689261360756</v>
      </c>
      <c r="J47" s="73">
        <f t="shared" si="4"/>
        <v>137924.58850726936</v>
      </c>
      <c r="K47" s="73">
        <f t="shared" si="5"/>
        <v>168956.90712956071</v>
      </c>
      <c r="L47" s="194">
        <f t="shared" si="6"/>
        <v>6.6477952987360376E-4</v>
      </c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</row>
    <row r="48" spans="1:54">
      <c r="A48" s="59" t="s">
        <v>41</v>
      </c>
      <c r="B48" s="372">
        <v>147624</v>
      </c>
      <c r="C48" s="167">
        <f t="shared" si="0"/>
        <v>2.5520871330372057E-2</v>
      </c>
      <c r="D48" s="120">
        <v>115959</v>
      </c>
      <c r="E48" s="380">
        <f t="shared" si="1"/>
        <v>2.0394175896535423E-2</v>
      </c>
      <c r="F48" s="60"/>
      <c r="G48" s="170">
        <f>+'[5]COEF Art 14 F I'!AD48</f>
        <v>1.3203929026731799E-2</v>
      </c>
      <c r="H48" s="72">
        <f t="shared" si="2"/>
        <v>2270188.1642141454</v>
      </c>
      <c r="I48" s="73">
        <f t="shared" si="3"/>
        <v>1814147.1793761502</v>
      </c>
      <c r="J48" s="73">
        <f t="shared" si="4"/>
        <v>1006752.574378607</v>
      </c>
      <c r="K48" s="73">
        <f t="shared" si="5"/>
        <v>5091087.9179689027</v>
      </c>
      <c r="L48" s="194">
        <f t="shared" si="6"/>
        <v>2.0031445237437159E-2</v>
      </c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</row>
    <row r="49" spans="1:54">
      <c r="A49" s="59" t="s">
        <v>42</v>
      </c>
      <c r="B49" s="372">
        <v>5389</v>
      </c>
      <c r="C49" s="167">
        <f t="shared" si="0"/>
        <v>9.3163696688461914E-4</v>
      </c>
      <c r="D49" s="120">
        <v>5221</v>
      </c>
      <c r="E49" s="380">
        <f t="shared" si="1"/>
        <v>9.1823827694108642E-4</v>
      </c>
      <c r="F49" s="60"/>
      <c r="G49" s="170">
        <f>+'[5]COEF Art 14 F I'!AD49</f>
        <v>2.0260046846398766E-3</v>
      </c>
      <c r="H49" s="72">
        <f t="shared" si="2"/>
        <v>82873.001794762575</v>
      </c>
      <c r="I49" s="73">
        <f t="shared" si="3"/>
        <v>81681.132327140454</v>
      </c>
      <c r="J49" s="73">
        <f t="shared" si="4"/>
        <v>154475.64341151045</v>
      </c>
      <c r="K49" s="73">
        <f t="shared" si="5"/>
        <v>319029.77753341349</v>
      </c>
      <c r="L49" s="194">
        <f t="shared" si="6"/>
        <v>1.2552577407309602E-3</v>
      </c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</row>
    <row r="50" spans="1:54">
      <c r="A50" s="59" t="s">
        <v>43</v>
      </c>
      <c r="B50" s="372">
        <v>2377</v>
      </c>
      <c r="C50" s="167">
        <f t="shared" si="0"/>
        <v>4.1092987015860824E-4</v>
      </c>
      <c r="D50" s="120">
        <v>3029</v>
      </c>
      <c r="E50" s="380">
        <f t="shared" si="1"/>
        <v>5.3272241732513898E-4</v>
      </c>
      <c r="F50" s="60"/>
      <c r="G50" s="170">
        <f>+'[5]COEF Art 14 F I'!AD50</f>
        <v>1.8702207390391594E-3</v>
      </c>
      <c r="H50" s="72">
        <f t="shared" si="2"/>
        <v>36553.929349814556</v>
      </c>
      <c r="I50" s="73">
        <f t="shared" si="3"/>
        <v>47387.885427869835</v>
      </c>
      <c r="J50" s="73">
        <f t="shared" si="4"/>
        <v>142597.67224377245</v>
      </c>
      <c r="K50" s="73">
        <f t="shared" si="5"/>
        <v>226539.48702145685</v>
      </c>
      <c r="L50" s="194">
        <f t="shared" si="6"/>
        <v>8.9134452233105934E-4</v>
      </c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</row>
    <row r="51" spans="1:54">
      <c r="A51" s="59" t="s">
        <v>44</v>
      </c>
      <c r="B51" s="372">
        <v>34709</v>
      </c>
      <c r="C51" s="167">
        <f t="shared" si="0"/>
        <v>6.0004059164220159E-3</v>
      </c>
      <c r="D51" s="120">
        <v>39518</v>
      </c>
      <c r="E51" s="380">
        <f t="shared" si="1"/>
        <v>6.9501896625469937E-3</v>
      </c>
      <c r="F51" s="60"/>
      <c r="G51" s="170">
        <f>+'[5]COEF Art 14 F I'!AD51</f>
        <v>4.9248968041598028E-3</v>
      </c>
      <c r="H51" s="72">
        <f t="shared" si="2"/>
        <v>533761.18376218481</v>
      </c>
      <c r="I51" s="73">
        <f t="shared" si="3"/>
        <v>618248.41741121176</v>
      </c>
      <c r="J51" s="73">
        <f t="shared" si="4"/>
        <v>375505.84572962404</v>
      </c>
      <c r="K51" s="73">
        <f t="shared" si="5"/>
        <v>1527515.4469030206</v>
      </c>
      <c r="L51" s="194">
        <f t="shared" si="6"/>
        <v>6.0101774938870946E-3</v>
      </c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</row>
    <row r="52" spans="1:54">
      <c r="A52" s="59" t="s">
        <v>45</v>
      </c>
      <c r="B52" s="372">
        <v>86766</v>
      </c>
      <c r="C52" s="167">
        <f t="shared" si="0"/>
        <v>1.4999891087161044E-2</v>
      </c>
      <c r="D52" s="120">
        <v>63214</v>
      </c>
      <c r="E52" s="380">
        <f t="shared" si="1"/>
        <v>1.1117700524526687E-2</v>
      </c>
      <c r="F52" s="60"/>
      <c r="G52" s="170">
        <f>+'[5]COEF Art 14 F I'!AD52</f>
        <v>1.0127615153614209E-2</v>
      </c>
      <c r="H52" s="72">
        <f t="shared" si="2"/>
        <v>1334303.0012477953</v>
      </c>
      <c r="I52" s="73">
        <f t="shared" si="3"/>
        <v>988965.92586245097</v>
      </c>
      <c r="J52" s="73">
        <f t="shared" si="4"/>
        <v>772194.59507656738</v>
      </c>
      <c r="K52" s="73">
        <f t="shared" si="5"/>
        <v>3095463.5221868139</v>
      </c>
      <c r="L52" s="194">
        <f t="shared" si="6"/>
        <v>1.217944161017497E-2</v>
      </c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</row>
    <row r="53" spans="1:54">
      <c r="A53" s="59" t="s">
        <v>46</v>
      </c>
      <c r="B53" s="372">
        <v>412199</v>
      </c>
      <c r="C53" s="167">
        <f t="shared" si="0"/>
        <v>7.125994175410523E-2</v>
      </c>
      <c r="D53" s="120">
        <v>476051</v>
      </c>
      <c r="E53" s="380">
        <f t="shared" si="1"/>
        <v>8.3725004783773441E-2</v>
      </c>
      <c r="F53" s="60"/>
      <c r="G53" s="170">
        <f>+'[5]COEF Art 14 F I'!AD53</f>
        <v>6.5936400536825229E-2</v>
      </c>
      <c r="H53" s="72">
        <f t="shared" si="2"/>
        <v>6338869.6357022328</v>
      </c>
      <c r="I53" s="73">
        <f t="shared" si="3"/>
        <v>7447689.0874291398</v>
      </c>
      <c r="J53" s="73">
        <f t="shared" si="4"/>
        <v>5027415.767785172</v>
      </c>
      <c r="K53" s="73">
        <f t="shared" si="5"/>
        <v>18813974.490916546</v>
      </c>
      <c r="L53" s="194">
        <f t="shared" si="6"/>
        <v>7.4025651449305119E-2</v>
      </c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</row>
    <row r="54" spans="1:54">
      <c r="A54" s="59" t="s">
        <v>47</v>
      </c>
      <c r="B54" s="372">
        <v>132169</v>
      </c>
      <c r="C54" s="167">
        <f t="shared" si="0"/>
        <v>2.2849049225491413E-2</v>
      </c>
      <c r="D54" s="120">
        <v>138945</v>
      </c>
      <c r="E54" s="380">
        <f t="shared" si="1"/>
        <v>2.4436816201796448E-2</v>
      </c>
      <c r="F54" s="60"/>
      <c r="G54" s="170">
        <f>+'[5]COEF Art 14 F I'!AD54</f>
        <v>0.12491764252947457</v>
      </c>
      <c r="H54" s="72">
        <f t="shared" si="2"/>
        <v>2032518.4216388892</v>
      </c>
      <c r="I54" s="73">
        <f t="shared" si="3"/>
        <v>2173756.9299357459</v>
      </c>
      <c r="J54" s="73">
        <f t="shared" si="4"/>
        <v>9524525.4611144438</v>
      </c>
      <c r="K54" s="73">
        <f t="shared" si="5"/>
        <v>13730800.812689079</v>
      </c>
      <c r="L54" s="194">
        <f t="shared" si="6"/>
        <v>5.402534565839312E-2</v>
      </c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</row>
    <row r="55" spans="1:54">
      <c r="A55" s="59" t="s">
        <v>48</v>
      </c>
      <c r="B55" s="372">
        <v>306322</v>
      </c>
      <c r="C55" s="167">
        <f t="shared" si="0"/>
        <v>5.2956188341070756E-2</v>
      </c>
      <c r="D55" s="120">
        <v>325468</v>
      </c>
      <c r="E55" s="380">
        <f t="shared" si="1"/>
        <v>5.7241366695932105E-2</v>
      </c>
      <c r="F55" s="60"/>
      <c r="G55" s="170">
        <f>+'[5]COEF Art 14 F I'!AD55</f>
        <v>3.5496180898842836E-2</v>
      </c>
      <c r="H55" s="72">
        <f t="shared" si="2"/>
        <v>4710674.2727361778</v>
      </c>
      <c r="I55" s="73">
        <f t="shared" si="3"/>
        <v>5091858.796446993</v>
      </c>
      <c r="J55" s="73">
        <f t="shared" si="4"/>
        <v>2706457.4058350576</v>
      </c>
      <c r="K55" s="73">
        <f t="shared" si="5"/>
        <v>12508990.475018229</v>
      </c>
      <c r="L55" s="194">
        <f t="shared" si="6"/>
        <v>4.9217998532603863E-2</v>
      </c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</row>
    <row r="56" spans="1:54">
      <c r="A56" s="59" t="s">
        <v>49</v>
      </c>
      <c r="B56" s="372">
        <v>46784</v>
      </c>
      <c r="C56" s="167">
        <f t="shared" si="0"/>
        <v>8.0879019964242016E-3</v>
      </c>
      <c r="D56" s="120">
        <v>47500</v>
      </c>
      <c r="E56" s="380">
        <f t="shared" si="1"/>
        <v>8.3540161185025105E-3</v>
      </c>
      <c r="F56" s="60"/>
      <c r="G56" s="170">
        <f>+'[5]COEF Art 14 F I'!AD56</f>
        <v>1.5613413336510546E-2</v>
      </c>
      <c r="H56" s="72">
        <f t="shared" si="2"/>
        <v>719452.68435074633</v>
      </c>
      <c r="I56" s="73">
        <f t="shared" si="3"/>
        <v>743124.64768036234</v>
      </c>
      <c r="J56" s="73">
        <f t="shared" si="4"/>
        <v>1190467.1737894029</v>
      </c>
      <c r="K56" s="73">
        <f t="shared" si="5"/>
        <v>2653044.5058205118</v>
      </c>
      <c r="L56" s="194">
        <f t="shared" si="6"/>
        <v>1.0438695341177515E-2</v>
      </c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</row>
    <row r="57" spans="1:54">
      <c r="A57" s="59" t="s">
        <v>50</v>
      </c>
      <c r="B57" s="372">
        <v>1552</v>
      </c>
      <c r="C57" s="167">
        <f t="shared" si="0"/>
        <v>2.6830591438206137E-4</v>
      </c>
      <c r="D57" s="120">
        <v>1963</v>
      </c>
      <c r="E57" s="380">
        <f t="shared" si="1"/>
        <v>3.4524070822358792E-4</v>
      </c>
      <c r="F57" s="60"/>
      <c r="G57" s="170">
        <f>+'[5]COEF Art 14 F I'!AD57</f>
        <v>2.8135532508979646E-3</v>
      </c>
      <c r="H57" s="72">
        <f t="shared" si="2"/>
        <v>23866.932415192336</v>
      </c>
      <c r="I57" s="73">
        <f t="shared" si="3"/>
        <v>30710.603860980023</v>
      </c>
      <c r="J57" s="73">
        <f t="shared" si="4"/>
        <v>214523.41744326463</v>
      </c>
      <c r="K57" s="73">
        <f t="shared" si="5"/>
        <v>269100.95371943701</v>
      </c>
      <c r="L57" s="194">
        <f t="shared" si="6"/>
        <v>1.0588072931813667E-3</v>
      </c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</row>
    <row r="58" spans="1:54">
      <c r="A58" s="59" t="s">
        <v>51</v>
      </c>
      <c r="B58" s="372">
        <v>3573</v>
      </c>
      <c r="C58" s="167">
        <f t="shared" si="0"/>
        <v>6.1769138665406279E-4</v>
      </c>
      <c r="D58" s="120">
        <v>4615</v>
      </c>
      <c r="E58" s="380">
        <f t="shared" si="1"/>
        <v>8.1165861867134911E-4</v>
      </c>
      <c r="F58" s="60"/>
      <c r="G58" s="170">
        <f>+'[5]COEF Art 14 F I'!AD58</f>
        <v>2.4039043518982906E-3</v>
      </c>
      <c r="H58" s="72">
        <f t="shared" si="2"/>
        <v>54946.230360491129</v>
      </c>
      <c r="I58" s="73">
        <f t="shared" si="3"/>
        <v>72200.426295681507</v>
      </c>
      <c r="J58" s="73">
        <f t="shared" si="4"/>
        <v>183289.14749040926</v>
      </c>
      <c r="K58" s="73">
        <f t="shared" si="5"/>
        <v>310435.80414658191</v>
      </c>
      <c r="L58" s="194">
        <f t="shared" si="6"/>
        <v>1.2214438074333814E-3</v>
      </c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</row>
    <row r="59" spans="1:54" ht="13.5" thickBot="1">
      <c r="A59" s="61" t="s">
        <v>52</v>
      </c>
      <c r="B59" s="373">
        <f>SUM(B8:B58)</f>
        <v>5784442</v>
      </c>
      <c r="C59" s="168">
        <f>SUM(C8:C58)</f>
        <v>1.0000000000000002</v>
      </c>
      <c r="D59" s="121">
        <f>SUM(D8:D58)</f>
        <v>5685888</v>
      </c>
      <c r="E59" s="382">
        <f t="shared" si="1"/>
        <v>1</v>
      </c>
      <c r="F59" s="60"/>
      <c r="G59" s="171">
        <f t="shared" ref="G59:L59" si="7">SUM(G8:G58)</f>
        <v>1</v>
      </c>
      <c r="H59" s="74">
        <f t="shared" si="7"/>
        <v>88954179.299999967</v>
      </c>
      <c r="I59" s="75">
        <f t="shared" si="7"/>
        <v>88954179.299999967</v>
      </c>
      <c r="J59" s="75">
        <f t="shared" si="7"/>
        <v>76246439.400000006</v>
      </c>
      <c r="K59" s="75">
        <f t="shared" si="7"/>
        <v>254154797.99999997</v>
      </c>
      <c r="L59" s="172">
        <f t="shared" si="7"/>
        <v>1</v>
      </c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</row>
    <row r="60" spans="1:54" ht="13.5" thickTop="1">
      <c r="A60" s="60" t="s">
        <v>339</v>
      </c>
      <c r="B60" s="60"/>
      <c r="C60" s="63"/>
      <c r="D60" s="60"/>
      <c r="E60" s="63"/>
      <c r="F60" s="60"/>
      <c r="G60" s="63"/>
      <c r="H60" s="60"/>
      <c r="I60" s="60"/>
      <c r="J60" s="60"/>
      <c r="K60" s="60"/>
      <c r="L60" s="63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</row>
    <row r="61" spans="1:54" ht="15.75" customHeight="1">
      <c r="A61" s="60" t="s">
        <v>72</v>
      </c>
      <c r="B61" s="60"/>
      <c r="C61" s="63"/>
      <c r="D61" s="60"/>
      <c r="E61" s="63"/>
      <c r="F61" s="60"/>
      <c r="G61" s="63"/>
      <c r="H61" s="60"/>
      <c r="I61" s="60"/>
      <c r="J61" s="60"/>
      <c r="K61" s="60"/>
      <c r="L61" s="63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</row>
    <row r="62" spans="1:54">
      <c r="A62" s="60" t="s">
        <v>222</v>
      </c>
      <c r="B62" s="60"/>
      <c r="C62" s="63"/>
      <c r="D62" s="60"/>
      <c r="E62" s="63"/>
      <c r="F62" s="60"/>
      <c r="G62" s="63"/>
      <c r="H62" s="60"/>
      <c r="I62" s="60"/>
      <c r="J62" s="60"/>
      <c r="K62" s="60"/>
      <c r="L62" s="63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</row>
    <row r="63" spans="1:54">
      <c r="A63" s="60" t="s">
        <v>98</v>
      </c>
      <c r="B63" s="60"/>
      <c r="C63" s="63"/>
      <c r="D63" s="60"/>
      <c r="E63" s="63"/>
      <c r="F63" s="60"/>
      <c r="G63" s="63"/>
      <c r="H63" s="60"/>
      <c r="I63" s="60"/>
      <c r="J63" s="60"/>
      <c r="K63" s="60"/>
      <c r="L63" s="63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</row>
    <row r="64" spans="1:54">
      <c r="A64" s="60"/>
      <c r="B64" s="60"/>
      <c r="C64" s="63"/>
      <c r="D64" s="60"/>
      <c r="E64" s="63"/>
      <c r="F64" s="60"/>
      <c r="G64" s="63"/>
      <c r="H64" s="60"/>
      <c r="I64" s="60"/>
      <c r="J64" s="60"/>
      <c r="K64" s="60"/>
      <c r="L64" s="63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</row>
    <row r="65" spans="1:54">
      <c r="A65" s="60"/>
      <c r="B65" s="60"/>
      <c r="C65" s="63"/>
      <c r="D65" s="60"/>
      <c r="E65" s="63"/>
      <c r="F65" s="60"/>
      <c r="G65" s="63"/>
      <c r="H65" s="60"/>
      <c r="I65" s="60"/>
      <c r="J65" s="60"/>
      <c r="K65" s="60"/>
      <c r="L65" s="63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</row>
    <row r="66" spans="1:54">
      <c r="A66" s="60"/>
      <c r="B66" s="60"/>
      <c r="C66" s="63"/>
      <c r="D66" s="60"/>
      <c r="E66" s="63"/>
      <c r="F66" s="60"/>
      <c r="G66" s="63"/>
      <c r="H66" s="60"/>
      <c r="I66" s="60"/>
      <c r="J66" s="60"/>
      <c r="K66" s="60"/>
      <c r="L66" s="63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</row>
    <row r="67" spans="1:54">
      <c r="A67" s="60"/>
      <c r="B67" s="60"/>
      <c r="C67" s="63"/>
      <c r="D67" s="60"/>
      <c r="E67" s="63"/>
      <c r="F67" s="60"/>
      <c r="G67" s="63"/>
      <c r="H67" s="60"/>
      <c r="I67" s="60"/>
      <c r="J67" s="60"/>
      <c r="K67" s="60"/>
      <c r="L67" s="63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</row>
    <row r="68" spans="1:54">
      <c r="A68" s="60"/>
      <c r="B68" s="60"/>
      <c r="C68" s="63"/>
      <c r="D68" s="60"/>
      <c r="E68" s="63"/>
      <c r="F68" s="60"/>
      <c r="G68" s="63"/>
      <c r="H68" s="60"/>
      <c r="I68" s="60"/>
      <c r="J68" s="60"/>
      <c r="K68" s="60"/>
      <c r="L68" s="63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</row>
    <row r="69" spans="1:54">
      <c r="A69" s="60"/>
      <c r="B69" s="60"/>
      <c r="C69" s="63"/>
      <c r="D69" s="60"/>
      <c r="E69" s="63"/>
      <c r="F69" s="60"/>
      <c r="G69" s="63"/>
      <c r="H69" s="60"/>
      <c r="I69" s="60"/>
      <c r="J69" s="60"/>
      <c r="K69" s="60"/>
      <c r="L69" s="63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</row>
    <row r="70" spans="1:54">
      <c r="A70" s="60"/>
      <c r="B70" s="60"/>
      <c r="C70" s="63"/>
      <c r="D70" s="60"/>
      <c r="E70" s="63"/>
      <c r="F70" s="60"/>
      <c r="G70" s="63"/>
      <c r="H70" s="60"/>
      <c r="I70" s="60"/>
      <c r="J70" s="60"/>
      <c r="K70" s="60"/>
      <c r="L70" s="63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</row>
    <row r="71" spans="1:54">
      <c r="A71" s="60"/>
      <c r="B71" s="60"/>
      <c r="C71" s="63"/>
      <c r="D71" s="60"/>
      <c r="E71" s="63"/>
      <c r="F71" s="60"/>
      <c r="G71" s="63"/>
      <c r="H71" s="60"/>
      <c r="I71" s="60"/>
      <c r="J71" s="60"/>
      <c r="K71" s="60"/>
      <c r="L71" s="63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</row>
    <row r="72" spans="1:54">
      <c r="A72" s="60"/>
      <c r="B72" s="60"/>
      <c r="C72" s="63"/>
      <c r="D72" s="60"/>
      <c r="E72" s="63"/>
      <c r="F72" s="60"/>
      <c r="G72" s="63"/>
      <c r="H72" s="60"/>
      <c r="I72" s="60"/>
      <c r="J72" s="60"/>
      <c r="K72" s="60"/>
      <c r="L72" s="63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</row>
    <row r="73" spans="1:54">
      <c r="A73" s="60"/>
      <c r="B73" s="60"/>
      <c r="C73" s="63"/>
      <c r="D73" s="60"/>
      <c r="E73" s="63"/>
      <c r="F73" s="60"/>
      <c r="G73" s="63"/>
      <c r="H73" s="60"/>
      <c r="I73" s="60"/>
      <c r="J73" s="60"/>
      <c r="K73" s="60"/>
      <c r="L73" s="63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</row>
    <row r="74" spans="1:54">
      <c r="A74" s="60"/>
      <c r="B74" s="60"/>
      <c r="C74" s="63"/>
      <c r="D74" s="60"/>
      <c r="E74" s="63"/>
      <c r="F74" s="60"/>
      <c r="G74" s="63"/>
      <c r="H74" s="60"/>
      <c r="I74" s="60"/>
      <c r="J74" s="60"/>
      <c r="K74" s="60"/>
      <c r="L74" s="63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</row>
    <row r="75" spans="1:54">
      <c r="A75" s="60"/>
      <c r="B75" s="60"/>
      <c r="C75" s="63"/>
      <c r="D75" s="60"/>
      <c r="E75" s="63"/>
      <c r="F75" s="60"/>
      <c r="G75" s="63"/>
      <c r="H75" s="60"/>
      <c r="I75" s="60"/>
      <c r="J75" s="60"/>
      <c r="K75" s="60"/>
      <c r="L75" s="63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</row>
    <row r="76" spans="1:54">
      <c r="A76" s="60"/>
      <c r="B76" s="60"/>
      <c r="C76" s="63"/>
      <c r="D76" s="60"/>
      <c r="E76" s="63"/>
      <c r="F76" s="60"/>
      <c r="G76" s="63"/>
      <c r="H76" s="60"/>
      <c r="I76" s="60"/>
      <c r="J76" s="60"/>
      <c r="K76" s="60"/>
      <c r="L76" s="63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</row>
    <row r="77" spans="1:54">
      <c r="A77" s="60"/>
      <c r="B77" s="60"/>
      <c r="C77" s="63"/>
      <c r="D77" s="60"/>
      <c r="E77" s="63"/>
      <c r="F77" s="60"/>
      <c r="G77" s="63"/>
      <c r="H77" s="60"/>
      <c r="I77" s="60"/>
      <c r="J77" s="60"/>
      <c r="K77" s="60"/>
      <c r="L77" s="63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</row>
    <row r="78" spans="1:54">
      <c r="A78" s="60"/>
      <c r="B78" s="60"/>
      <c r="C78" s="63"/>
      <c r="D78" s="60"/>
      <c r="E78" s="63"/>
      <c r="F78" s="60"/>
      <c r="G78" s="63"/>
      <c r="H78" s="60"/>
      <c r="I78" s="60"/>
      <c r="J78" s="60"/>
      <c r="K78" s="60"/>
      <c r="L78" s="63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</row>
    <row r="79" spans="1:54">
      <c r="A79" s="60"/>
      <c r="B79" s="60"/>
      <c r="C79" s="63"/>
      <c r="D79" s="60"/>
      <c r="E79" s="63"/>
      <c r="F79" s="60"/>
      <c r="G79" s="63"/>
      <c r="H79" s="60"/>
      <c r="I79" s="60"/>
      <c r="J79" s="60"/>
      <c r="K79" s="60"/>
      <c r="L79" s="63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</row>
    <row r="80" spans="1:54">
      <c r="A80" s="60"/>
      <c r="B80" s="60"/>
      <c r="C80" s="63"/>
      <c r="D80" s="60"/>
      <c r="E80" s="63"/>
      <c r="F80" s="60"/>
      <c r="G80" s="63"/>
      <c r="H80" s="60"/>
      <c r="I80" s="60"/>
      <c r="J80" s="60"/>
      <c r="K80" s="60"/>
      <c r="L80" s="63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</row>
    <row r="81" spans="1:54">
      <c r="A81" s="60"/>
      <c r="B81" s="60"/>
      <c r="C81" s="63"/>
      <c r="D81" s="60"/>
      <c r="E81" s="63"/>
      <c r="F81" s="60"/>
      <c r="G81" s="63"/>
      <c r="H81" s="60"/>
      <c r="I81" s="60"/>
      <c r="J81" s="60"/>
      <c r="K81" s="60"/>
      <c r="L81" s="63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</row>
    <row r="82" spans="1:54">
      <c r="A82" s="60"/>
      <c r="B82" s="60"/>
      <c r="C82" s="63"/>
      <c r="D82" s="60"/>
      <c r="E82" s="63"/>
      <c r="F82" s="60"/>
      <c r="G82" s="63"/>
      <c r="H82" s="60"/>
      <c r="I82" s="60"/>
      <c r="J82" s="60"/>
      <c r="K82" s="60"/>
      <c r="L82" s="63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</row>
    <row r="83" spans="1:54">
      <c r="A83" s="60"/>
      <c r="B83" s="60"/>
      <c r="C83" s="63"/>
      <c r="D83" s="60"/>
      <c r="E83" s="63"/>
      <c r="F83" s="60"/>
      <c r="G83" s="63"/>
      <c r="H83" s="60"/>
      <c r="I83" s="60"/>
      <c r="J83" s="60"/>
      <c r="K83" s="60"/>
      <c r="L83" s="63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</row>
    <row r="84" spans="1:54">
      <c r="A84" s="60"/>
      <c r="B84" s="60"/>
      <c r="C84" s="63"/>
      <c r="D84" s="60"/>
      <c r="E84" s="63"/>
      <c r="F84" s="60"/>
      <c r="G84" s="63"/>
      <c r="H84" s="60"/>
      <c r="I84" s="60"/>
      <c r="J84" s="60"/>
      <c r="K84" s="60"/>
      <c r="L84" s="63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</row>
    <row r="85" spans="1:54">
      <c r="A85" s="60"/>
      <c r="B85" s="60"/>
      <c r="C85" s="63"/>
      <c r="D85" s="60"/>
      <c r="E85" s="63"/>
      <c r="F85" s="60"/>
      <c r="G85" s="63"/>
      <c r="H85" s="60"/>
      <c r="I85" s="60"/>
      <c r="J85" s="60"/>
      <c r="K85" s="60"/>
      <c r="L85" s="63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</row>
    <row r="86" spans="1:54">
      <c r="A86" s="60"/>
      <c r="B86" s="60"/>
      <c r="C86" s="63"/>
      <c r="D86" s="60"/>
      <c r="E86" s="63"/>
      <c r="F86" s="60"/>
      <c r="G86" s="63"/>
      <c r="H86" s="60"/>
      <c r="I86" s="60"/>
      <c r="J86" s="60"/>
      <c r="K86" s="60"/>
      <c r="L86" s="63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</row>
    <row r="87" spans="1:54">
      <c r="A87" s="60"/>
      <c r="B87" s="60"/>
      <c r="C87" s="63"/>
      <c r="D87" s="60"/>
      <c r="E87" s="63"/>
      <c r="F87" s="60"/>
      <c r="G87" s="63"/>
      <c r="H87" s="60"/>
      <c r="I87" s="60"/>
      <c r="J87" s="60"/>
      <c r="K87" s="60"/>
      <c r="L87" s="63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</row>
    <row r="88" spans="1:54">
      <c r="A88" s="60"/>
      <c r="B88" s="60"/>
      <c r="C88" s="63"/>
      <c r="D88" s="60"/>
      <c r="E88" s="63"/>
      <c r="F88" s="60"/>
      <c r="G88" s="63"/>
      <c r="H88" s="60"/>
      <c r="I88" s="60"/>
      <c r="J88" s="60"/>
      <c r="K88" s="60"/>
      <c r="L88" s="63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</row>
    <row r="89" spans="1:54">
      <c r="A89" s="60"/>
      <c r="B89" s="60"/>
      <c r="C89" s="63"/>
      <c r="D89" s="60"/>
      <c r="E89" s="63"/>
      <c r="F89" s="60"/>
      <c r="G89" s="63"/>
      <c r="H89" s="60"/>
      <c r="I89" s="60"/>
      <c r="J89" s="60"/>
      <c r="K89" s="60"/>
      <c r="L89" s="63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</row>
    <row r="90" spans="1:54">
      <c r="A90" s="60"/>
      <c r="B90" s="60"/>
      <c r="C90" s="63"/>
      <c r="D90" s="60"/>
      <c r="E90" s="63"/>
      <c r="F90" s="60"/>
      <c r="G90" s="63"/>
      <c r="H90" s="60"/>
      <c r="I90" s="60"/>
      <c r="J90" s="60"/>
      <c r="K90" s="60"/>
      <c r="L90" s="63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</row>
    <row r="91" spans="1:54">
      <c r="A91" s="60"/>
      <c r="B91" s="60"/>
      <c r="C91" s="63"/>
      <c r="D91" s="60"/>
      <c r="E91" s="63"/>
      <c r="F91" s="60"/>
      <c r="G91" s="63"/>
      <c r="H91" s="60"/>
      <c r="I91" s="60"/>
      <c r="J91" s="60"/>
      <c r="K91" s="60"/>
      <c r="L91" s="63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</row>
    <row r="92" spans="1:54">
      <c r="A92" s="60"/>
      <c r="B92" s="60"/>
      <c r="C92" s="63"/>
      <c r="D92" s="60"/>
      <c r="E92" s="63"/>
      <c r="F92" s="60"/>
      <c r="G92" s="63"/>
      <c r="H92" s="60"/>
      <c r="I92" s="60"/>
      <c r="J92" s="60"/>
      <c r="K92" s="60"/>
      <c r="L92" s="63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</row>
    <row r="93" spans="1:54">
      <c r="A93" s="60"/>
      <c r="B93" s="60"/>
      <c r="C93" s="63"/>
      <c r="D93" s="60"/>
      <c r="E93" s="63"/>
      <c r="F93" s="60"/>
      <c r="G93" s="63"/>
      <c r="H93" s="60"/>
      <c r="I93" s="60"/>
      <c r="J93" s="60"/>
      <c r="K93" s="60"/>
      <c r="L93" s="63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</row>
    <row r="94" spans="1:54">
      <c r="A94" s="60"/>
      <c r="B94" s="60"/>
      <c r="C94" s="63"/>
      <c r="D94" s="60"/>
      <c r="E94" s="63"/>
      <c r="F94" s="60"/>
      <c r="G94" s="63"/>
      <c r="H94" s="60"/>
      <c r="I94" s="60"/>
      <c r="J94" s="60"/>
      <c r="K94" s="60"/>
      <c r="L94" s="63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</row>
    <row r="95" spans="1:54">
      <c r="A95" s="60"/>
      <c r="B95" s="60"/>
      <c r="C95" s="63"/>
      <c r="D95" s="60"/>
      <c r="E95" s="63"/>
      <c r="F95" s="60"/>
      <c r="G95" s="63"/>
      <c r="H95" s="60"/>
      <c r="I95" s="60"/>
      <c r="J95" s="60"/>
      <c r="K95" s="60"/>
      <c r="L95" s="63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</row>
    <row r="96" spans="1:54">
      <c r="A96" s="60"/>
      <c r="B96" s="60"/>
      <c r="C96" s="63"/>
      <c r="D96" s="60"/>
      <c r="E96" s="63"/>
      <c r="F96" s="60"/>
      <c r="G96" s="63"/>
      <c r="H96" s="60"/>
      <c r="I96" s="60"/>
      <c r="J96" s="60"/>
      <c r="K96" s="60"/>
      <c r="L96" s="63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</row>
    <row r="97" spans="1:54">
      <c r="A97" s="60"/>
      <c r="B97" s="60"/>
      <c r="C97" s="63"/>
      <c r="D97" s="60"/>
      <c r="E97" s="63"/>
      <c r="F97" s="60"/>
      <c r="G97" s="63"/>
      <c r="H97" s="60"/>
      <c r="I97" s="60"/>
      <c r="J97" s="60"/>
      <c r="K97" s="60"/>
      <c r="L97" s="63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</row>
    <row r="98" spans="1:54">
      <c r="A98" s="60"/>
      <c r="B98" s="60"/>
      <c r="C98" s="63"/>
      <c r="D98" s="60"/>
      <c r="E98" s="63"/>
      <c r="F98" s="60"/>
      <c r="G98" s="63"/>
      <c r="H98" s="60"/>
      <c r="I98" s="60"/>
      <c r="J98" s="60"/>
      <c r="K98" s="60"/>
      <c r="L98" s="63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</row>
    <row r="99" spans="1:54">
      <c r="A99" s="60"/>
      <c r="B99" s="60"/>
      <c r="C99" s="63"/>
      <c r="D99" s="60"/>
      <c r="E99" s="63"/>
      <c r="F99" s="60"/>
      <c r="G99" s="63"/>
      <c r="H99" s="60"/>
      <c r="I99" s="60"/>
      <c r="J99" s="60"/>
      <c r="K99" s="60"/>
      <c r="L99" s="63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</row>
    <row r="100" spans="1:54">
      <c r="A100" s="60"/>
      <c r="B100" s="60"/>
      <c r="C100" s="63"/>
      <c r="D100" s="60"/>
      <c r="E100" s="63"/>
      <c r="F100" s="60"/>
      <c r="G100" s="63"/>
      <c r="H100" s="60"/>
      <c r="I100" s="60"/>
      <c r="J100" s="60"/>
      <c r="K100" s="60"/>
      <c r="L100" s="63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</row>
    <row r="101" spans="1:54">
      <c r="A101" s="60"/>
      <c r="B101" s="60"/>
      <c r="C101" s="63"/>
      <c r="D101" s="60"/>
      <c r="E101" s="63"/>
      <c r="F101" s="60"/>
      <c r="G101" s="63"/>
      <c r="H101" s="60"/>
      <c r="I101" s="60"/>
      <c r="J101" s="60"/>
      <c r="K101" s="60"/>
      <c r="L101" s="63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</row>
    <row r="102" spans="1:54">
      <c r="A102" s="60"/>
      <c r="B102" s="60"/>
      <c r="C102" s="63"/>
      <c r="D102" s="60"/>
      <c r="E102" s="63"/>
      <c r="F102" s="60"/>
      <c r="G102" s="63"/>
      <c r="H102" s="60"/>
      <c r="I102" s="60"/>
      <c r="J102" s="60"/>
      <c r="K102" s="60"/>
      <c r="L102" s="63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</row>
    <row r="103" spans="1:54">
      <c r="A103" s="60"/>
      <c r="B103" s="60"/>
      <c r="C103" s="63"/>
      <c r="D103" s="60"/>
      <c r="E103" s="63"/>
      <c r="F103" s="60"/>
      <c r="G103" s="63"/>
      <c r="H103" s="60"/>
      <c r="I103" s="60"/>
      <c r="J103" s="60"/>
      <c r="K103" s="60"/>
      <c r="L103" s="63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</row>
    <row r="104" spans="1:54">
      <c r="A104" s="60"/>
      <c r="B104" s="60"/>
      <c r="C104" s="63"/>
      <c r="D104" s="60"/>
      <c r="E104" s="63"/>
      <c r="F104" s="60"/>
      <c r="G104" s="63"/>
      <c r="H104" s="60"/>
      <c r="I104" s="60"/>
      <c r="J104" s="60"/>
      <c r="K104" s="60"/>
      <c r="L104" s="63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</row>
    <row r="105" spans="1:54">
      <c r="A105" s="60"/>
      <c r="B105" s="60"/>
      <c r="C105" s="63"/>
      <c r="D105" s="60"/>
      <c r="E105" s="63"/>
      <c r="F105" s="60"/>
      <c r="G105" s="63"/>
      <c r="H105" s="60"/>
      <c r="I105" s="60"/>
      <c r="J105" s="60"/>
      <c r="K105" s="60"/>
      <c r="L105" s="63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</row>
    <row r="106" spans="1:54">
      <c r="A106" s="60"/>
      <c r="B106" s="60"/>
      <c r="C106" s="63"/>
      <c r="D106" s="60"/>
      <c r="E106" s="63"/>
      <c r="F106" s="60"/>
      <c r="G106" s="63"/>
      <c r="H106" s="60"/>
      <c r="I106" s="60"/>
      <c r="J106" s="60"/>
      <c r="K106" s="60"/>
      <c r="L106" s="63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</row>
    <row r="107" spans="1:54">
      <c r="A107" s="60"/>
      <c r="B107" s="60"/>
      <c r="C107" s="63"/>
      <c r="D107" s="60"/>
      <c r="E107" s="63"/>
      <c r="F107" s="60"/>
      <c r="G107" s="63"/>
      <c r="H107" s="60"/>
      <c r="I107" s="60"/>
      <c r="J107" s="60"/>
      <c r="K107" s="60"/>
      <c r="L107" s="63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</row>
    <row r="108" spans="1:54">
      <c r="A108" s="60"/>
      <c r="B108" s="60"/>
      <c r="C108" s="63"/>
      <c r="D108" s="60"/>
      <c r="E108" s="63"/>
      <c r="F108" s="60"/>
      <c r="G108" s="63"/>
      <c r="H108" s="60"/>
      <c r="I108" s="60"/>
      <c r="J108" s="60"/>
      <c r="K108" s="60"/>
      <c r="L108" s="63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</row>
    <row r="109" spans="1:54">
      <c r="A109" s="60"/>
      <c r="B109" s="60"/>
      <c r="C109" s="63"/>
      <c r="D109" s="60"/>
      <c r="E109" s="63"/>
      <c r="F109" s="60"/>
      <c r="G109" s="63"/>
      <c r="H109" s="60"/>
      <c r="I109" s="60"/>
      <c r="J109" s="60"/>
      <c r="K109" s="60"/>
      <c r="L109" s="63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</row>
    <row r="110" spans="1:54">
      <c r="A110" s="60"/>
      <c r="B110" s="60"/>
      <c r="C110" s="63"/>
      <c r="D110" s="60"/>
      <c r="E110" s="63"/>
      <c r="F110" s="60"/>
      <c r="G110" s="63"/>
      <c r="H110" s="60"/>
      <c r="I110" s="60"/>
      <c r="J110" s="60"/>
      <c r="K110" s="60"/>
      <c r="L110" s="63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</row>
    <row r="111" spans="1:54">
      <c r="A111" s="60"/>
      <c r="B111" s="60"/>
      <c r="C111" s="63"/>
      <c r="D111" s="60"/>
      <c r="E111" s="63"/>
      <c r="F111" s="60"/>
      <c r="G111" s="63"/>
      <c r="H111" s="60"/>
      <c r="I111" s="60"/>
      <c r="J111" s="60"/>
      <c r="K111" s="60"/>
      <c r="L111" s="63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</row>
    <row r="112" spans="1:54">
      <c r="A112" s="60"/>
      <c r="B112" s="60"/>
      <c r="C112" s="63"/>
      <c r="D112" s="60"/>
      <c r="E112" s="63"/>
      <c r="F112" s="60"/>
      <c r="G112" s="63"/>
      <c r="H112" s="60"/>
      <c r="I112" s="60"/>
      <c r="J112" s="60"/>
      <c r="K112" s="60"/>
      <c r="L112" s="63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</row>
    <row r="113" spans="1:54">
      <c r="A113" s="60"/>
      <c r="B113" s="60"/>
      <c r="C113" s="63"/>
      <c r="D113" s="60"/>
      <c r="E113" s="63"/>
      <c r="F113" s="60"/>
      <c r="G113" s="63"/>
      <c r="H113" s="60"/>
      <c r="I113" s="60"/>
      <c r="J113" s="60"/>
      <c r="K113" s="60"/>
      <c r="L113" s="63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</row>
    <row r="114" spans="1:54">
      <c r="A114" s="60"/>
      <c r="B114" s="60"/>
      <c r="C114" s="63"/>
      <c r="D114" s="60"/>
      <c r="E114" s="63"/>
      <c r="F114" s="60"/>
      <c r="G114" s="63"/>
      <c r="H114" s="60"/>
      <c r="I114" s="60"/>
      <c r="J114" s="60"/>
      <c r="K114" s="60"/>
      <c r="L114" s="63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</row>
    <row r="115" spans="1:54">
      <c r="A115" s="60"/>
      <c r="B115" s="60"/>
      <c r="C115" s="63"/>
      <c r="D115" s="60"/>
      <c r="E115" s="63"/>
      <c r="F115" s="60"/>
      <c r="G115" s="63"/>
      <c r="H115" s="60"/>
      <c r="I115" s="60"/>
      <c r="J115" s="60"/>
      <c r="K115" s="60"/>
      <c r="L115" s="63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</row>
    <row r="116" spans="1:54">
      <c r="A116" s="60"/>
      <c r="B116" s="60"/>
      <c r="C116" s="63"/>
      <c r="D116" s="60"/>
      <c r="E116" s="63"/>
      <c r="F116" s="60"/>
      <c r="G116" s="63"/>
      <c r="H116" s="60"/>
      <c r="I116" s="60"/>
      <c r="J116" s="60"/>
      <c r="K116" s="60"/>
      <c r="L116" s="63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</row>
    <row r="117" spans="1:54">
      <c r="A117" s="60"/>
      <c r="B117" s="60"/>
      <c r="C117" s="63"/>
      <c r="D117" s="60"/>
      <c r="E117" s="63"/>
      <c r="F117" s="60"/>
      <c r="G117" s="63"/>
      <c r="H117" s="60"/>
      <c r="I117" s="60"/>
      <c r="J117" s="60"/>
      <c r="K117" s="60"/>
      <c r="L117" s="63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</row>
    <row r="118" spans="1:54">
      <c r="A118" s="60"/>
      <c r="B118" s="60"/>
      <c r="C118" s="63"/>
      <c r="D118" s="60"/>
      <c r="E118" s="63"/>
      <c r="F118" s="60"/>
      <c r="G118" s="63"/>
      <c r="H118" s="60"/>
      <c r="I118" s="60"/>
      <c r="J118" s="60"/>
      <c r="K118" s="60"/>
      <c r="L118" s="63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</row>
    <row r="119" spans="1:54">
      <c r="A119" s="60"/>
      <c r="B119" s="60"/>
      <c r="C119" s="63"/>
      <c r="D119" s="60"/>
      <c r="E119" s="63"/>
      <c r="F119" s="60"/>
      <c r="G119" s="63"/>
      <c r="H119" s="60"/>
      <c r="I119" s="60"/>
      <c r="J119" s="60"/>
      <c r="K119" s="60"/>
      <c r="L119" s="63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</row>
    <row r="120" spans="1:54">
      <c r="A120" s="60"/>
      <c r="B120" s="60"/>
      <c r="C120" s="63"/>
      <c r="D120" s="60"/>
      <c r="E120" s="63"/>
      <c r="F120" s="60"/>
      <c r="G120" s="63"/>
      <c r="H120" s="60"/>
      <c r="I120" s="60"/>
      <c r="J120" s="60"/>
      <c r="K120" s="60"/>
      <c r="L120" s="63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</row>
    <row r="121" spans="1:54">
      <c r="A121" s="60"/>
      <c r="B121" s="60"/>
      <c r="C121" s="63"/>
      <c r="D121" s="60"/>
      <c r="E121" s="63"/>
      <c r="F121" s="60"/>
      <c r="G121" s="63"/>
      <c r="H121" s="60"/>
      <c r="I121" s="60"/>
      <c r="J121" s="60"/>
      <c r="K121" s="60"/>
      <c r="L121" s="63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</row>
    <row r="122" spans="1:54">
      <c r="A122" s="60"/>
      <c r="B122" s="60"/>
      <c r="C122" s="63"/>
      <c r="D122" s="60"/>
      <c r="E122" s="63"/>
      <c r="F122" s="60"/>
      <c r="G122" s="63"/>
      <c r="H122" s="60"/>
      <c r="I122" s="60"/>
      <c r="J122" s="60"/>
      <c r="K122" s="60"/>
      <c r="L122" s="6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</row>
    <row r="123" spans="1:54">
      <c r="A123" s="60"/>
      <c r="B123" s="60"/>
      <c r="C123" s="63"/>
      <c r="D123" s="60"/>
      <c r="E123" s="63"/>
      <c r="F123" s="60"/>
      <c r="G123" s="63"/>
      <c r="H123" s="60"/>
      <c r="I123" s="60"/>
      <c r="J123" s="60"/>
      <c r="K123" s="60"/>
      <c r="L123" s="6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</row>
    <row r="124" spans="1:54">
      <c r="A124" s="60"/>
      <c r="B124" s="60"/>
      <c r="C124" s="63"/>
      <c r="D124" s="60"/>
      <c r="E124" s="63"/>
      <c r="F124" s="60"/>
      <c r="G124" s="63"/>
      <c r="H124" s="60"/>
      <c r="I124" s="60"/>
      <c r="J124" s="60"/>
      <c r="K124" s="60"/>
      <c r="L124" s="6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</row>
    <row r="125" spans="1:54">
      <c r="A125" s="60"/>
      <c r="B125" s="60"/>
      <c r="C125" s="63"/>
      <c r="D125" s="60"/>
      <c r="E125" s="63"/>
      <c r="F125" s="60"/>
      <c r="G125" s="63"/>
      <c r="H125" s="60"/>
      <c r="I125" s="60"/>
      <c r="J125" s="60"/>
      <c r="K125" s="60"/>
      <c r="L125" s="6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</row>
    <row r="126" spans="1:54">
      <c r="A126" s="60"/>
      <c r="B126" s="60"/>
      <c r="C126" s="63"/>
      <c r="D126" s="60"/>
      <c r="E126" s="63"/>
      <c r="F126" s="60"/>
      <c r="G126" s="63"/>
      <c r="H126" s="60"/>
      <c r="I126" s="60"/>
      <c r="J126" s="60"/>
      <c r="K126" s="60"/>
      <c r="L126" s="6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</row>
    <row r="127" spans="1:54">
      <c r="A127" s="60"/>
      <c r="B127" s="60"/>
      <c r="C127" s="63"/>
      <c r="D127" s="60"/>
      <c r="E127" s="63"/>
      <c r="F127" s="60"/>
      <c r="G127" s="63"/>
      <c r="H127" s="60"/>
      <c r="I127" s="60"/>
      <c r="J127" s="60"/>
      <c r="K127" s="60"/>
      <c r="L127" s="6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</row>
    <row r="128" spans="1:54">
      <c r="A128" s="60"/>
      <c r="B128" s="60"/>
      <c r="C128" s="63"/>
      <c r="D128" s="60"/>
      <c r="E128" s="63"/>
      <c r="F128" s="60"/>
      <c r="G128" s="63"/>
      <c r="H128" s="60"/>
      <c r="I128" s="60"/>
      <c r="J128" s="60"/>
      <c r="K128" s="60"/>
      <c r="L128" s="6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</row>
    <row r="129" spans="1:54">
      <c r="A129" s="60"/>
      <c r="B129" s="60"/>
      <c r="C129" s="63"/>
      <c r="D129" s="60"/>
      <c r="E129" s="63"/>
      <c r="F129" s="60"/>
      <c r="G129" s="63"/>
      <c r="H129" s="60"/>
      <c r="I129" s="60"/>
      <c r="J129" s="60"/>
      <c r="K129" s="60"/>
      <c r="L129" s="6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</row>
    <row r="130" spans="1:54">
      <c r="A130" s="60"/>
      <c r="B130" s="60"/>
      <c r="C130" s="63"/>
      <c r="D130" s="60"/>
      <c r="E130" s="63"/>
      <c r="F130" s="60"/>
      <c r="G130" s="63"/>
      <c r="H130" s="60"/>
      <c r="I130" s="60"/>
      <c r="J130" s="60"/>
      <c r="K130" s="60"/>
      <c r="L130" s="6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</row>
    <row r="131" spans="1:54">
      <c r="A131" s="60"/>
      <c r="B131" s="60"/>
      <c r="C131" s="63"/>
      <c r="D131" s="60"/>
      <c r="E131" s="63"/>
      <c r="F131" s="60"/>
      <c r="G131" s="63"/>
      <c r="H131" s="60"/>
      <c r="I131" s="60"/>
      <c r="J131" s="60"/>
      <c r="K131" s="60"/>
      <c r="L131" s="6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</row>
    <row r="132" spans="1:54">
      <c r="A132" s="60"/>
      <c r="B132" s="60"/>
      <c r="C132" s="63"/>
      <c r="D132" s="60"/>
      <c r="E132" s="63"/>
      <c r="F132" s="60"/>
      <c r="G132" s="63"/>
      <c r="H132" s="60"/>
      <c r="I132" s="60"/>
      <c r="J132" s="60"/>
      <c r="K132" s="60"/>
      <c r="L132" s="6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</row>
    <row r="133" spans="1:54">
      <c r="A133" s="60"/>
      <c r="B133" s="60"/>
      <c r="C133" s="63"/>
      <c r="D133" s="60"/>
      <c r="E133" s="63"/>
      <c r="F133" s="60"/>
      <c r="G133" s="63"/>
      <c r="H133" s="60"/>
      <c r="I133" s="60"/>
      <c r="J133" s="60"/>
      <c r="K133" s="60"/>
      <c r="L133" s="6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</row>
    <row r="134" spans="1:54">
      <c r="A134" s="60"/>
      <c r="B134" s="60"/>
      <c r="C134" s="63"/>
      <c r="D134" s="60"/>
      <c r="E134" s="63"/>
      <c r="F134" s="60"/>
      <c r="G134" s="63"/>
      <c r="H134" s="60"/>
      <c r="I134" s="60"/>
      <c r="J134" s="60"/>
      <c r="K134" s="60"/>
      <c r="L134" s="6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</row>
    <row r="135" spans="1:54">
      <c r="A135" s="60"/>
      <c r="B135" s="60"/>
      <c r="C135" s="63"/>
      <c r="D135" s="60"/>
      <c r="E135" s="63"/>
      <c r="F135" s="60"/>
      <c r="G135" s="63"/>
      <c r="H135" s="60"/>
      <c r="I135" s="60"/>
      <c r="J135" s="60"/>
      <c r="K135" s="60"/>
      <c r="L135" s="6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</row>
    <row r="136" spans="1:54">
      <c r="A136" s="60"/>
      <c r="B136" s="60"/>
      <c r="C136" s="63"/>
      <c r="D136" s="60"/>
      <c r="E136" s="63"/>
      <c r="F136" s="60"/>
      <c r="G136" s="63"/>
      <c r="H136" s="60"/>
      <c r="I136" s="60"/>
      <c r="J136" s="60"/>
      <c r="K136" s="60"/>
      <c r="L136" s="6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</row>
    <row r="137" spans="1:54">
      <c r="A137" s="60"/>
      <c r="B137" s="60"/>
      <c r="C137" s="63"/>
      <c r="D137" s="60"/>
      <c r="E137" s="63"/>
      <c r="F137" s="60"/>
      <c r="G137" s="63"/>
      <c r="H137" s="60"/>
      <c r="I137" s="60"/>
      <c r="J137" s="60"/>
      <c r="K137" s="60"/>
      <c r="L137" s="6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</row>
    <row r="138" spans="1:54">
      <c r="A138" s="60"/>
      <c r="B138" s="60"/>
      <c r="C138" s="63"/>
      <c r="D138" s="60"/>
      <c r="E138" s="63"/>
      <c r="F138" s="60"/>
      <c r="G138" s="63"/>
      <c r="H138" s="60"/>
      <c r="I138" s="60"/>
      <c r="J138" s="60"/>
      <c r="K138" s="60"/>
      <c r="L138" s="63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</row>
    <row r="139" spans="1:54">
      <c r="A139" s="60"/>
      <c r="B139" s="60"/>
      <c r="C139" s="63"/>
      <c r="D139" s="60"/>
      <c r="E139" s="63"/>
      <c r="F139" s="60"/>
      <c r="G139" s="63"/>
      <c r="H139" s="60"/>
      <c r="I139" s="60"/>
      <c r="J139" s="60"/>
      <c r="K139" s="60"/>
      <c r="L139" s="6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</row>
    <row r="140" spans="1:54">
      <c r="A140" s="60"/>
      <c r="B140" s="60"/>
      <c r="C140" s="63"/>
      <c r="D140" s="60"/>
      <c r="E140" s="63"/>
      <c r="F140" s="60"/>
      <c r="G140" s="63"/>
      <c r="H140" s="60"/>
      <c r="I140" s="60"/>
      <c r="J140" s="60"/>
      <c r="K140" s="60"/>
      <c r="L140" s="6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</row>
    <row r="141" spans="1:54">
      <c r="A141" s="60"/>
      <c r="B141" s="60"/>
      <c r="C141" s="63"/>
      <c r="D141" s="60"/>
      <c r="E141" s="63"/>
      <c r="F141" s="60"/>
      <c r="G141" s="63"/>
      <c r="H141" s="60"/>
      <c r="I141" s="60"/>
      <c r="J141" s="60"/>
      <c r="K141" s="60"/>
      <c r="L141" s="6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</row>
    <row r="142" spans="1:54">
      <c r="A142" s="60"/>
      <c r="B142" s="60"/>
      <c r="C142" s="63"/>
      <c r="D142" s="60"/>
      <c r="E142" s="63"/>
      <c r="F142" s="60"/>
      <c r="G142" s="63"/>
      <c r="H142" s="60"/>
      <c r="I142" s="60"/>
      <c r="J142" s="60"/>
      <c r="K142" s="60"/>
      <c r="L142" s="6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</row>
    <row r="143" spans="1:54">
      <c r="A143" s="60"/>
      <c r="B143" s="60"/>
      <c r="C143" s="63"/>
      <c r="D143" s="60"/>
      <c r="E143" s="63"/>
      <c r="F143" s="60"/>
      <c r="G143" s="63"/>
      <c r="H143" s="60"/>
      <c r="I143" s="60"/>
      <c r="J143" s="60"/>
      <c r="K143" s="60"/>
      <c r="L143" s="6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</row>
    <row r="144" spans="1:54">
      <c r="A144" s="60"/>
      <c r="B144" s="60"/>
      <c r="C144" s="63"/>
      <c r="D144" s="60"/>
      <c r="E144" s="63"/>
      <c r="F144" s="60"/>
      <c r="G144" s="63"/>
      <c r="H144" s="60"/>
      <c r="I144" s="60"/>
      <c r="J144" s="60"/>
      <c r="K144" s="60"/>
      <c r="L144" s="6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</row>
    <row r="145" spans="1:54">
      <c r="A145" s="60"/>
      <c r="B145" s="60"/>
      <c r="C145" s="63"/>
      <c r="D145" s="60"/>
      <c r="E145" s="63"/>
      <c r="F145" s="60"/>
      <c r="G145" s="63"/>
      <c r="H145" s="60"/>
      <c r="I145" s="60"/>
      <c r="J145" s="60"/>
      <c r="K145" s="60"/>
      <c r="L145" s="6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</row>
    <row r="146" spans="1:54">
      <c r="A146" s="60"/>
      <c r="B146" s="60"/>
      <c r="C146" s="63"/>
      <c r="D146" s="60"/>
      <c r="E146" s="63"/>
      <c r="F146" s="60"/>
      <c r="G146" s="63"/>
      <c r="H146" s="60"/>
      <c r="I146" s="60"/>
      <c r="J146" s="60"/>
      <c r="K146" s="60"/>
      <c r="L146" s="6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</row>
    <row r="147" spans="1:54">
      <c r="A147" s="60"/>
      <c r="B147" s="60"/>
      <c r="C147" s="63"/>
      <c r="D147" s="60"/>
      <c r="E147" s="63"/>
      <c r="F147" s="60"/>
      <c r="G147" s="63"/>
      <c r="H147" s="60"/>
      <c r="I147" s="60"/>
      <c r="J147" s="60"/>
      <c r="K147" s="60"/>
      <c r="L147" s="6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</row>
    <row r="148" spans="1:54">
      <c r="A148" s="60"/>
      <c r="B148" s="60"/>
      <c r="C148" s="63"/>
      <c r="D148" s="60"/>
      <c r="E148" s="63"/>
      <c r="F148" s="60"/>
      <c r="G148" s="63"/>
      <c r="H148" s="60"/>
      <c r="I148" s="60"/>
      <c r="J148" s="60"/>
      <c r="K148" s="60"/>
      <c r="L148" s="63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</row>
    <row r="149" spans="1:54">
      <c r="A149" s="60"/>
      <c r="B149" s="60"/>
      <c r="C149" s="63"/>
      <c r="D149" s="60"/>
      <c r="E149" s="63"/>
      <c r="F149" s="60"/>
      <c r="G149" s="63"/>
      <c r="H149" s="60"/>
      <c r="I149" s="60"/>
      <c r="J149" s="60"/>
      <c r="K149" s="60"/>
      <c r="L149" s="63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</row>
    <row r="150" spans="1:54">
      <c r="A150" s="60"/>
      <c r="B150" s="60"/>
      <c r="C150" s="63"/>
      <c r="D150" s="60"/>
      <c r="E150" s="63"/>
      <c r="F150" s="60"/>
      <c r="G150" s="63"/>
      <c r="H150" s="60"/>
      <c r="I150" s="60"/>
      <c r="J150" s="60"/>
      <c r="K150" s="60"/>
      <c r="L150" s="63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</row>
    <row r="151" spans="1:54">
      <c r="A151" s="60"/>
      <c r="B151" s="60"/>
      <c r="C151" s="63"/>
      <c r="D151" s="60"/>
      <c r="E151" s="63"/>
      <c r="F151" s="60"/>
      <c r="G151" s="63"/>
      <c r="H151" s="60"/>
      <c r="I151" s="60"/>
      <c r="J151" s="60"/>
      <c r="K151" s="60"/>
      <c r="L151" s="63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</row>
    <row r="152" spans="1:54">
      <c r="A152" s="60"/>
      <c r="B152" s="60"/>
      <c r="C152" s="63"/>
      <c r="D152" s="60"/>
      <c r="E152" s="63"/>
      <c r="F152" s="60"/>
      <c r="G152" s="63"/>
      <c r="H152" s="60"/>
      <c r="I152" s="60"/>
      <c r="J152" s="60"/>
      <c r="K152" s="60"/>
      <c r="L152" s="63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</row>
    <row r="153" spans="1:54">
      <c r="A153" s="60"/>
      <c r="B153" s="60"/>
      <c r="C153" s="63"/>
      <c r="D153" s="60"/>
      <c r="E153" s="63"/>
      <c r="F153" s="60"/>
      <c r="G153" s="63"/>
      <c r="H153" s="60"/>
      <c r="I153" s="60"/>
      <c r="J153" s="60"/>
      <c r="K153" s="60"/>
      <c r="L153" s="63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</row>
    <row r="154" spans="1:54">
      <c r="A154" s="60"/>
      <c r="B154" s="60"/>
      <c r="C154" s="63"/>
      <c r="D154" s="60"/>
      <c r="E154" s="63"/>
      <c r="F154" s="60"/>
      <c r="G154" s="63"/>
      <c r="H154" s="60"/>
      <c r="I154" s="60"/>
      <c r="J154" s="60"/>
      <c r="K154" s="60"/>
      <c r="L154" s="63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</row>
    <row r="155" spans="1:54">
      <c r="A155" s="60"/>
      <c r="B155" s="60"/>
      <c r="C155" s="63"/>
      <c r="D155" s="60"/>
      <c r="E155" s="63"/>
      <c r="F155" s="60"/>
      <c r="G155" s="63"/>
      <c r="H155" s="60"/>
      <c r="I155" s="60"/>
      <c r="J155" s="60"/>
      <c r="K155" s="60"/>
      <c r="L155" s="63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</row>
    <row r="156" spans="1:54">
      <c r="A156" s="60"/>
      <c r="B156" s="60"/>
      <c r="C156" s="63"/>
      <c r="D156" s="60"/>
      <c r="E156" s="63"/>
      <c r="F156" s="60"/>
      <c r="G156" s="63"/>
      <c r="H156" s="60"/>
      <c r="I156" s="60"/>
      <c r="J156" s="60"/>
      <c r="K156" s="60"/>
      <c r="L156" s="63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</row>
    <row r="157" spans="1:54">
      <c r="A157" s="60"/>
      <c r="B157" s="60"/>
      <c r="C157" s="63"/>
      <c r="D157" s="60"/>
      <c r="E157" s="63"/>
      <c r="F157" s="60"/>
      <c r="G157" s="63"/>
      <c r="H157" s="60"/>
      <c r="I157" s="60"/>
      <c r="J157" s="60"/>
      <c r="K157" s="60"/>
      <c r="L157" s="63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</row>
    <row r="158" spans="1:54">
      <c r="A158" s="60"/>
      <c r="B158" s="60"/>
      <c r="C158" s="63"/>
      <c r="D158" s="60"/>
      <c r="E158" s="63"/>
      <c r="F158" s="60"/>
      <c r="G158" s="63"/>
      <c r="H158" s="60"/>
      <c r="I158" s="60"/>
      <c r="J158" s="60"/>
      <c r="K158" s="60"/>
      <c r="L158" s="63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</row>
    <row r="159" spans="1:54">
      <c r="A159" s="60"/>
      <c r="B159" s="60"/>
      <c r="C159" s="63"/>
      <c r="D159" s="60"/>
      <c r="E159" s="63"/>
      <c r="F159" s="60"/>
      <c r="G159" s="63"/>
      <c r="H159" s="60"/>
      <c r="I159" s="60"/>
      <c r="J159" s="60"/>
      <c r="K159" s="60"/>
      <c r="L159" s="63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</row>
    <row r="160" spans="1:54">
      <c r="A160" s="60"/>
      <c r="B160" s="60"/>
      <c r="C160" s="63"/>
      <c r="D160" s="60"/>
      <c r="E160" s="63"/>
      <c r="F160" s="60"/>
      <c r="G160" s="63"/>
      <c r="H160" s="60"/>
      <c r="I160" s="60"/>
      <c r="J160" s="60"/>
      <c r="K160" s="60"/>
      <c r="L160" s="63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</row>
    <row r="161" spans="1:54">
      <c r="A161" s="60"/>
      <c r="B161" s="60"/>
      <c r="C161" s="63"/>
      <c r="D161" s="60"/>
      <c r="E161" s="63"/>
      <c r="F161" s="60"/>
      <c r="G161" s="63"/>
      <c r="H161" s="60"/>
      <c r="I161" s="60"/>
      <c r="J161" s="60"/>
      <c r="K161" s="60"/>
      <c r="L161" s="63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</row>
    <row r="162" spans="1:54">
      <c r="A162" s="60"/>
      <c r="B162" s="60"/>
      <c r="C162" s="63"/>
      <c r="D162" s="60"/>
      <c r="E162" s="63"/>
      <c r="F162" s="60"/>
      <c r="G162" s="63"/>
      <c r="H162" s="60"/>
      <c r="I162" s="60"/>
      <c r="J162" s="60"/>
      <c r="K162" s="60"/>
      <c r="L162" s="63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</row>
    <row r="163" spans="1:54">
      <c r="A163" s="60"/>
      <c r="B163" s="60"/>
      <c r="C163" s="63"/>
      <c r="D163" s="60"/>
      <c r="E163" s="63"/>
      <c r="F163" s="60"/>
      <c r="G163" s="63"/>
      <c r="H163" s="60"/>
      <c r="I163" s="60"/>
      <c r="J163" s="60"/>
      <c r="K163" s="60"/>
      <c r="L163" s="63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</row>
    <row r="164" spans="1:54">
      <c r="A164" s="60"/>
      <c r="B164" s="60"/>
      <c r="C164" s="63"/>
      <c r="D164" s="60"/>
      <c r="E164" s="63"/>
      <c r="F164" s="60"/>
      <c r="G164" s="63"/>
      <c r="H164" s="60"/>
      <c r="I164" s="60"/>
      <c r="J164" s="60"/>
      <c r="K164" s="60"/>
      <c r="L164" s="63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</row>
    <row r="165" spans="1:54">
      <c r="A165" s="60"/>
      <c r="B165" s="60"/>
      <c r="C165" s="63"/>
      <c r="D165" s="60"/>
      <c r="E165" s="63"/>
      <c r="F165" s="60"/>
      <c r="G165" s="63"/>
      <c r="H165" s="60"/>
      <c r="I165" s="60"/>
      <c r="J165" s="60"/>
      <c r="K165" s="60"/>
      <c r="L165" s="63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</row>
    <row r="166" spans="1:54">
      <c r="A166" s="60"/>
      <c r="B166" s="60"/>
      <c r="C166" s="63"/>
      <c r="D166" s="60"/>
      <c r="E166" s="63"/>
      <c r="F166" s="60"/>
      <c r="G166" s="63"/>
      <c r="H166" s="60"/>
      <c r="I166" s="60"/>
      <c r="J166" s="60"/>
      <c r="K166" s="60"/>
      <c r="L166" s="63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</row>
    <row r="167" spans="1:54">
      <c r="A167" s="60"/>
      <c r="B167" s="60"/>
      <c r="C167" s="63"/>
      <c r="D167" s="60"/>
      <c r="E167" s="63"/>
      <c r="F167" s="60"/>
      <c r="G167" s="63"/>
      <c r="H167" s="60"/>
      <c r="I167" s="60"/>
      <c r="J167" s="60"/>
      <c r="K167" s="60"/>
      <c r="L167" s="63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</row>
    <row r="168" spans="1:54">
      <c r="A168" s="60"/>
      <c r="B168" s="60"/>
      <c r="C168" s="63"/>
      <c r="D168" s="60"/>
      <c r="E168" s="63"/>
      <c r="F168" s="60"/>
      <c r="G168" s="63"/>
      <c r="H168" s="60"/>
      <c r="I168" s="60"/>
      <c r="J168" s="60"/>
      <c r="K168" s="60"/>
      <c r="L168" s="63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</row>
    <row r="169" spans="1:54">
      <c r="A169" s="60"/>
      <c r="B169" s="60"/>
      <c r="C169" s="63"/>
      <c r="D169" s="60"/>
      <c r="E169" s="63"/>
      <c r="F169" s="60"/>
      <c r="G169" s="63"/>
      <c r="H169" s="60"/>
      <c r="I169" s="60"/>
      <c r="J169" s="60"/>
      <c r="K169" s="60"/>
      <c r="L169" s="63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</row>
    <row r="170" spans="1:54">
      <c r="A170" s="60"/>
      <c r="B170" s="60"/>
      <c r="C170" s="63"/>
      <c r="D170" s="60"/>
      <c r="E170" s="63"/>
      <c r="F170" s="60"/>
      <c r="G170" s="63"/>
      <c r="H170" s="60"/>
      <c r="I170" s="60"/>
      <c r="J170" s="60"/>
      <c r="K170" s="60"/>
      <c r="L170" s="63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</row>
    <row r="171" spans="1:54">
      <c r="A171" s="60"/>
      <c r="B171" s="60"/>
      <c r="C171" s="63"/>
      <c r="D171" s="60"/>
      <c r="E171" s="63"/>
      <c r="F171" s="60"/>
      <c r="G171" s="63"/>
      <c r="H171" s="60"/>
      <c r="I171" s="60"/>
      <c r="J171" s="60"/>
      <c r="K171" s="60"/>
      <c r="L171" s="63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</row>
    <row r="172" spans="1:54">
      <c r="A172" s="60"/>
      <c r="B172" s="60"/>
      <c r="C172" s="63"/>
      <c r="D172" s="60"/>
      <c r="E172" s="63"/>
      <c r="F172" s="60"/>
      <c r="G172" s="63"/>
      <c r="H172" s="60"/>
      <c r="I172" s="60"/>
      <c r="J172" s="60"/>
      <c r="K172" s="60"/>
      <c r="L172" s="63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</row>
    <row r="173" spans="1:54">
      <c r="A173" s="60"/>
      <c r="B173" s="60"/>
      <c r="C173" s="63"/>
      <c r="D173" s="60"/>
      <c r="E173" s="63"/>
      <c r="F173" s="60"/>
      <c r="G173" s="63"/>
      <c r="H173" s="60"/>
      <c r="I173" s="60"/>
      <c r="J173" s="60"/>
      <c r="K173" s="60"/>
      <c r="L173" s="63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</row>
    <row r="174" spans="1:54">
      <c r="A174" s="60"/>
      <c r="B174" s="60"/>
      <c r="C174" s="63"/>
      <c r="D174" s="60"/>
      <c r="E174" s="63"/>
      <c r="F174" s="60"/>
      <c r="G174" s="63"/>
      <c r="H174" s="60"/>
      <c r="I174" s="60"/>
      <c r="J174" s="60"/>
      <c r="K174" s="60"/>
      <c r="L174" s="63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</row>
    <row r="175" spans="1:54">
      <c r="A175" s="60"/>
      <c r="B175" s="60"/>
      <c r="C175" s="63"/>
      <c r="D175" s="60"/>
      <c r="E175" s="63"/>
      <c r="F175" s="60"/>
      <c r="G175" s="63"/>
      <c r="H175" s="60"/>
      <c r="I175" s="60"/>
      <c r="J175" s="60"/>
      <c r="K175" s="60"/>
      <c r="L175" s="63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</row>
    <row r="176" spans="1:54">
      <c r="A176" s="60"/>
      <c r="B176" s="60"/>
      <c r="C176" s="63"/>
      <c r="D176" s="60"/>
      <c r="E176" s="63"/>
      <c r="F176" s="60"/>
      <c r="G176" s="63"/>
      <c r="H176" s="60"/>
      <c r="I176" s="60"/>
      <c r="J176" s="60"/>
      <c r="K176" s="60"/>
      <c r="L176" s="63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</row>
    <row r="177" spans="1:54">
      <c r="A177" s="60"/>
      <c r="B177" s="60"/>
      <c r="C177" s="63"/>
      <c r="D177" s="60"/>
      <c r="E177" s="63"/>
      <c r="F177" s="60"/>
      <c r="G177" s="63"/>
      <c r="H177" s="60"/>
      <c r="I177" s="60"/>
      <c r="J177" s="60"/>
      <c r="K177" s="60"/>
      <c r="L177" s="63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</row>
    <row r="178" spans="1:54">
      <c r="A178" s="60"/>
      <c r="B178" s="60"/>
      <c r="C178" s="63"/>
      <c r="D178" s="60"/>
      <c r="E178" s="63"/>
      <c r="F178" s="60"/>
      <c r="G178" s="63"/>
      <c r="H178" s="60"/>
      <c r="I178" s="60"/>
      <c r="J178" s="60"/>
      <c r="K178" s="60"/>
      <c r="L178" s="63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</row>
    <row r="179" spans="1:54">
      <c r="A179" s="60"/>
      <c r="B179" s="60"/>
      <c r="C179" s="63"/>
      <c r="D179" s="60"/>
      <c r="E179" s="63"/>
      <c r="F179" s="60"/>
      <c r="G179" s="63"/>
      <c r="H179" s="60"/>
      <c r="I179" s="60"/>
      <c r="J179" s="60"/>
      <c r="K179" s="60"/>
      <c r="L179" s="63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</row>
    <row r="180" spans="1:54">
      <c r="A180" s="60"/>
      <c r="B180" s="60"/>
      <c r="C180" s="63"/>
      <c r="D180" s="60"/>
      <c r="E180" s="63"/>
      <c r="F180" s="60"/>
      <c r="G180" s="63"/>
      <c r="H180" s="60"/>
      <c r="I180" s="60"/>
      <c r="J180" s="60"/>
      <c r="K180" s="60"/>
      <c r="L180" s="63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</row>
    <row r="181" spans="1:54">
      <c r="A181" s="60"/>
      <c r="B181" s="60"/>
      <c r="C181" s="63"/>
      <c r="D181" s="60"/>
      <c r="E181" s="63"/>
      <c r="F181" s="60"/>
      <c r="G181" s="63"/>
      <c r="H181" s="60"/>
      <c r="I181" s="60"/>
      <c r="J181" s="60"/>
      <c r="K181" s="60"/>
      <c r="L181" s="63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</row>
    <row r="182" spans="1:54">
      <c r="A182" s="60"/>
      <c r="B182" s="60"/>
      <c r="C182" s="63"/>
      <c r="D182" s="60"/>
      <c r="E182" s="63"/>
      <c r="F182" s="60"/>
      <c r="G182" s="63"/>
      <c r="H182" s="60"/>
      <c r="I182" s="60"/>
      <c r="J182" s="60"/>
      <c r="K182" s="60"/>
      <c r="L182" s="63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</row>
    <row r="183" spans="1:54">
      <c r="A183" s="60"/>
      <c r="B183" s="60"/>
      <c r="C183" s="63"/>
      <c r="D183" s="60"/>
      <c r="E183" s="63"/>
      <c r="F183" s="60"/>
      <c r="G183" s="63"/>
      <c r="H183" s="60"/>
      <c r="I183" s="60"/>
      <c r="J183" s="60"/>
      <c r="K183" s="60"/>
      <c r="L183" s="63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</row>
    <row r="184" spans="1:54">
      <c r="A184" s="60"/>
      <c r="B184" s="60"/>
      <c r="C184" s="63"/>
      <c r="D184" s="60"/>
      <c r="E184" s="63"/>
      <c r="F184" s="60"/>
      <c r="G184" s="63"/>
      <c r="H184" s="60"/>
      <c r="I184" s="60"/>
      <c r="J184" s="60"/>
      <c r="K184" s="60"/>
      <c r="L184" s="63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</row>
    <row r="185" spans="1:54">
      <c r="A185" s="60"/>
      <c r="B185" s="60"/>
      <c r="C185" s="63"/>
      <c r="D185" s="60"/>
      <c r="E185" s="63"/>
      <c r="F185" s="60"/>
      <c r="G185" s="63"/>
      <c r="H185" s="60"/>
      <c r="I185" s="60"/>
      <c r="J185" s="60"/>
      <c r="K185" s="60"/>
      <c r="L185" s="63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</row>
    <row r="186" spans="1:54">
      <c r="A186" s="60"/>
      <c r="B186" s="60"/>
      <c r="C186" s="63"/>
      <c r="D186" s="60"/>
      <c r="E186" s="63"/>
      <c r="F186" s="60"/>
      <c r="G186" s="63"/>
      <c r="H186" s="60"/>
      <c r="I186" s="60"/>
      <c r="J186" s="60"/>
      <c r="K186" s="60"/>
      <c r="L186" s="63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</row>
    <row r="187" spans="1:54">
      <c r="A187" s="60"/>
      <c r="B187" s="60"/>
      <c r="C187" s="63"/>
      <c r="D187" s="60"/>
      <c r="E187" s="63"/>
      <c r="F187" s="60"/>
      <c r="G187" s="63"/>
      <c r="H187" s="60"/>
      <c r="I187" s="60"/>
      <c r="J187" s="60"/>
      <c r="K187" s="60"/>
      <c r="L187" s="63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</row>
    <row r="188" spans="1:54">
      <c r="A188" s="60"/>
      <c r="B188" s="60"/>
      <c r="C188" s="63"/>
      <c r="D188" s="60"/>
      <c r="E188" s="63"/>
      <c r="F188" s="60"/>
      <c r="G188" s="63"/>
      <c r="H188" s="60"/>
      <c r="I188" s="60"/>
      <c r="J188" s="60"/>
      <c r="K188" s="60"/>
      <c r="L188" s="63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</row>
    <row r="189" spans="1:54">
      <c r="A189" s="60"/>
      <c r="B189" s="60"/>
      <c r="C189" s="63"/>
      <c r="D189" s="60"/>
      <c r="E189" s="63"/>
      <c r="F189" s="60"/>
      <c r="G189" s="63"/>
      <c r="H189" s="60"/>
      <c r="I189" s="60"/>
      <c r="J189" s="60"/>
      <c r="K189" s="60"/>
      <c r="L189" s="63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</row>
    <row r="190" spans="1:54">
      <c r="A190" s="60"/>
      <c r="B190" s="60"/>
      <c r="C190" s="63"/>
      <c r="D190" s="60"/>
      <c r="E190" s="63"/>
      <c r="F190" s="60"/>
      <c r="G190" s="63"/>
      <c r="H190" s="60"/>
      <c r="I190" s="60"/>
      <c r="J190" s="60"/>
      <c r="K190" s="60"/>
      <c r="L190" s="63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</row>
    <row r="191" spans="1:54">
      <c r="A191" s="60"/>
      <c r="B191" s="60"/>
      <c r="C191" s="63"/>
      <c r="D191" s="60"/>
      <c r="E191" s="63"/>
      <c r="F191" s="60"/>
      <c r="G191" s="63"/>
      <c r="H191" s="60"/>
      <c r="I191" s="60"/>
      <c r="J191" s="60"/>
      <c r="K191" s="60"/>
      <c r="L191" s="63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</row>
    <row r="192" spans="1:54">
      <c r="A192" s="60"/>
      <c r="B192" s="60"/>
      <c r="C192" s="63"/>
      <c r="D192" s="60"/>
      <c r="E192" s="63"/>
      <c r="F192" s="60"/>
      <c r="G192" s="63"/>
      <c r="H192" s="60"/>
      <c r="I192" s="60"/>
      <c r="J192" s="60"/>
      <c r="K192" s="60"/>
      <c r="L192" s="63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</row>
    <row r="193" spans="1:54">
      <c r="A193" s="60"/>
      <c r="B193" s="60"/>
      <c r="C193" s="63"/>
      <c r="D193" s="60"/>
      <c r="E193" s="63"/>
      <c r="F193" s="60"/>
      <c r="G193" s="63"/>
      <c r="H193" s="60"/>
      <c r="I193" s="60"/>
      <c r="J193" s="60"/>
      <c r="K193" s="60"/>
      <c r="L193" s="63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</row>
    <row r="194" spans="1:54">
      <c r="A194" s="60"/>
      <c r="B194" s="60"/>
      <c r="C194" s="63"/>
      <c r="D194" s="60"/>
      <c r="E194" s="63"/>
      <c r="F194" s="60"/>
      <c r="G194" s="63"/>
      <c r="H194" s="60"/>
      <c r="I194" s="60"/>
      <c r="J194" s="60"/>
      <c r="K194" s="60"/>
      <c r="L194" s="63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</row>
    <row r="195" spans="1:54">
      <c r="A195" s="60"/>
      <c r="B195" s="60"/>
      <c r="C195" s="63"/>
      <c r="D195" s="60"/>
      <c r="E195" s="63"/>
      <c r="F195" s="60"/>
      <c r="G195" s="63"/>
      <c r="H195" s="60"/>
      <c r="I195" s="60"/>
      <c r="J195" s="60"/>
      <c r="K195" s="60"/>
      <c r="L195" s="63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</row>
    <row r="196" spans="1:54">
      <c r="A196" s="60"/>
      <c r="B196" s="60"/>
      <c r="C196" s="63"/>
      <c r="D196" s="60"/>
      <c r="E196" s="63"/>
      <c r="F196" s="60"/>
      <c r="G196" s="63"/>
      <c r="H196" s="60"/>
      <c r="I196" s="60"/>
      <c r="J196" s="60"/>
      <c r="K196" s="60"/>
      <c r="L196" s="63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</row>
    <row r="197" spans="1:54">
      <c r="A197" s="60"/>
      <c r="B197" s="60"/>
      <c r="C197" s="63"/>
      <c r="D197" s="60"/>
      <c r="E197" s="63"/>
      <c r="F197" s="60"/>
      <c r="G197" s="63"/>
      <c r="H197" s="60"/>
      <c r="I197" s="60"/>
      <c r="J197" s="60"/>
      <c r="K197" s="60"/>
      <c r="L197" s="63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</row>
    <row r="198" spans="1:54">
      <c r="A198" s="60"/>
      <c r="B198" s="60"/>
      <c r="C198" s="63"/>
      <c r="D198" s="60"/>
      <c r="E198" s="63"/>
      <c r="F198" s="60"/>
      <c r="G198" s="63"/>
      <c r="H198" s="60"/>
      <c r="I198" s="60"/>
      <c r="J198" s="60"/>
      <c r="K198" s="60"/>
      <c r="L198" s="63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</row>
    <row r="199" spans="1:54">
      <c r="A199" s="60"/>
      <c r="B199" s="60"/>
      <c r="C199" s="63"/>
      <c r="D199" s="60"/>
      <c r="E199" s="63"/>
      <c r="F199" s="60"/>
      <c r="G199" s="63"/>
      <c r="H199" s="60"/>
      <c r="I199" s="60"/>
      <c r="J199" s="60"/>
      <c r="K199" s="60"/>
      <c r="L199" s="63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</row>
    <row r="200" spans="1:54">
      <c r="A200" s="60"/>
      <c r="B200" s="60"/>
      <c r="C200" s="63"/>
      <c r="D200" s="60"/>
      <c r="E200" s="63"/>
      <c r="F200" s="60"/>
      <c r="G200" s="63"/>
      <c r="H200" s="60"/>
      <c r="I200" s="60"/>
      <c r="J200" s="60"/>
      <c r="K200" s="60"/>
      <c r="L200" s="63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</row>
    <row r="201" spans="1:54">
      <c r="A201" s="60"/>
      <c r="B201" s="60"/>
      <c r="C201" s="63"/>
      <c r="D201" s="60"/>
      <c r="E201" s="63"/>
      <c r="F201" s="60"/>
      <c r="G201" s="63"/>
      <c r="H201" s="60"/>
      <c r="I201" s="60"/>
      <c r="J201" s="60"/>
      <c r="K201" s="60"/>
      <c r="L201" s="63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</row>
    <row r="202" spans="1:54">
      <c r="A202" s="60"/>
      <c r="B202" s="60"/>
      <c r="C202" s="63"/>
      <c r="D202" s="60"/>
      <c r="E202" s="63"/>
      <c r="F202" s="60"/>
      <c r="G202" s="63"/>
      <c r="H202" s="60"/>
      <c r="I202" s="60"/>
      <c r="J202" s="60"/>
      <c r="K202" s="60"/>
      <c r="L202" s="63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</row>
    <row r="203" spans="1:54">
      <c r="A203" s="60"/>
      <c r="B203" s="60"/>
      <c r="C203" s="63"/>
      <c r="D203" s="60"/>
      <c r="E203" s="63"/>
      <c r="F203" s="60"/>
      <c r="G203" s="63"/>
      <c r="H203" s="60"/>
      <c r="I203" s="60"/>
      <c r="J203" s="60"/>
      <c r="K203" s="60"/>
      <c r="L203" s="63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</row>
    <row r="204" spans="1:54">
      <c r="A204" s="60"/>
      <c r="B204" s="60"/>
      <c r="C204" s="63"/>
      <c r="D204" s="60"/>
      <c r="E204" s="63"/>
      <c r="F204" s="60"/>
      <c r="G204" s="63"/>
      <c r="H204" s="60"/>
      <c r="I204" s="60"/>
      <c r="J204" s="60"/>
      <c r="K204" s="60"/>
      <c r="L204" s="63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</row>
    <row r="205" spans="1:54">
      <c r="A205" s="60"/>
      <c r="B205" s="60"/>
      <c r="C205" s="63"/>
      <c r="D205" s="60"/>
      <c r="E205" s="63"/>
      <c r="F205" s="60"/>
      <c r="G205" s="63"/>
      <c r="H205" s="60"/>
      <c r="I205" s="60"/>
      <c r="J205" s="60"/>
      <c r="K205" s="60"/>
      <c r="L205" s="63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</row>
    <row r="206" spans="1:54">
      <c r="A206" s="60"/>
      <c r="B206" s="60"/>
      <c r="C206" s="63"/>
      <c r="D206" s="60"/>
      <c r="E206" s="63"/>
      <c r="F206" s="60"/>
      <c r="G206" s="63"/>
      <c r="H206" s="60"/>
      <c r="I206" s="60"/>
      <c r="J206" s="60"/>
      <c r="K206" s="60"/>
      <c r="L206" s="63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</row>
    <row r="207" spans="1:54">
      <c r="A207" s="60"/>
      <c r="B207" s="60"/>
      <c r="C207" s="63"/>
      <c r="D207" s="60"/>
      <c r="E207" s="63"/>
      <c r="F207" s="60"/>
      <c r="G207" s="63"/>
      <c r="H207" s="60"/>
      <c r="I207" s="60"/>
      <c r="J207" s="60"/>
      <c r="K207" s="60"/>
      <c r="L207" s="63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</row>
    <row r="208" spans="1:54">
      <c r="A208" s="60"/>
      <c r="B208" s="60"/>
      <c r="C208" s="63"/>
      <c r="D208" s="60"/>
      <c r="E208" s="63"/>
      <c r="F208" s="60"/>
      <c r="G208" s="63"/>
      <c r="H208" s="60"/>
      <c r="I208" s="60"/>
      <c r="J208" s="60"/>
      <c r="K208" s="60"/>
      <c r="L208" s="63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</row>
    <row r="209" spans="1:54">
      <c r="A209" s="60"/>
      <c r="B209" s="60"/>
      <c r="C209" s="63"/>
      <c r="D209" s="60"/>
      <c r="E209" s="63"/>
      <c r="F209" s="60"/>
      <c r="G209" s="63"/>
      <c r="H209" s="60"/>
      <c r="I209" s="60"/>
      <c r="J209" s="60"/>
      <c r="K209" s="60"/>
      <c r="L209" s="63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</row>
    <row r="210" spans="1:54">
      <c r="A210" s="60"/>
      <c r="B210" s="60"/>
      <c r="C210" s="63"/>
      <c r="D210" s="60"/>
      <c r="E210" s="63"/>
      <c r="F210" s="60"/>
      <c r="G210" s="63"/>
      <c r="H210" s="60"/>
      <c r="I210" s="60"/>
      <c r="J210" s="60"/>
      <c r="K210" s="60"/>
      <c r="L210" s="63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</row>
    <row r="211" spans="1:54">
      <c r="A211" s="60"/>
      <c r="B211" s="60"/>
      <c r="C211" s="63"/>
      <c r="D211" s="60"/>
      <c r="E211" s="63"/>
      <c r="F211" s="60"/>
      <c r="G211" s="63"/>
      <c r="H211" s="60"/>
      <c r="I211" s="60"/>
      <c r="J211" s="60"/>
      <c r="K211" s="60"/>
      <c r="L211" s="63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</row>
    <row r="212" spans="1:54">
      <c r="A212" s="60"/>
      <c r="B212" s="60"/>
      <c r="C212" s="63"/>
      <c r="D212" s="60"/>
      <c r="E212" s="63"/>
      <c r="F212" s="60"/>
      <c r="G212" s="63"/>
      <c r="H212" s="60"/>
      <c r="I212" s="60"/>
      <c r="J212" s="60"/>
      <c r="K212" s="60"/>
      <c r="L212" s="63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</row>
    <row r="213" spans="1:54">
      <c r="A213" s="60"/>
      <c r="B213" s="60"/>
      <c r="C213" s="63"/>
      <c r="D213" s="60"/>
      <c r="E213" s="63"/>
      <c r="F213" s="60"/>
      <c r="G213" s="63"/>
      <c r="H213" s="60"/>
      <c r="I213" s="60"/>
      <c r="J213" s="60"/>
      <c r="K213" s="60"/>
      <c r="L213" s="63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</row>
    <row r="214" spans="1:54">
      <c r="A214" s="60"/>
      <c r="B214" s="60"/>
      <c r="C214" s="63"/>
      <c r="D214" s="60"/>
      <c r="E214" s="63"/>
      <c r="F214" s="60"/>
      <c r="G214" s="63"/>
      <c r="H214" s="60"/>
      <c r="I214" s="60"/>
      <c r="J214" s="60"/>
      <c r="K214" s="60"/>
      <c r="L214" s="63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</row>
    <row r="215" spans="1:54">
      <c r="A215" s="60"/>
      <c r="B215" s="60"/>
      <c r="C215" s="63"/>
      <c r="D215" s="60"/>
      <c r="E215" s="63"/>
      <c r="F215" s="60"/>
      <c r="G215" s="63"/>
      <c r="H215" s="60"/>
      <c r="I215" s="60"/>
      <c r="J215" s="60"/>
      <c r="K215" s="60"/>
      <c r="L215" s="63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</row>
    <row r="216" spans="1:54">
      <c r="A216" s="60"/>
      <c r="B216" s="60"/>
      <c r="C216" s="63"/>
      <c r="D216" s="60"/>
      <c r="E216" s="63"/>
      <c r="F216" s="60"/>
      <c r="G216" s="63"/>
      <c r="H216" s="60"/>
      <c r="I216" s="60"/>
      <c r="J216" s="60"/>
      <c r="K216" s="60"/>
      <c r="L216" s="63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</row>
    <row r="217" spans="1:54">
      <c r="A217" s="60"/>
      <c r="B217" s="60"/>
      <c r="C217" s="63"/>
      <c r="D217" s="60"/>
      <c r="E217" s="63"/>
      <c r="F217" s="60"/>
      <c r="G217" s="63"/>
      <c r="H217" s="60"/>
      <c r="I217" s="60"/>
      <c r="J217" s="60"/>
      <c r="K217" s="60"/>
      <c r="L217" s="63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</row>
    <row r="218" spans="1:54">
      <c r="A218" s="60"/>
      <c r="B218" s="60"/>
      <c r="C218" s="63"/>
      <c r="D218" s="60"/>
      <c r="E218" s="63"/>
      <c r="F218" s="60"/>
      <c r="G218" s="63"/>
      <c r="H218" s="60"/>
      <c r="I218" s="60"/>
      <c r="J218" s="60"/>
      <c r="K218" s="60"/>
      <c r="L218" s="63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</row>
    <row r="219" spans="1:54">
      <c r="A219" s="60"/>
      <c r="B219" s="60"/>
      <c r="C219" s="63"/>
      <c r="D219" s="60"/>
      <c r="E219" s="63"/>
      <c r="F219" s="60"/>
      <c r="G219" s="63"/>
      <c r="H219" s="60"/>
      <c r="I219" s="60"/>
      <c r="J219" s="60"/>
      <c r="K219" s="60"/>
      <c r="L219" s="63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</row>
    <row r="220" spans="1:54">
      <c r="A220" s="60"/>
      <c r="B220" s="60"/>
      <c r="C220" s="63"/>
      <c r="D220" s="60"/>
      <c r="E220" s="63"/>
      <c r="F220" s="60"/>
      <c r="G220" s="63"/>
      <c r="H220" s="60"/>
      <c r="I220" s="60"/>
      <c r="J220" s="60"/>
      <c r="K220" s="60"/>
      <c r="L220" s="63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</row>
    <row r="221" spans="1:54">
      <c r="A221" s="60"/>
      <c r="B221" s="60"/>
      <c r="C221" s="63"/>
      <c r="D221" s="60"/>
      <c r="E221" s="63"/>
      <c r="F221" s="60"/>
      <c r="G221" s="63"/>
      <c r="H221" s="60"/>
      <c r="I221" s="60"/>
      <c r="J221" s="60"/>
      <c r="K221" s="60"/>
      <c r="L221" s="63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</row>
    <row r="222" spans="1:54">
      <c r="A222" s="60"/>
      <c r="B222" s="60"/>
      <c r="C222" s="63"/>
      <c r="D222" s="60"/>
      <c r="E222" s="63"/>
      <c r="F222" s="60"/>
      <c r="G222" s="63"/>
      <c r="H222" s="60"/>
      <c r="I222" s="60"/>
      <c r="J222" s="60"/>
      <c r="K222" s="60"/>
      <c r="L222" s="63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</row>
    <row r="223" spans="1:54">
      <c r="A223" s="60"/>
      <c r="B223" s="60"/>
      <c r="C223" s="63"/>
      <c r="D223" s="60"/>
      <c r="E223" s="63"/>
      <c r="F223" s="60"/>
      <c r="G223" s="63"/>
      <c r="H223" s="60"/>
      <c r="I223" s="60"/>
      <c r="J223" s="60"/>
      <c r="K223" s="60"/>
      <c r="L223" s="63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</row>
    <row r="224" spans="1:54">
      <c r="A224" s="60"/>
      <c r="B224" s="60"/>
      <c r="C224" s="63"/>
      <c r="D224" s="60"/>
      <c r="E224" s="63"/>
      <c r="F224" s="60"/>
      <c r="G224" s="63"/>
      <c r="H224" s="60"/>
      <c r="I224" s="60"/>
      <c r="J224" s="60"/>
      <c r="K224" s="60"/>
      <c r="L224" s="63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</row>
    <row r="225" spans="1:54">
      <c r="A225" s="60"/>
      <c r="B225" s="60"/>
      <c r="C225" s="63"/>
      <c r="D225" s="60"/>
      <c r="E225" s="63"/>
      <c r="F225" s="60"/>
      <c r="G225" s="63"/>
      <c r="H225" s="60"/>
      <c r="I225" s="60"/>
      <c r="J225" s="60"/>
      <c r="K225" s="60"/>
      <c r="L225" s="63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</row>
    <row r="226" spans="1:54">
      <c r="A226" s="60"/>
      <c r="B226" s="60"/>
      <c r="C226" s="63"/>
      <c r="D226" s="60"/>
      <c r="E226" s="63"/>
      <c r="F226" s="60"/>
      <c r="G226" s="63"/>
      <c r="H226" s="60"/>
      <c r="I226" s="60"/>
      <c r="J226" s="60"/>
      <c r="K226" s="60"/>
      <c r="L226" s="63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</row>
    <row r="227" spans="1:54">
      <c r="A227" s="60"/>
      <c r="B227" s="60"/>
      <c r="C227" s="63"/>
      <c r="D227" s="60"/>
      <c r="E227" s="63"/>
      <c r="F227" s="60"/>
      <c r="G227" s="63"/>
      <c r="H227" s="60"/>
      <c r="I227" s="60"/>
      <c r="J227" s="60"/>
      <c r="K227" s="60"/>
      <c r="L227" s="63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</row>
    <row r="228" spans="1:54">
      <c r="A228" s="60"/>
      <c r="B228" s="60"/>
      <c r="C228" s="63"/>
      <c r="D228" s="60"/>
      <c r="E228" s="63"/>
      <c r="F228" s="60"/>
      <c r="G228" s="63"/>
      <c r="H228" s="60"/>
      <c r="I228" s="60"/>
      <c r="J228" s="60"/>
      <c r="K228" s="60"/>
      <c r="L228" s="63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</row>
    <row r="229" spans="1:54">
      <c r="A229" s="60"/>
      <c r="B229" s="60"/>
      <c r="C229" s="63"/>
      <c r="D229" s="60"/>
      <c r="E229" s="63"/>
      <c r="F229" s="60"/>
      <c r="G229" s="63"/>
      <c r="H229" s="60"/>
      <c r="I229" s="60"/>
      <c r="J229" s="60"/>
      <c r="K229" s="60"/>
      <c r="L229" s="63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</row>
    <row r="230" spans="1:54">
      <c r="A230" s="60"/>
      <c r="B230" s="60"/>
      <c r="C230" s="63"/>
      <c r="D230" s="60"/>
      <c r="E230" s="63"/>
      <c r="F230" s="60"/>
      <c r="G230" s="63"/>
      <c r="H230" s="60"/>
      <c r="I230" s="60"/>
      <c r="J230" s="60"/>
      <c r="K230" s="60"/>
      <c r="L230" s="63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</row>
    <row r="231" spans="1:54">
      <c r="A231" s="60"/>
      <c r="B231" s="60"/>
      <c r="C231" s="63"/>
      <c r="D231" s="60"/>
      <c r="E231" s="63"/>
      <c r="F231" s="60"/>
      <c r="G231" s="63"/>
      <c r="H231" s="60"/>
      <c r="I231" s="60"/>
      <c r="J231" s="60"/>
      <c r="K231" s="60"/>
      <c r="L231" s="63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</row>
    <row r="232" spans="1:54">
      <c r="A232" s="60"/>
      <c r="B232" s="60"/>
      <c r="C232" s="63"/>
      <c r="D232" s="60"/>
      <c r="E232" s="63"/>
      <c r="F232" s="60"/>
      <c r="G232" s="63"/>
      <c r="H232" s="60"/>
      <c r="I232" s="60"/>
      <c r="J232" s="60"/>
      <c r="K232" s="60"/>
      <c r="L232" s="63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</row>
    <row r="233" spans="1:54">
      <c r="A233" s="60"/>
      <c r="B233" s="60"/>
      <c r="C233" s="63"/>
      <c r="D233" s="60"/>
      <c r="E233" s="63"/>
      <c r="F233" s="60"/>
      <c r="G233" s="63"/>
      <c r="H233" s="60"/>
      <c r="I233" s="60"/>
      <c r="J233" s="60"/>
      <c r="K233" s="60"/>
      <c r="L233" s="63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</row>
    <row r="234" spans="1:54">
      <c r="A234" s="60"/>
      <c r="B234" s="60"/>
      <c r="C234" s="63"/>
      <c r="D234" s="60"/>
      <c r="E234" s="63"/>
      <c r="F234" s="60"/>
      <c r="G234" s="63"/>
      <c r="H234" s="60"/>
      <c r="I234" s="60"/>
      <c r="J234" s="60"/>
      <c r="K234" s="60"/>
      <c r="L234" s="63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</row>
    <row r="235" spans="1:54">
      <c r="A235" s="60"/>
      <c r="B235" s="60"/>
      <c r="C235" s="63"/>
      <c r="D235" s="60"/>
      <c r="E235" s="63"/>
      <c r="F235" s="60"/>
      <c r="G235" s="63"/>
      <c r="H235" s="60"/>
      <c r="I235" s="60"/>
      <c r="J235" s="60"/>
      <c r="K235" s="60"/>
      <c r="L235" s="63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</row>
    <row r="236" spans="1:54">
      <c r="A236" s="60"/>
      <c r="B236" s="60"/>
      <c r="C236" s="63"/>
      <c r="D236" s="60"/>
      <c r="E236" s="63"/>
      <c r="F236" s="60"/>
      <c r="G236" s="63"/>
      <c r="H236" s="60"/>
      <c r="I236" s="60"/>
      <c r="J236" s="60"/>
      <c r="K236" s="60"/>
      <c r="L236" s="63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</row>
    <row r="237" spans="1:54">
      <c r="A237" s="60"/>
      <c r="B237" s="60"/>
      <c r="C237" s="63"/>
      <c r="D237" s="60"/>
      <c r="E237" s="63"/>
      <c r="F237" s="60"/>
      <c r="G237" s="63"/>
      <c r="H237" s="60"/>
      <c r="I237" s="60"/>
      <c r="J237" s="60"/>
      <c r="K237" s="60"/>
      <c r="L237" s="63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</row>
    <row r="238" spans="1:54">
      <c r="A238" s="60"/>
      <c r="B238" s="60"/>
      <c r="C238" s="63"/>
      <c r="D238" s="60"/>
      <c r="E238" s="63"/>
      <c r="F238" s="60"/>
      <c r="G238" s="63"/>
      <c r="H238" s="60"/>
      <c r="I238" s="60"/>
      <c r="J238" s="60"/>
      <c r="K238" s="60"/>
      <c r="L238" s="63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</row>
    <row r="239" spans="1:54">
      <c r="A239" s="60"/>
      <c r="B239" s="60"/>
      <c r="C239" s="63"/>
      <c r="D239" s="60"/>
      <c r="E239" s="63"/>
      <c r="F239" s="60"/>
      <c r="G239" s="63"/>
      <c r="H239" s="60"/>
      <c r="I239" s="60"/>
      <c r="J239" s="60"/>
      <c r="K239" s="60"/>
      <c r="L239" s="63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</row>
    <row r="240" spans="1:54">
      <c r="A240" s="60"/>
      <c r="B240" s="60"/>
      <c r="C240" s="63"/>
      <c r="D240" s="60"/>
      <c r="E240" s="63"/>
      <c r="F240" s="60"/>
      <c r="G240" s="63"/>
      <c r="H240" s="60"/>
      <c r="I240" s="60"/>
      <c r="J240" s="60"/>
      <c r="K240" s="60"/>
      <c r="L240" s="63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</row>
    <row r="241" spans="1:54">
      <c r="A241" s="60"/>
      <c r="B241" s="60"/>
      <c r="C241" s="63"/>
      <c r="D241" s="60"/>
      <c r="E241" s="63"/>
      <c r="F241" s="60"/>
      <c r="G241" s="63"/>
      <c r="H241" s="60"/>
      <c r="I241" s="60"/>
      <c r="J241" s="60"/>
      <c r="K241" s="60"/>
      <c r="L241" s="63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</row>
    <row r="242" spans="1:54">
      <c r="A242" s="60"/>
      <c r="B242" s="60"/>
      <c r="C242" s="63"/>
      <c r="D242" s="60"/>
      <c r="E242" s="63"/>
      <c r="F242" s="60"/>
      <c r="G242" s="63"/>
      <c r="H242" s="60"/>
      <c r="I242" s="60"/>
      <c r="J242" s="60"/>
      <c r="K242" s="60"/>
      <c r="L242" s="63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</row>
    <row r="243" spans="1:54">
      <c r="A243" s="60"/>
      <c r="B243" s="60"/>
      <c r="C243" s="63"/>
      <c r="D243" s="60"/>
      <c r="E243" s="63"/>
      <c r="F243" s="60"/>
      <c r="G243" s="63"/>
      <c r="H243" s="60"/>
      <c r="I243" s="60"/>
      <c r="J243" s="60"/>
      <c r="K243" s="60"/>
      <c r="L243" s="63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</row>
    <row r="244" spans="1:54">
      <c r="A244" s="60"/>
      <c r="B244" s="60"/>
      <c r="C244" s="63"/>
      <c r="D244" s="60"/>
      <c r="E244" s="63"/>
      <c r="F244" s="60"/>
      <c r="G244" s="63"/>
      <c r="H244" s="60"/>
      <c r="I244" s="60"/>
      <c r="J244" s="60"/>
      <c r="K244" s="60"/>
      <c r="L244" s="63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</row>
    <row r="245" spans="1:54">
      <c r="A245" s="60"/>
      <c r="B245" s="60"/>
      <c r="C245" s="63"/>
      <c r="D245" s="60"/>
      <c r="E245" s="63"/>
      <c r="F245" s="60"/>
      <c r="G245" s="63"/>
      <c r="H245" s="60"/>
      <c r="I245" s="60"/>
      <c r="J245" s="60"/>
      <c r="K245" s="60"/>
      <c r="L245" s="63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</row>
    <row r="246" spans="1:54">
      <c r="A246" s="60"/>
      <c r="B246" s="60"/>
      <c r="C246" s="63"/>
      <c r="D246" s="60"/>
      <c r="E246" s="63"/>
      <c r="F246" s="60"/>
      <c r="G246" s="63"/>
      <c r="H246" s="60"/>
      <c r="I246" s="60"/>
      <c r="J246" s="60"/>
      <c r="K246" s="60"/>
      <c r="L246" s="63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</row>
    <row r="247" spans="1:54">
      <c r="A247" s="60"/>
      <c r="B247" s="60"/>
      <c r="C247" s="63"/>
      <c r="D247" s="60"/>
      <c r="E247" s="63"/>
      <c r="F247" s="60"/>
      <c r="G247" s="63"/>
      <c r="H247" s="60"/>
      <c r="I247" s="60"/>
      <c r="J247" s="60"/>
      <c r="K247" s="60"/>
      <c r="L247" s="63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</row>
    <row r="248" spans="1:54">
      <c r="A248" s="60"/>
      <c r="B248" s="60"/>
      <c r="C248" s="63"/>
      <c r="D248" s="60"/>
      <c r="E248" s="63"/>
      <c r="F248" s="60"/>
      <c r="G248" s="63"/>
      <c r="H248" s="60"/>
      <c r="I248" s="60"/>
      <c r="J248" s="60"/>
      <c r="K248" s="60"/>
      <c r="L248" s="63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</row>
    <row r="249" spans="1:54">
      <c r="A249" s="60"/>
      <c r="B249" s="60"/>
      <c r="C249" s="63"/>
      <c r="D249" s="60"/>
      <c r="E249" s="63"/>
      <c r="F249" s="60"/>
      <c r="G249" s="63"/>
      <c r="H249" s="60"/>
      <c r="I249" s="60"/>
      <c r="J249" s="60"/>
      <c r="K249" s="60"/>
      <c r="L249" s="63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</row>
    <row r="250" spans="1:54">
      <c r="A250" s="60"/>
      <c r="B250" s="60"/>
      <c r="C250" s="63"/>
      <c r="D250" s="60"/>
      <c r="E250" s="63"/>
      <c r="F250" s="60"/>
      <c r="G250" s="63"/>
      <c r="H250" s="60"/>
      <c r="I250" s="60"/>
      <c r="J250" s="60"/>
      <c r="K250" s="60"/>
      <c r="L250" s="63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</row>
    <row r="251" spans="1:54">
      <c r="A251" s="60"/>
      <c r="B251" s="60"/>
      <c r="C251" s="63"/>
      <c r="D251" s="60"/>
      <c r="E251" s="63"/>
      <c r="F251" s="60"/>
      <c r="G251" s="63"/>
      <c r="H251" s="60"/>
      <c r="I251" s="60"/>
      <c r="J251" s="60"/>
      <c r="K251" s="60"/>
      <c r="L251" s="63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</row>
    <row r="252" spans="1:54">
      <c r="A252" s="60"/>
      <c r="B252" s="60"/>
      <c r="C252" s="63"/>
      <c r="D252" s="60"/>
      <c r="E252" s="63"/>
      <c r="F252" s="60"/>
      <c r="G252" s="63"/>
      <c r="H252" s="60"/>
      <c r="I252" s="60"/>
      <c r="J252" s="60"/>
      <c r="K252" s="60"/>
      <c r="L252" s="63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</row>
    <row r="253" spans="1:54">
      <c r="A253" s="60"/>
      <c r="B253" s="60"/>
      <c r="C253" s="63"/>
      <c r="D253" s="60"/>
      <c r="E253" s="63"/>
      <c r="F253" s="60"/>
      <c r="G253" s="63"/>
      <c r="H253" s="60"/>
      <c r="I253" s="60"/>
      <c r="J253" s="60"/>
      <c r="K253" s="60"/>
      <c r="L253" s="63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</row>
    <row r="254" spans="1:54">
      <c r="A254" s="60"/>
      <c r="B254" s="60"/>
      <c r="C254" s="63"/>
      <c r="D254" s="60"/>
      <c r="E254" s="63"/>
      <c r="F254" s="60"/>
      <c r="G254" s="63"/>
      <c r="H254" s="60"/>
      <c r="I254" s="60"/>
      <c r="J254" s="60"/>
      <c r="K254" s="60"/>
      <c r="L254" s="63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</row>
    <row r="255" spans="1:54">
      <c r="A255" s="60"/>
      <c r="B255" s="60"/>
      <c r="C255" s="63"/>
      <c r="D255" s="60"/>
      <c r="E255" s="63"/>
      <c r="F255" s="60"/>
      <c r="G255" s="63"/>
      <c r="H255" s="60"/>
      <c r="I255" s="60"/>
      <c r="J255" s="60"/>
      <c r="K255" s="60"/>
      <c r="L255" s="63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</row>
    <row r="256" spans="1:54">
      <c r="A256" s="60"/>
      <c r="B256" s="60"/>
      <c r="C256" s="63"/>
      <c r="D256" s="60"/>
      <c r="E256" s="63"/>
      <c r="F256" s="60"/>
      <c r="G256" s="63"/>
      <c r="H256" s="60"/>
      <c r="I256" s="60"/>
      <c r="J256" s="60"/>
      <c r="K256" s="60"/>
      <c r="L256" s="63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</row>
    <row r="257" spans="1:54">
      <c r="A257" s="60"/>
      <c r="B257" s="60"/>
      <c r="C257" s="63"/>
      <c r="D257" s="60"/>
      <c r="E257" s="63"/>
      <c r="F257" s="60"/>
      <c r="G257" s="63"/>
      <c r="H257" s="60"/>
      <c r="I257" s="60"/>
      <c r="J257" s="60"/>
      <c r="K257" s="60"/>
      <c r="L257" s="63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</row>
    <row r="258" spans="1:54">
      <c r="A258" s="60"/>
      <c r="B258" s="60"/>
      <c r="C258" s="63"/>
      <c r="D258" s="60"/>
      <c r="E258" s="63"/>
      <c r="F258" s="60"/>
      <c r="G258" s="63"/>
      <c r="H258" s="60"/>
      <c r="I258" s="60"/>
      <c r="J258" s="60"/>
      <c r="K258" s="60"/>
      <c r="L258" s="63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</row>
    <row r="259" spans="1:54">
      <c r="A259" s="60"/>
      <c r="B259" s="60"/>
      <c r="C259" s="63"/>
      <c r="D259" s="60"/>
      <c r="E259" s="63"/>
      <c r="F259" s="60"/>
      <c r="G259" s="63"/>
      <c r="H259" s="60"/>
      <c r="I259" s="60"/>
      <c r="J259" s="60"/>
      <c r="K259" s="60"/>
      <c r="L259" s="63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</row>
    <row r="260" spans="1:54">
      <c r="A260" s="60"/>
      <c r="B260" s="60"/>
      <c r="C260" s="63"/>
      <c r="D260" s="60"/>
      <c r="E260" s="63"/>
      <c r="F260" s="60"/>
      <c r="G260" s="63"/>
      <c r="H260" s="60"/>
      <c r="I260" s="60"/>
      <c r="J260" s="60"/>
      <c r="K260" s="60"/>
      <c r="L260" s="63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</row>
    <row r="261" spans="1:54">
      <c r="A261" s="60"/>
      <c r="B261" s="60"/>
      <c r="C261" s="63"/>
      <c r="D261" s="60"/>
      <c r="E261" s="63"/>
      <c r="F261" s="60"/>
      <c r="G261" s="63"/>
      <c r="H261" s="60"/>
      <c r="I261" s="60"/>
      <c r="J261" s="60"/>
      <c r="K261" s="60"/>
      <c r="L261" s="63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</row>
    <row r="262" spans="1:54">
      <c r="A262" s="60"/>
      <c r="B262" s="60"/>
      <c r="C262" s="63"/>
      <c r="D262" s="60"/>
      <c r="E262" s="63"/>
      <c r="F262" s="60"/>
      <c r="G262" s="63"/>
      <c r="H262" s="60"/>
      <c r="I262" s="60"/>
      <c r="J262" s="60"/>
      <c r="K262" s="60"/>
      <c r="L262" s="63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</row>
    <row r="263" spans="1:54">
      <c r="A263" s="60"/>
      <c r="B263" s="60"/>
      <c r="C263" s="63"/>
      <c r="D263" s="60"/>
      <c r="E263" s="63"/>
      <c r="F263" s="60"/>
      <c r="G263" s="63"/>
      <c r="H263" s="60"/>
      <c r="I263" s="60"/>
      <c r="J263" s="60"/>
      <c r="K263" s="60"/>
      <c r="L263" s="63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</row>
    <row r="264" spans="1:54">
      <c r="A264" s="60"/>
      <c r="B264" s="60"/>
      <c r="C264" s="63"/>
      <c r="D264" s="60"/>
      <c r="E264" s="63"/>
      <c r="F264" s="60"/>
      <c r="G264" s="63"/>
      <c r="H264" s="60"/>
      <c r="I264" s="60"/>
      <c r="J264" s="60"/>
      <c r="K264" s="60"/>
      <c r="L264" s="63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</row>
    <row r="265" spans="1:54">
      <c r="A265" s="60"/>
      <c r="B265" s="60"/>
      <c r="C265" s="63"/>
      <c r="D265" s="60"/>
      <c r="E265" s="63"/>
      <c r="F265" s="60"/>
      <c r="G265" s="63"/>
      <c r="H265" s="60"/>
      <c r="I265" s="60"/>
      <c r="J265" s="60"/>
      <c r="K265" s="60"/>
      <c r="L265" s="63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</row>
    <row r="266" spans="1:54">
      <c r="A266" s="60"/>
      <c r="B266" s="60"/>
      <c r="C266" s="63"/>
      <c r="D266" s="60"/>
      <c r="E266" s="63"/>
      <c r="F266" s="60"/>
      <c r="G266" s="63"/>
      <c r="H266" s="60"/>
      <c r="I266" s="60"/>
      <c r="J266" s="60"/>
      <c r="K266" s="60"/>
      <c r="L266" s="63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</row>
    <row r="267" spans="1:54">
      <c r="A267" s="60"/>
      <c r="B267" s="60"/>
      <c r="C267" s="63"/>
      <c r="D267" s="60"/>
      <c r="E267" s="63"/>
      <c r="F267" s="60"/>
      <c r="G267" s="63"/>
      <c r="H267" s="60"/>
      <c r="I267" s="60"/>
      <c r="J267" s="60"/>
      <c r="K267" s="60"/>
      <c r="L267" s="63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</row>
    <row r="268" spans="1:54">
      <c r="A268" s="60"/>
      <c r="B268" s="60"/>
      <c r="C268" s="63"/>
      <c r="D268" s="60"/>
      <c r="E268" s="63"/>
      <c r="F268" s="60"/>
      <c r="G268" s="63"/>
      <c r="H268" s="60"/>
      <c r="I268" s="60"/>
      <c r="J268" s="60"/>
      <c r="K268" s="60"/>
      <c r="L268" s="63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</row>
    <row r="269" spans="1:54">
      <c r="A269" s="60"/>
      <c r="B269" s="60"/>
      <c r="C269" s="63"/>
      <c r="D269" s="60"/>
      <c r="E269" s="63"/>
      <c r="F269" s="60"/>
      <c r="G269" s="63"/>
      <c r="H269" s="60"/>
      <c r="I269" s="60"/>
      <c r="J269" s="60"/>
      <c r="K269" s="60"/>
      <c r="L269" s="63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</row>
    <row r="270" spans="1:54">
      <c r="A270" s="60"/>
      <c r="B270" s="60"/>
      <c r="C270" s="63"/>
      <c r="D270" s="60"/>
      <c r="E270" s="63"/>
      <c r="F270" s="60"/>
      <c r="G270" s="63"/>
      <c r="H270" s="60"/>
      <c r="I270" s="60"/>
      <c r="J270" s="60"/>
      <c r="K270" s="60"/>
      <c r="L270" s="63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</row>
    <row r="271" spans="1:54">
      <c r="A271" s="60"/>
      <c r="B271" s="60"/>
      <c r="C271" s="63"/>
      <c r="D271" s="60"/>
      <c r="E271" s="63"/>
      <c r="F271" s="60"/>
      <c r="G271" s="63"/>
      <c r="H271" s="60"/>
      <c r="I271" s="60"/>
      <c r="J271" s="60"/>
      <c r="K271" s="60"/>
      <c r="L271" s="63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</row>
    <row r="272" spans="1:54">
      <c r="A272" s="60"/>
      <c r="B272" s="60"/>
      <c r="C272" s="63"/>
      <c r="D272" s="60"/>
      <c r="E272" s="63"/>
      <c r="F272" s="60"/>
      <c r="G272" s="63"/>
      <c r="H272" s="60"/>
      <c r="I272" s="60"/>
      <c r="J272" s="60"/>
      <c r="K272" s="60"/>
      <c r="L272" s="63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</row>
    <row r="273" spans="1:54">
      <c r="A273" s="60"/>
      <c r="B273" s="60"/>
      <c r="C273" s="63"/>
      <c r="D273" s="60"/>
      <c r="E273" s="63"/>
      <c r="F273" s="60"/>
      <c r="G273" s="63"/>
      <c r="H273" s="60"/>
      <c r="I273" s="60"/>
      <c r="J273" s="60"/>
      <c r="K273" s="60"/>
      <c r="L273" s="63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</row>
    <row r="274" spans="1:54">
      <c r="A274" s="60"/>
      <c r="B274" s="60"/>
      <c r="C274" s="63"/>
      <c r="D274" s="60"/>
      <c r="E274" s="63"/>
      <c r="F274" s="60"/>
      <c r="G274" s="63"/>
      <c r="H274" s="60"/>
      <c r="I274" s="60"/>
      <c r="J274" s="60"/>
      <c r="K274" s="60"/>
      <c r="L274" s="63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</row>
    <row r="275" spans="1:54">
      <c r="A275" s="60"/>
      <c r="B275" s="60"/>
      <c r="C275" s="63"/>
      <c r="D275" s="60"/>
      <c r="E275" s="63"/>
      <c r="F275" s="60"/>
      <c r="G275" s="63"/>
      <c r="H275" s="60"/>
      <c r="I275" s="60"/>
      <c r="J275" s="60"/>
      <c r="K275" s="60"/>
      <c r="L275" s="63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</row>
    <row r="276" spans="1:54">
      <c r="A276" s="60"/>
      <c r="B276" s="60"/>
      <c r="C276" s="63"/>
      <c r="D276" s="60"/>
      <c r="E276" s="63"/>
      <c r="F276" s="60"/>
      <c r="G276" s="63"/>
      <c r="H276" s="60"/>
      <c r="I276" s="60"/>
      <c r="J276" s="60"/>
      <c r="K276" s="60"/>
      <c r="L276" s="63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</row>
    <row r="277" spans="1:54">
      <c r="A277" s="60"/>
      <c r="B277" s="60"/>
      <c r="C277" s="63"/>
      <c r="D277" s="60"/>
      <c r="E277" s="63"/>
      <c r="F277" s="60"/>
      <c r="G277" s="63"/>
      <c r="H277" s="60"/>
      <c r="I277" s="60"/>
      <c r="J277" s="60"/>
      <c r="K277" s="60"/>
      <c r="L277" s="63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</row>
    <row r="278" spans="1:54">
      <c r="A278" s="60"/>
      <c r="B278" s="60"/>
      <c r="C278" s="63"/>
      <c r="D278" s="60"/>
      <c r="E278" s="63"/>
      <c r="F278" s="60"/>
      <c r="G278" s="63"/>
      <c r="H278" s="60"/>
      <c r="I278" s="60"/>
      <c r="J278" s="60"/>
      <c r="K278" s="60"/>
      <c r="L278" s="63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</row>
    <row r="279" spans="1:54">
      <c r="A279" s="60"/>
      <c r="B279" s="60"/>
      <c r="C279" s="63"/>
      <c r="D279" s="60"/>
      <c r="E279" s="63"/>
      <c r="F279" s="60"/>
      <c r="G279" s="63"/>
      <c r="H279" s="60"/>
      <c r="I279" s="60"/>
      <c r="J279" s="60"/>
      <c r="K279" s="60"/>
      <c r="L279" s="63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</row>
    <row r="280" spans="1:54">
      <c r="A280" s="60"/>
      <c r="B280" s="60"/>
      <c r="C280" s="63"/>
      <c r="D280" s="60"/>
      <c r="E280" s="63"/>
      <c r="F280" s="60"/>
      <c r="G280" s="63"/>
      <c r="H280" s="60"/>
      <c r="I280" s="60"/>
      <c r="J280" s="60"/>
      <c r="K280" s="60"/>
      <c r="L280" s="63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</row>
    <row r="281" spans="1:54">
      <c r="A281" s="60"/>
      <c r="B281" s="60"/>
      <c r="C281" s="63"/>
      <c r="D281" s="60"/>
      <c r="E281" s="63"/>
      <c r="F281" s="60"/>
      <c r="G281" s="63"/>
      <c r="H281" s="60"/>
      <c r="I281" s="60"/>
      <c r="J281" s="60"/>
      <c r="K281" s="60"/>
      <c r="L281" s="63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</row>
    <row r="282" spans="1:54">
      <c r="A282" s="60"/>
      <c r="B282" s="60"/>
      <c r="C282" s="63"/>
      <c r="D282" s="60"/>
      <c r="E282" s="63"/>
      <c r="F282" s="60"/>
      <c r="G282" s="63"/>
      <c r="H282" s="60"/>
      <c r="I282" s="60"/>
      <c r="J282" s="60"/>
      <c r="K282" s="60"/>
      <c r="L282" s="63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</row>
    <row r="283" spans="1:54">
      <c r="A283" s="60"/>
      <c r="B283" s="60"/>
      <c r="C283" s="63"/>
      <c r="D283" s="60"/>
      <c r="E283" s="63"/>
      <c r="F283" s="60"/>
      <c r="G283" s="63"/>
      <c r="H283" s="60"/>
      <c r="I283" s="60"/>
      <c r="J283" s="60"/>
      <c r="K283" s="60"/>
      <c r="L283" s="63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</row>
    <row r="284" spans="1:54">
      <c r="A284" s="60"/>
      <c r="B284" s="60"/>
      <c r="C284" s="63"/>
      <c r="D284" s="60"/>
      <c r="E284" s="63"/>
      <c r="F284" s="60"/>
      <c r="G284" s="63"/>
      <c r="H284" s="60"/>
      <c r="I284" s="60"/>
      <c r="J284" s="60"/>
      <c r="K284" s="60"/>
      <c r="L284" s="63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</row>
    <row r="285" spans="1:54">
      <c r="A285" s="60"/>
      <c r="B285" s="60"/>
      <c r="C285" s="63"/>
      <c r="D285" s="60"/>
      <c r="E285" s="63"/>
      <c r="F285" s="60"/>
      <c r="G285" s="63"/>
      <c r="H285" s="60"/>
      <c r="I285" s="60"/>
      <c r="J285" s="60"/>
      <c r="K285" s="60"/>
      <c r="L285" s="63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</row>
    <row r="286" spans="1:54">
      <c r="A286" s="60"/>
      <c r="B286" s="60"/>
      <c r="C286" s="63"/>
      <c r="D286" s="60"/>
      <c r="E286" s="63"/>
      <c r="F286" s="60"/>
      <c r="G286" s="63"/>
      <c r="H286" s="60"/>
      <c r="I286" s="60"/>
      <c r="J286" s="60"/>
      <c r="K286" s="60"/>
      <c r="L286" s="63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</row>
    <row r="287" spans="1:54">
      <c r="A287" s="60"/>
      <c r="B287" s="60"/>
      <c r="C287" s="63"/>
      <c r="D287" s="60"/>
      <c r="E287" s="63"/>
      <c r="F287" s="60"/>
      <c r="G287" s="63"/>
      <c r="H287" s="60"/>
      <c r="I287" s="60"/>
      <c r="J287" s="60"/>
      <c r="K287" s="60"/>
      <c r="L287" s="63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</row>
    <row r="288" spans="1:54">
      <c r="A288" s="60"/>
      <c r="B288" s="60"/>
      <c r="C288" s="63"/>
      <c r="D288" s="60"/>
      <c r="E288" s="63"/>
      <c r="F288" s="60"/>
      <c r="G288" s="63"/>
      <c r="H288" s="60"/>
      <c r="I288" s="60"/>
      <c r="J288" s="60"/>
      <c r="K288" s="60"/>
      <c r="L288" s="63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</row>
    <row r="289" spans="1:54">
      <c r="A289" s="60"/>
      <c r="B289" s="60"/>
      <c r="C289" s="63"/>
      <c r="D289" s="60"/>
      <c r="E289" s="63"/>
      <c r="F289" s="60"/>
      <c r="G289" s="63"/>
      <c r="H289" s="60"/>
      <c r="I289" s="60"/>
      <c r="J289" s="60"/>
      <c r="K289" s="60"/>
      <c r="L289" s="63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</row>
    <row r="290" spans="1:54">
      <c r="A290" s="60"/>
      <c r="B290" s="60"/>
      <c r="C290" s="63"/>
      <c r="D290" s="60"/>
      <c r="E290" s="63"/>
      <c r="F290" s="60"/>
      <c r="G290" s="63"/>
      <c r="H290" s="60"/>
      <c r="I290" s="60"/>
      <c r="J290" s="60"/>
      <c r="K290" s="60"/>
      <c r="L290" s="63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</row>
    <row r="291" spans="1:54">
      <c r="A291" s="60"/>
      <c r="B291" s="60"/>
      <c r="C291" s="63"/>
      <c r="D291" s="60"/>
      <c r="E291" s="63"/>
      <c r="F291" s="60"/>
      <c r="G291" s="63"/>
      <c r="H291" s="60"/>
      <c r="I291" s="60"/>
      <c r="J291" s="60"/>
      <c r="K291" s="60"/>
      <c r="L291" s="63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</row>
    <row r="292" spans="1:54">
      <c r="A292" s="60"/>
      <c r="B292" s="60"/>
      <c r="C292" s="63"/>
      <c r="D292" s="60"/>
      <c r="E292" s="63"/>
      <c r="F292" s="60"/>
      <c r="G292" s="63"/>
      <c r="H292" s="60"/>
      <c r="I292" s="60"/>
      <c r="J292" s="60"/>
      <c r="K292" s="60"/>
      <c r="L292" s="63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</row>
    <row r="293" spans="1:54">
      <c r="A293" s="60"/>
      <c r="B293" s="60"/>
      <c r="C293" s="63"/>
      <c r="D293" s="60"/>
      <c r="E293" s="63"/>
      <c r="F293" s="60"/>
      <c r="G293" s="63"/>
      <c r="H293" s="60"/>
      <c r="I293" s="60"/>
      <c r="J293" s="60"/>
      <c r="K293" s="60"/>
      <c r="L293" s="63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</row>
    <row r="294" spans="1:54">
      <c r="A294" s="60"/>
      <c r="B294" s="60"/>
      <c r="C294" s="63"/>
      <c r="D294" s="60"/>
      <c r="E294" s="63"/>
      <c r="F294" s="60"/>
      <c r="G294" s="63"/>
      <c r="H294" s="60"/>
      <c r="I294" s="60"/>
      <c r="J294" s="60"/>
      <c r="K294" s="60"/>
      <c r="L294" s="63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</row>
    <row r="295" spans="1:54">
      <c r="A295" s="60"/>
      <c r="B295" s="60"/>
      <c r="C295" s="63"/>
      <c r="D295" s="60"/>
      <c r="E295" s="63"/>
      <c r="F295" s="60"/>
      <c r="G295" s="63"/>
      <c r="H295" s="60"/>
      <c r="I295" s="60"/>
      <c r="J295" s="60"/>
      <c r="K295" s="60"/>
      <c r="L295" s="63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</row>
    <row r="296" spans="1:54">
      <c r="A296" s="60"/>
      <c r="B296" s="60"/>
      <c r="C296" s="63"/>
      <c r="D296" s="60"/>
      <c r="E296" s="63"/>
      <c r="F296" s="60"/>
      <c r="G296" s="63"/>
      <c r="H296" s="60"/>
      <c r="I296" s="60"/>
      <c r="J296" s="60"/>
      <c r="K296" s="60"/>
      <c r="L296" s="63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</row>
    <row r="297" spans="1:54">
      <c r="A297" s="60"/>
      <c r="B297" s="60"/>
      <c r="C297" s="63"/>
      <c r="D297" s="60"/>
      <c r="E297" s="63"/>
      <c r="F297" s="60"/>
      <c r="G297" s="63"/>
      <c r="H297" s="60"/>
      <c r="I297" s="60"/>
      <c r="J297" s="60"/>
      <c r="K297" s="60"/>
      <c r="L297" s="63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</row>
    <row r="298" spans="1:54">
      <c r="A298" s="60"/>
      <c r="B298" s="60"/>
      <c r="C298" s="63"/>
      <c r="D298" s="60"/>
      <c r="E298" s="63"/>
      <c r="F298" s="60"/>
      <c r="G298" s="63"/>
      <c r="H298" s="60"/>
      <c r="I298" s="60"/>
      <c r="J298" s="60"/>
      <c r="K298" s="60"/>
      <c r="L298" s="63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</row>
    <row r="299" spans="1:54">
      <c r="A299" s="60"/>
      <c r="B299" s="60"/>
      <c r="C299" s="63"/>
      <c r="D299" s="60"/>
      <c r="E299" s="63"/>
      <c r="F299" s="60"/>
      <c r="G299" s="63"/>
      <c r="H299" s="60"/>
      <c r="I299" s="60"/>
      <c r="J299" s="60"/>
      <c r="K299" s="60"/>
      <c r="L299" s="63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</row>
    <row r="300" spans="1:54">
      <c r="A300" s="60"/>
      <c r="B300" s="60"/>
      <c r="C300" s="63"/>
      <c r="D300" s="60"/>
      <c r="E300" s="63"/>
      <c r="F300" s="60"/>
      <c r="G300" s="63"/>
      <c r="H300" s="60"/>
      <c r="I300" s="60"/>
      <c r="J300" s="60"/>
      <c r="K300" s="60"/>
      <c r="L300" s="63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</row>
    <row r="301" spans="1:54">
      <c r="A301" s="60"/>
      <c r="B301" s="60"/>
      <c r="C301" s="63"/>
      <c r="D301" s="60"/>
      <c r="E301" s="63"/>
      <c r="F301" s="60"/>
      <c r="G301" s="63"/>
      <c r="H301" s="60"/>
      <c r="I301" s="60"/>
      <c r="J301" s="60"/>
      <c r="K301" s="60"/>
      <c r="L301" s="63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</row>
    <row r="302" spans="1:54">
      <c r="A302" s="60"/>
      <c r="B302" s="60"/>
      <c r="C302" s="63"/>
      <c r="D302" s="60"/>
      <c r="E302" s="63"/>
      <c r="F302" s="60"/>
      <c r="G302" s="63"/>
      <c r="H302" s="60"/>
      <c r="I302" s="60"/>
      <c r="J302" s="60"/>
      <c r="K302" s="60"/>
      <c r="L302" s="63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</row>
    <row r="303" spans="1:54">
      <c r="A303" s="60"/>
      <c r="B303" s="60"/>
      <c r="C303" s="63"/>
      <c r="D303" s="60"/>
      <c r="E303" s="63"/>
      <c r="F303" s="60"/>
      <c r="G303" s="63"/>
      <c r="H303" s="60"/>
      <c r="I303" s="60"/>
      <c r="J303" s="60"/>
      <c r="K303" s="60"/>
      <c r="L303" s="63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</row>
    <row r="304" spans="1:54">
      <c r="A304" s="60"/>
      <c r="B304" s="60"/>
      <c r="C304" s="63"/>
      <c r="D304" s="60"/>
      <c r="E304" s="63"/>
      <c r="F304" s="60"/>
      <c r="G304" s="63"/>
      <c r="H304" s="60"/>
      <c r="I304" s="60"/>
      <c r="J304" s="60"/>
      <c r="K304" s="60"/>
      <c r="L304" s="63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</row>
    <row r="305" spans="1:54">
      <c r="A305" s="60"/>
      <c r="B305" s="60"/>
      <c r="C305" s="63"/>
      <c r="D305" s="60"/>
      <c r="E305" s="63"/>
      <c r="F305" s="60"/>
      <c r="G305" s="63"/>
      <c r="H305" s="60"/>
      <c r="I305" s="60"/>
      <c r="J305" s="60"/>
      <c r="K305" s="60"/>
      <c r="L305" s="63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</row>
    <row r="306" spans="1:54">
      <c r="A306" s="60"/>
      <c r="B306" s="60"/>
      <c r="C306" s="63"/>
      <c r="D306" s="60"/>
      <c r="E306" s="63"/>
      <c r="F306" s="60"/>
      <c r="G306" s="63"/>
      <c r="H306" s="60"/>
      <c r="I306" s="60"/>
      <c r="J306" s="60"/>
      <c r="K306" s="60"/>
      <c r="L306" s="63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</row>
    <row r="307" spans="1:54">
      <c r="A307" s="60"/>
      <c r="B307" s="60"/>
      <c r="C307" s="63"/>
      <c r="D307" s="60"/>
      <c r="E307" s="63"/>
      <c r="F307" s="60"/>
      <c r="G307" s="63"/>
      <c r="H307" s="60"/>
      <c r="I307" s="60"/>
      <c r="J307" s="60"/>
      <c r="K307" s="60"/>
      <c r="L307" s="63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</row>
    <row r="308" spans="1:54">
      <c r="A308" s="60"/>
      <c r="B308" s="60"/>
      <c r="C308" s="63"/>
      <c r="D308" s="60"/>
      <c r="E308" s="63"/>
      <c r="F308" s="60"/>
      <c r="G308" s="63"/>
      <c r="H308" s="60"/>
      <c r="I308" s="60"/>
      <c r="J308" s="60"/>
      <c r="K308" s="60"/>
      <c r="L308" s="63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</row>
    <row r="309" spans="1:54">
      <c r="A309" s="60"/>
      <c r="B309" s="60"/>
      <c r="C309" s="63"/>
      <c r="D309" s="60"/>
      <c r="E309" s="63"/>
      <c r="F309" s="60"/>
      <c r="G309" s="63"/>
      <c r="H309" s="60"/>
      <c r="I309" s="60"/>
      <c r="J309" s="60"/>
      <c r="K309" s="60"/>
      <c r="L309" s="63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</row>
    <row r="310" spans="1:54">
      <c r="A310" s="60"/>
      <c r="B310" s="60"/>
      <c r="C310" s="63"/>
      <c r="D310" s="60"/>
      <c r="E310" s="63"/>
      <c r="F310" s="60"/>
      <c r="G310" s="63"/>
      <c r="H310" s="60"/>
      <c r="I310" s="60"/>
      <c r="J310" s="60"/>
      <c r="K310" s="60"/>
      <c r="L310" s="63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</row>
    <row r="311" spans="1:54">
      <c r="A311" s="60"/>
      <c r="B311" s="60"/>
      <c r="C311" s="63"/>
      <c r="D311" s="60"/>
      <c r="E311" s="63"/>
      <c r="F311" s="60"/>
      <c r="G311" s="63"/>
      <c r="H311" s="60"/>
      <c r="I311" s="60"/>
      <c r="J311" s="60"/>
      <c r="K311" s="60"/>
      <c r="L311" s="63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</row>
    <row r="312" spans="1:54">
      <c r="A312" s="60"/>
      <c r="B312" s="60"/>
      <c r="C312" s="63"/>
      <c r="D312" s="60"/>
      <c r="E312" s="63"/>
      <c r="F312" s="60"/>
      <c r="G312" s="63"/>
      <c r="H312" s="60"/>
      <c r="I312" s="60"/>
      <c r="J312" s="60"/>
      <c r="K312" s="60"/>
      <c r="L312" s="63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</row>
    <row r="313" spans="1:54">
      <c r="A313" s="60"/>
      <c r="B313" s="60"/>
      <c r="C313" s="63"/>
      <c r="D313" s="60"/>
      <c r="E313" s="63"/>
      <c r="F313" s="60"/>
      <c r="G313" s="63"/>
      <c r="H313" s="60"/>
      <c r="I313" s="60"/>
      <c r="J313" s="60"/>
      <c r="K313" s="60"/>
      <c r="L313" s="63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</row>
    <row r="314" spans="1:54">
      <c r="A314" s="60"/>
      <c r="B314" s="60"/>
      <c r="C314" s="63"/>
      <c r="D314" s="60"/>
      <c r="E314" s="63"/>
      <c r="F314" s="60"/>
      <c r="G314" s="63"/>
      <c r="H314" s="60"/>
      <c r="I314" s="60"/>
      <c r="J314" s="60"/>
      <c r="K314" s="60"/>
      <c r="L314" s="63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</row>
    <row r="315" spans="1:54">
      <c r="A315" s="60"/>
      <c r="B315" s="60"/>
      <c r="C315" s="63"/>
      <c r="D315" s="60"/>
      <c r="E315" s="63"/>
      <c r="F315" s="60"/>
      <c r="G315" s="63"/>
      <c r="H315" s="60"/>
      <c r="I315" s="60"/>
      <c r="J315" s="60"/>
      <c r="K315" s="60"/>
      <c r="L315" s="63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</row>
    <row r="316" spans="1:54">
      <c r="A316" s="60"/>
      <c r="B316" s="60"/>
      <c r="C316" s="63"/>
      <c r="D316" s="60"/>
      <c r="E316" s="63"/>
      <c r="F316" s="60"/>
      <c r="G316" s="63"/>
      <c r="H316" s="60"/>
      <c r="I316" s="60"/>
      <c r="J316" s="60"/>
      <c r="K316" s="60"/>
      <c r="L316" s="63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</row>
    <row r="317" spans="1:54">
      <c r="A317" s="60"/>
      <c r="B317" s="60"/>
      <c r="C317" s="63"/>
      <c r="D317" s="60"/>
      <c r="E317" s="63"/>
      <c r="F317" s="60"/>
      <c r="G317" s="63"/>
      <c r="H317" s="60"/>
      <c r="I317" s="60"/>
      <c r="J317" s="60"/>
      <c r="K317" s="60"/>
      <c r="L317" s="63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</row>
    <row r="318" spans="1:54">
      <c r="A318" s="60"/>
      <c r="B318" s="60"/>
      <c r="C318" s="63"/>
      <c r="D318" s="60"/>
      <c r="E318" s="63"/>
      <c r="F318" s="60"/>
      <c r="G318" s="63"/>
      <c r="H318" s="60"/>
      <c r="I318" s="60"/>
      <c r="J318" s="60"/>
      <c r="K318" s="60"/>
      <c r="L318" s="63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</row>
    <row r="319" spans="1:54">
      <c r="A319" s="60"/>
      <c r="B319" s="60"/>
      <c r="C319" s="63"/>
      <c r="D319" s="60"/>
      <c r="E319" s="63"/>
      <c r="F319" s="60"/>
      <c r="G319" s="63"/>
      <c r="H319" s="60"/>
      <c r="I319" s="60"/>
      <c r="J319" s="60"/>
      <c r="K319" s="60"/>
      <c r="L319" s="63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</row>
    <row r="320" spans="1:54">
      <c r="A320" s="60"/>
      <c r="B320" s="60"/>
      <c r="C320" s="63"/>
      <c r="D320" s="60"/>
      <c r="E320" s="63"/>
      <c r="F320" s="60"/>
      <c r="G320" s="63"/>
      <c r="H320" s="60"/>
      <c r="I320" s="60"/>
      <c r="J320" s="60"/>
      <c r="K320" s="60"/>
      <c r="L320" s="63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</row>
    <row r="321" spans="1:54">
      <c r="A321" s="60"/>
      <c r="B321" s="60"/>
      <c r="C321" s="63"/>
      <c r="D321" s="60"/>
      <c r="E321" s="63"/>
      <c r="F321" s="60"/>
      <c r="G321" s="63"/>
      <c r="H321" s="60"/>
      <c r="I321" s="60"/>
      <c r="J321" s="60"/>
      <c r="K321" s="60"/>
      <c r="L321" s="63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</row>
    <row r="322" spans="1:54">
      <c r="A322" s="60"/>
      <c r="B322" s="60"/>
      <c r="C322" s="63"/>
      <c r="D322" s="60"/>
      <c r="E322" s="63"/>
      <c r="F322" s="60"/>
      <c r="G322" s="63"/>
      <c r="H322" s="60"/>
      <c r="I322" s="60"/>
      <c r="J322" s="60"/>
      <c r="K322" s="60"/>
      <c r="L322" s="63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</row>
    <row r="323" spans="1:54">
      <c r="A323" s="60"/>
      <c r="B323" s="60"/>
      <c r="C323" s="63"/>
      <c r="D323" s="60"/>
      <c r="E323" s="63"/>
      <c r="F323" s="60"/>
      <c r="G323" s="63"/>
      <c r="H323" s="60"/>
      <c r="I323" s="60"/>
      <c r="J323" s="60"/>
      <c r="K323" s="60"/>
      <c r="L323" s="63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</row>
    <row r="324" spans="1:54">
      <c r="A324" s="60"/>
      <c r="B324" s="60"/>
      <c r="C324" s="63"/>
      <c r="D324" s="60"/>
      <c r="E324" s="63"/>
      <c r="F324" s="60"/>
      <c r="G324" s="63"/>
      <c r="H324" s="60"/>
      <c r="I324" s="60"/>
      <c r="J324" s="60"/>
      <c r="K324" s="60"/>
      <c r="L324" s="63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</row>
    <row r="325" spans="1:54">
      <c r="A325" s="60"/>
      <c r="B325" s="60"/>
      <c r="C325" s="63"/>
      <c r="D325" s="60"/>
      <c r="E325" s="63"/>
      <c r="F325" s="60"/>
      <c r="G325" s="63"/>
      <c r="H325" s="60"/>
      <c r="I325" s="60"/>
      <c r="J325" s="60"/>
      <c r="K325" s="60"/>
      <c r="L325" s="63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</row>
    <row r="326" spans="1:54">
      <c r="A326" s="60"/>
      <c r="B326" s="60"/>
      <c r="C326" s="63"/>
      <c r="D326" s="60"/>
      <c r="E326" s="63"/>
      <c r="F326" s="60"/>
      <c r="G326" s="63"/>
      <c r="H326" s="60"/>
      <c r="I326" s="60"/>
      <c r="J326" s="60"/>
      <c r="K326" s="60"/>
      <c r="L326" s="63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</row>
    <row r="327" spans="1:54">
      <c r="A327" s="60"/>
      <c r="B327" s="60"/>
      <c r="C327" s="63"/>
      <c r="D327" s="60"/>
      <c r="E327" s="63"/>
      <c r="F327" s="60"/>
      <c r="G327" s="63"/>
      <c r="H327" s="60"/>
      <c r="I327" s="60"/>
      <c r="J327" s="60"/>
      <c r="K327" s="60"/>
      <c r="L327" s="63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</row>
    <row r="328" spans="1:54">
      <c r="A328" s="60"/>
      <c r="B328" s="60"/>
      <c r="C328" s="63"/>
      <c r="D328" s="60"/>
      <c r="E328" s="63"/>
      <c r="F328" s="60"/>
      <c r="G328" s="63"/>
      <c r="H328" s="60"/>
      <c r="I328" s="60"/>
      <c r="J328" s="60"/>
      <c r="K328" s="60"/>
      <c r="L328" s="63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</row>
    <row r="329" spans="1:54">
      <c r="A329" s="60"/>
      <c r="B329" s="60"/>
      <c r="C329" s="63"/>
      <c r="D329" s="60"/>
      <c r="E329" s="63"/>
      <c r="F329" s="60"/>
      <c r="G329" s="63"/>
      <c r="H329" s="60"/>
      <c r="I329" s="60"/>
      <c r="J329" s="60"/>
      <c r="K329" s="60"/>
      <c r="L329" s="63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</row>
    <row r="330" spans="1:54">
      <c r="A330" s="60"/>
      <c r="B330" s="60"/>
      <c r="C330" s="63"/>
      <c r="D330" s="60"/>
      <c r="E330" s="63"/>
      <c r="F330" s="60"/>
      <c r="G330" s="63"/>
      <c r="H330" s="60"/>
      <c r="I330" s="60"/>
      <c r="J330" s="60"/>
      <c r="K330" s="60"/>
      <c r="L330" s="63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</row>
    <row r="331" spans="1:54">
      <c r="A331" s="60"/>
      <c r="B331" s="60"/>
      <c r="C331" s="63"/>
      <c r="D331" s="60"/>
      <c r="E331" s="63"/>
      <c r="F331" s="60"/>
      <c r="G331" s="63"/>
      <c r="H331" s="60"/>
      <c r="I331" s="60"/>
      <c r="J331" s="60"/>
      <c r="K331" s="60"/>
      <c r="L331" s="63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</row>
    <row r="332" spans="1:54">
      <c r="A332" s="60"/>
      <c r="B332" s="60"/>
      <c r="C332" s="63"/>
      <c r="D332" s="60"/>
      <c r="E332" s="63"/>
      <c r="F332" s="60"/>
      <c r="G332" s="63"/>
      <c r="H332" s="60"/>
      <c r="I332" s="60"/>
      <c r="J332" s="60"/>
      <c r="K332" s="60"/>
      <c r="L332" s="63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</row>
    <row r="333" spans="1:54">
      <c r="A333" s="60"/>
      <c r="B333" s="60"/>
      <c r="C333" s="63"/>
      <c r="D333" s="60"/>
      <c r="E333" s="63"/>
      <c r="F333" s="60"/>
      <c r="G333" s="63"/>
      <c r="H333" s="60"/>
      <c r="I333" s="60"/>
      <c r="J333" s="60"/>
      <c r="K333" s="60"/>
      <c r="L333" s="63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</row>
    <row r="334" spans="1:54">
      <c r="A334" s="60"/>
      <c r="B334" s="60"/>
      <c r="C334" s="63"/>
      <c r="D334" s="60"/>
      <c r="E334" s="63"/>
      <c r="F334" s="60"/>
      <c r="G334" s="63"/>
      <c r="H334" s="60"/>
      <c r="I334" s="60"/>
      <c r="J334" s="60"/>
      <c r="K334" s="60"/>
      <c r="L334" s="63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</row>
    <row r="335" spans="1:54">
      <c r="A335" s="60"/>
      <c r="B335" s="60"/>
      <c r="C335" s="63"/>
      <c r="D335" s="60"/>
      <c r="E335" s="63"/>
      <c r="F335" s="60"/>
      <c r="G335" s="63"/>
      <c r="H335" s="60"/>
      <c r="I335" s="60"/>
      <c r="J335" s="60"/>
      <c r="K335" s="60"/>
      <c r="L335" s="63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</row>
    <row r="336" spans="1:54">
      <c r="A336" s="60"/>
      <c r="B336" s="60"/>
      <c r="C336" s="63"/>
      <c r="D336" s="60"/>
      <c r="E336" s="63"/>
      <c r="F336" s="60"/>
      <c r="G336" s="63"/>
      <c r="H336" s="60"/>
      <c r="I336" s="60"/>
      <c r="J336" s="60"/>
      <c r="K336" s="60"/>
      <c r="L336" s="63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</row>
    <row r="337" spans="1:54">
      <c r="A337" s="60"/>
      <c r="B337" s="60"/>
      <c r="C337" s="63"/>
      <c r="D337" s="60"/>
      <c r="E337" s="63"/>
      <c r="F337" s="60"/>
      <c r="G337" s="63"/>
      <c r="H337" s="60"/>
      <c r="I337" s="60"/>
      <c r="J337" s="60"/>
      <c r="K337" s="60"/>
      <c r="L337" s="63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</row>
    <row r="338" spans="1:54">
      <c r="A338" s="60"/>
      <c r="B338" s="60"/>
      <c r="C338" s="63"/>
      <c r="D338" s="60"/>
      <c r="E338" s="63"/>
      <c r="F338" s="60"/>
      <c r="G338" s="63"/>
      <c r="H338" s="60"/>
      <c r="I338" s="60"/>
      <c r="J338" s="60"/>
      <c r="K338" s="60"/>
      <c r="L338" s="63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</row>
    <row r="339" spans="1:54">
      <c r="A339" s="60"/>
      <c r="B339" s="60"/>
      <c r="C339" s="63"/>
      <c r="D339" s="60"/>
      <c r="E339" s="63"/>
      <c r="F339" s="60"/>
      <c r="G339" s="63"/>
      <c r="H339" s="60"/>
      <c r="I339" s="60"/>
      <c r="J339" s="60"/>
      <c r="K339" s="60"/>
      <c r="L339" s="63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</row>
    <row r="340" spans="1:54">
      <c r="A340" s="60"/>
      <c r="B340" s="60"/>
      <c r="C340" s="63"/>
      <c r="D340" s="60"/>
      <c r="E340" s="63"/>
      <c r="F340" s="60"/>
      <c r="G340" s="63"/>
      <c r="H340" s="60"/>
      <c r="I340" s="60"/>
      <c r="J340" s="60"/>
      <c r="K340" s="60"/>
      <c r="L340" s="63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</row>
    <row r="341" spans="1:54">
      <c r="A341" s="60"/>
      <c r="B341" s="60"/>
      <c r="C341" s="63"/>
      <c r="D341" s="60"/>
      <c r="E341" s="63"/>
      <c r="F341" s="60"/>
      <c r="G341" s="63"/>
      <c r="H341" s="60"/>
      <c r="I341" s="60"/>
      <c r="J341" s="60"/>
      <c r="K341" s="60"/>
      <c r="L341" s="63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</row>
    <row r="342" spans="1:54">
      <c r="A342" s="60"/>
      <c r="B342" s="60"/>
      <c r="C342" s="63"/>
      <c r="D342" s="60"/>
      <c r="E342" s="63"/>
      <c r="F342" s="60"/>
      <c r="G342" s="63"/>
      <c r="H342" s="60"/>
      <c r="I342" s="60"/>
      <c r="J342" s="60"/>
      <c r="K342" s="60"/>
      <c r="L342" s="63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</row>
    <row r="343" spans="1:54">
      <c r="A343" s="60"/>
      <c r="B343" s="60"/>
      <c r="C343" s="63"/>
      <c r="D343" s="60"/>
      <c r="E343" s="63"/>
      <c r="F343" s="60"/>
      <c r="G343" s="63"/>
      <c r="H343" s="60"/>
      <c r="I343" s="60"/>
      <c r="J343" s="60"/>
      <c r="K343" s="60"/>
      <c r="L343" s="63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</row>
    <row r="344" spans="1:54">
      <c r="A344" s="60"/>
      <c r="B344" s="60"/>
      <c r="C344" s="63"/>
      <c r="D344" s="60"/>
      <c r="E344" s="63"/>
      <c r="F344" s="60"/>
      <c r="G344" s="63"/>
      <c r="H344" s="60"/>
      <c r="I344" s="60"/>
      <c r="J344" s="60"/>
      <c r="K344" s="60"/>
      <c r="L344" s="63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</row>
    <row r="345" spans="1:54">
      <c r="A345" s="60"/>
      <c r="B345" s="60"/>
      <c r="C345" s="63"/>
      <c r="D345" s="60"/>
      <c r="E345" s="63"/>
      <c r="F345" s="60"/>
      <c r="G345" s="63"/>
      <c r="H345" s="60"/>
      <c r="I345" s="60"/>
      <c r="J345" s="60"/>
      <c r="K345" s="60"/>
      <c r="L345" s="63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</row>
    <row r="346" spans="1:54">
      <c r="A346" s="60"/>
      <c r="B346" s="60"/>
      <c r="C346" s="63"/>
      <c r="D346" s="60"/>
      <c r="E346" s="63"/>
      <c r="F346" s="60"/>
      <c r="G346" s="63"/>
      <c r="H346" s="60"/>
      <c r="I346" s="60"/>
      <c r="J346" s="60"/>
      <c r="K346" s="60"/>
      <c r="L346" s="63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</row>
    <row r="347" spans="1:54">
      <c r="A347" s="60"/>
      <c r="B347" s="60"/>
      <c r="C347" s="63"/>
      <c r="D347" s="60"/>
      <c r="E347" s="63"/>
      <c r="F347" s="60"/>
      <c r="G347" s="63"/>
      <c r="H347" s="60"/>
      <c r="I347" s="60"/>
      <c r="J347" s="60"/>
      <c r="K347" s="60"/>
      <c r="L347" s="63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</row>
    <row r="348" spans="1:54">
      <c r="A348" s="60"/>
      <c r="B348" s="60"/>
      <c r="C348" s="63"/>
      <c r="D348" s="60"/>
      <c r="E348" s="63"/>
      <c r="F348" s="60"/>
      <c r="G348" s="63"/>
      <c r="H348" s="60"/>
      <c r="I348" s="60"/>
      <c r="J348" s="60"/>
      <c r="K348" s="60"/>
      <c r="L348" s="63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</row>
    <row r="349" spans="1:54">
      <c r="A349" s="60"/>
      <c r="B349" s="60"/>
      <c r="C349" s="63"/>
      <c r="D349" s="60"/>
      <c r="E349" s="63"/>
      <c r="F349" s="60"/>
      <c r="G349" s="63"/>
      <c r="H349" s="60"/>
      <c r="I349" s="60"/>
      <c r="J349" s="60"/>
      <c r="K349" s="60"/>
      <c r="L349" s="63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</row>
    <row r="350" spans="1:54">
      <c r="A350" s="60"/>
      <c r="B350" s="60"/>
      <c r="C350" s="63"/>
      <c r="D350" s="60"/>
      <c r="E350" s="63"/>
      <c r="F350" s="60"/>
      <c r="G350" s="63"/>
      <c r="H350" s="60"/>
      <c r="I350" s="60"/>
      <c r="J350" s="60"/>
      <c r="K350" s="60"/>
      <c r="L350" s="63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</row>
    <row r="351" spans="1:54">
      <c r="A351" s="60"/>
      <c r="B351" s="60"/>
      <c r="C351" s="63"/>
      <c r="D351" s="60"/>
      <c r="E351" s="63"/>
      <c r="F351" s="60"/>
      <c r="G351" s="63"/>
      <c r="H351" s="60"/>
      <c r="I351" s="60"/>
      <c r="J351" s="60"/>
      <c r="K351" s="60"/>
      <c r="L351" s="63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</row>
    <row r="352" spans="1:54">
      <c r="A352" s="60"/>
      <c r="B352" s="60"/>
      <c r="C352" s="63"/>
      <c r="D352" s="60"/>
      <c r="E352" s="63"/>
      <c r="F352" s="60"/>
      <c r="G352" s="63"/>
      <c r="H352" s="60"/>
      <c r="I352" s="60"/>
      <c r="J352" s="60"/>
      <c r="K352" s="60"/>
      <c r="L352" s="63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</row>
    <row r="353" spans="1:54">
      <c r="A353" s="60"/>
      <c r="B353" s="60"/>
      <c r="C353" s="63"/>
      <c r="D353" s="60"/>
      <c r="E353" s="63"/>
      <c r="F353" s="60"/>
      <c r="G353" s="63"/>
      <c r="H353" s="60"/>
      <c r="I353" s="60"/>
      <c r="J353" s="60"/>
      <c r="K353" s="60"/>
      <c r="L353" s="63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</row>
    <row r="354" spans="1:54">
      <c r="A354" s="60"/>
      <c r="B354" s="60"/>
      <c r="C354" s="63"/>
      <c r="D354" s="60"/>
      <c r="E354" s="63"/>
      <c r="F354" s="60"/>
      <c r="G354" s="63"/>
      <c r="H354" s="60"/>
      <c r="I354" s="60"/>
      <c r="J354" s="60"/>
      <c r="K354" s="60"/>
      <c r="L354" s="63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</row>
    <row r="355" spans="1:54">
      <c r="A355" s="60"/>
      <c r="B355" s="60"/>
      <c r="C355" s="63"/>
      <c r="D355" s="60"/>
      <c r="E355" s="63"/>
      <c r="F355" s="60"/>
      <c r="G355" s="63"/>
      <c r="H355" s="60"/>
      <c r="I355" s="60"/>
      <c r="J355" s="60"/>
      <c r="K355" s="60"/>
      <c r="L355" s="63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</row>
    <row r="356" spans="1:54">
      <c r="A356" s="60"/>
      <c r="B356" s="60"/>
      <c r="C356" s="63"/>
      <c r="D356" s="60"/>
      <c r="E356" s="63"/>
      <c r="F356" s="60"/>
      <c r="G356" s="63"/>
      <c r="H356" s="60"/>
      <c r="I356" s="60"/>
      <c r="J356" s="60"/>
      <c r="K356" s="60"/>
      <c r="L356" s="63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</row>
    <row r="357" spans="1:54">
      <c r="A357" s="60"/>
      <c r="B357" s="60"/>
      <c r="C357" s="63"/>
      <c r="D357" s="60"/>
      <c r="E357" s="63"/>
      <c r="F357" s="60"/>
      <c r="G357" s="63"/>
      <c r="H357" s="60"/>
      <c r="I357" s="60"/>
      <c r="J357" s="60"/>
      <c r="K357" s="60"/>
      <c r="L357" s="63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</row>
    <row r="358" spans="1:54">
      <c r="A358" s="60"/>
      <c r="B358" s="60"/>
      <c r="C358" s="63"/>
      <c r="D358" s="60"/>
      <c r="E358" s="63"/>
      <c r="F358" s="60"/>
      <c r="G358" s="63"/>
      <c r="H358" s="60"/>
      <c r="I358" s="60"/>
      <c r="J358" s="60"/>
      <c r="K358" s="60"/>
      <c r="L358" s="63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</row>
    <row r="359" spans="1:54">
      <c r="A359" s="60"/>
      <c r="B359" s="60"/>
      <c r="C359" s="63"/>
      <c r="D359" s="60"/>
      <c r="E359" s="63"/>
      <c r="F359" s="60"/>
      <c r="G359" s="63"/>
      <c r="H359" s="60"/>
      <c r="I359" s="60"/>
      <c r="J359" s="60"/>
      <c r="K359" s="60"/>
      <c r="L359" s="63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</row>
    <row r="360" spans="1:54">
      <c r="A360" s="60"/>
      <c r="B360" s="60"/>
      <c r="C360" s="63"/>
      <c r="D360" s="60"/>
      <c r="E360" s="63"/>
      <c r="F360" s="60"/>
      <c r="G360" s="63"/>
      <c r="H360" s="60"/>
      <c r="I360" s="60"/>
      <c r="J360" s="60"/>
      <c r="K360" s="60"/>
      <c r="L360" s="63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</row>
    <row r="361" spans="1:54">
      <c r="A361" s="60"/>
      <c r="B361" s="60"/>
      <c r="C361" s="63"/>
      <c r="D361" s="60"/>
      <c r="E361" s="63"/>
      <c r="F361" s="60"/>
      <c r="G361" s="63"/>
      <c r="H361" s="60"/>
      <c r="I361" s="60"/>
      <c r="J361" s="60"/>
      <c r="K361" s="60"/>
      <c r="L361" s="63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</row>
    <row r="362" spans="1:54">
      <c r="A362" s="60"/>
      <c r="B362" s="60"/>
      <c r="C362" s="63"/>
      <c r="D362" s="60"/>
      <c r="E362" s="63"/>
      <c r="F362" s="60"/>
      <c r="G362" s="63"/>
      <c r="H362" s="60"/>
      <c r="I362" s="60"/>
      <c r="J362" s="60"/>
      <c r="K362" s="60"/>
      <c r="L362" s="63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</row>
    <row r="363" spans="1:54">
      <c r="A363" s="60"/>
      <c r="B363" s="60"/>
      <c r="C363" s="63"/>
      <c r="D363" s="60"/>
      <c r="E363" s="63"/>
      <c r="F363" s="60"/>
      <c r="G363" s="63"/>
      <c r="H363" s="60"/>
      <c r="I363" s="60"/>
      <c r="J363" s="60"/>
      <c r="K363" s="60"/>
      <c r="L363" s="63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</row>
    <row r="364" spans="1:54">
      <c r="A364" s="60"/>
      <c r="B364" s="60"/>
      <c r="C364" s="63"/>
      <c r="D364" s="60"/>
      <c r="E364" s="63"/>
      <c r="F364" s="60"/>
      <c r="G364" s="63"/>
      <c r="H364" s="60"/>
      <c r="I364" s="60"/>
      <c r="J364" s="60"/>
      <c r="K364" s="60"/>
      <c r="L364" s="63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</row>
    <row r="365" spans="1:54">
      <c r="A365" s="60"/>
      <c r="B365" s="60"/>
      <c r="C365" s="63"/>
      <c r="D365" s="60"/>
      <c r="E365" s="63"/>
      <c r="F365" s="60"/>
      <c r="G365" s="63"/>
      <c r="H365" s="60"/>
      <c r="I365" s="60"/>
      <c r="J365" s="60"/>
      <c r="K365" s="60"/>
      <c r="L365" s="63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</row>
    <row r="366" spans="1:54">
      <c r="A366" s="60"/>
      <c r="B366" s="60"/>
      <c r="C366" s="63"/>
      <c r="D366" s="60"/>
      <c r="E366" s="63"/>
      <c r="F366" s="60"/>
      <c r="G366" s="63"/>
      <c r="H366" s="60"/>
      <c r="I366" s="60"/>
      <c r="J366" s="60"/>
      <c r="K366" s="60"/>
      <c r="L366" s="63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</row>
    <row r="367" spans="1:54">
      <c r="A367" s="60"/>
      <c r="B367" s="60"/>
      <c r="C367" s="63"/>
      <c r="D367" s="60"/>
      <c r="E367" s="63"/>
      <c r="F367" s="60"/>
      <c r="G367" s="63"/>
      <c r="H367" s="60"/>
      <c r="I367" s="60"/>
      <c r="J367" s="60"/>
      <c r="K367" s="60"/>
      <c r="L367" s="63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</row>
    <row r="368" spans="1:54">
      <c r="A368" s="60"/>
      <c r="B368" s="60"/>
      <c r="C368" s="63"/>
      <c r="D368" s="60"/>
      <c r="E368" s="63"/>
      <c r="F368" s="60"/>
      <c r="G368" s="63"/>
      <c r="H368" s="60"/>
      <c r="I368" s="60"/>
      <c r="J368" s="60"/>
      <c r="K368" s="60"/>
      <c r="L368" s="63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</row>
    <row r="369" spans="1:54">
      <c r="A369" s="60"/>
      <c r="B369" s="60"/>
      <c r="C369" s="63"/>
      <c r="D369" s="60"/>
      <c r="E369" s="63"/>
      <c r="F369" s="60"/>
      <c r="G369" s="63"/>
      <c r="H369" s="60"/>
      <c r="I369" s="60"/>
      <c r="J369" s="60"/>
      <c r="K369" s="60"/>
      <c r="L369" s="63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</row>
    <row r="370" spans="1:54">
      <c r="A370" s="60"/>
      <c r="B370" s="60"/>
      <c r="C370" s="63"/>
      <c r="D370" s="60"/>
      <c r="E370" s="63"/>
      <c r="F370" s="60"/>
      <c r="G370" s="63"/>
      <c r="H370" s="60"/>
      <c r="I370" s="60"/>
      <c r="J370" s="60"/>
      <c r="K370" s="60"/>
      <c r="L370" s="63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</row>
    <row r="371" spans="1:54">
      <c r="A371" s="60"/>
      <c r="B371" s="60"/>
      <c r="C371" s="63"/>
      <c r="D371" s="60"/>
      <c r="E371" s="63"/>
      <c r="F371" s="60"/>
      <c r="G371" s="63"/>
      <c r="H371" s="60"/>
      <c r="I371" s="60"/>
      <c r="J371" s="60"/>
      <c r="K371" s="60"/>
      <c r="L371" s="63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</row>
    <row r="372" spans="1:54">
      <c r="A372" s="60"/>
      <c r="B372" s="60"/>
      <c r="C372" s="63"/>
      <c r="D372" s="60"/>
      <c r="E372" s="63"/>
      <c r="F372" s="60"/>
      <c r="G372" s="63"/>
      <c r="H372" s="60"/>
      <c r="I372" s="60"/>
      <c r="J372" s="60"/>
      <c r="K372" s="60"/>
      <c r="L372" s="63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</row>
    <row r="373" spans="1:54">
      <c r="A373" s="60"/>
      <c r="B373" s="60"/>
      <c r="C373" s="63"/>
      <c r="D373" s="60"/>
      <c r="E373" s="63"/>
      <c r="F373" s="60"/>
      <c r="G373" s="63"/>
      <c r="H373" s="60"/>
      <c r="I373" s="60"/>
      <c r="J373" s="60"/>
      <c r="K373" s="60"/>
      <c r="L373" s="63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</row>
    <row r="374" spans="1:54">
      <c r="A374" s="60"/>
      <c r="B374" s="60"/>
      <c r="C374" s="63"/>
      <c r="D374" s="60"/>
      <c r="E374" s="63"/>
      <c r="F374" s="60"/>
      <c r="G374" s="63"/>
      <c r="H374" s="60"/>
      <c r="I374" s="60"/>
      <c r="J374" s="60"/>
      <c r="K374" s="60"/>
      <c r="L374" s="63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</row>
    <row r="375" spans="1:54">
      <c r="A375" s="60"/>
      <c r="B375" s="60"/>
      <c r="C375" s="63"/>
      <c r="D375" s="60"/>
      <c r="E375" s="63"/>
      <c r="F375" s="60"/>
      <c r="G375" s="63"/>
      <c r="H375" s="60"/>
      <c r="I375" s="60"/>
      <c r="J375" s="60"/>
      <c r="K375" s="60"/>
      <c r="L375" s="63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</row>
    <row r="376" spans="1:54">
      <c r="A376" s="60"/>
      <c r="B376" s="60"/>
      <c r="C376" s="63"/>
      <c r="D376" s="60"/>
      <c r="E376" s="63"/>
      <c r="F376" s="60"/>
      <c r="G376" s="63"/>
      <c r="H376" s="60"/>
      <c r="I376" s="60"/>
      <c r="J376" s="60"/>
      <c r="K376" s="60"/>
      <c r="L376" s="63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</row>
    <row r="377" spans="1:54">
      <c r="A377" s="60"/>
      <c r="B377" s="60"/>
      <c r="C377" s="63"/>
      <c r="D377" s="60"/>
      <c r="E377" s="63"/>
      <c r="F377" s="60"/>
      <c r="G377" s="63"/>
      <c r="H377" s="60"/>
      <c r="I377" s="60"/>
      <c r="J377" s="60"/>
      <c r="K377" s="60"/>
      <c r="L377" s="63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</row>
    <row r="378" spans="1:54">
      <c r="A378" s="60"/>
      <c r="B378" s="60"/>
      <c r="C378" s="63"/>
      <c r="D378" s="60"/>
      <c r="E378" s="63"/>
      <c r="F378" s="60"/>
      <c r="G378" s="63"/>
      <c r="H378" s="60"/>
      <c r="I378" s="60"/>
      <c r="J378" s="60"/>
      <c r="K378" s="60"/>
      <c r="L378" s="63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</row>
    <row r="379" spans="1:54">
      <c r="A379" s="60"/>
      <c r="B379" s="60"/>
      <c r="C379" s="63"/>
      <c r="D379" s="60"/>
      <c r="E379" s="63"/>
      <c r="F379" s="60"/>
      <c r="G379" s="63"/>
      <c r="H379" s="60"/>
      <c r="I379" s="60"/>
      <c r="J379" s="60"/>
      <c r="K379" s="60"/>
      <c r="L379" s="63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</row>
    <row r="380" spans="1:54">
      <c r="A380" s="60"/>
      <c r="B380" s="60"/>
      <c r="C380" s="63"/>
      <c r="D380" s="60"/>
      <c r="E380" s="63"/>
      <c r="F380" s="60"/>
      <c r="G380" s="63"/>
      <c r="H380" s="60"/>
      <c r="I380" s="60"/>
      <c r="J380" s="60"/>
      <c r="K380" s="60"/>
      <c r="L380" s="63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</row>
    <row r="381" spans="1:54">
      <c r="A381" s="60"/>
      <c r="B381" s="60"/>
      <c r="C381" s="63"/>
      <c r="D381" s="60"/>
      <c r="E381" s="63"/>
      <c r="F381" s="60"/>
      <c r="G381" s="63"/>
      <c r="H381" s="60"/>
      <c r="I381" s="60"/>
      <c r="J381" s="60"/>
      <c r="K381" s="60"/>
      <c r="L381" s="63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</row>
    <row r="382" spans="1:54">
      <c r="A382" s="60"/>
      <c r="B382" s="60"/>
      <c r="C382" s="63"/>
      <c r="D382" s="60"/>
      <c r="E382" s="63"/>
      <c r="F382" s="60"/>
      <c r="G382" s="63"/>
      <c r="H382" s="60"/>
      <c r="I382" s="60"/>
      <c r="J382" s="60"/>
      <c r="K382" s="60"/>
      <c r="L382" s="63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</row>
    <row r="383" spans="1:54">
      <c r="A383" s="60"/>
      <c r="B383" s="60"/>
      <c r="C383" s="63"/>
      <c r="D383" s="60"/>
      <c r="E383" s="63"/>
      <c r="F383" s="60"/>
      <c r="G383" s="63"/>
      <c r="H383" s="60"/>
      <c r="I383" s="60"/>
      <c r="J383" s="60"/>
      <c r="K383" s="60"/>
      <c r="L383" s="63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</row>
    <row r="384" spans="1:54">
      <c r="A384" s="60"/>
      <c r="B384" s="60"/>
      <c r="C384" s="63"/>
      <c r="D384" s="60"/>
      <c r="E384" s="63"/>
      <c r="F384" s="60"/>
      <c r="G384" s="63"/>
      <c r="H384" s="60"/>
      <c r="I384" s="60"/>
      <c r="J384" s="60"/>
      <c r="K384" s="60"/>
      <c r="L384" s="63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</row>
    <row r="385" spans="1:54">
      <c r="A385" s="60"/>
      <c r="B385" s="60"/>
      <c r="C385" s="63"/>
      <c r="D385" s="60"/>
      <c r="E385" s="63"/>
      <c r="F385" s="60"/>
      <c r="G385" s="63"/>
      <c r="H385" s="60"/>
      <c r="I385" s="60"/>
      <c r="J385" s="60"/>
      <c r="K385" s="60"/>
      <c r="L385" s="63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</row>
    <row r="386" spans="1:54">
      <c r="A386" s="60"/>
      <c r="B386" s="60"/>
      <c r="C386" s="63"/>
      <c r="D386" s="60"/>
      <c r="E386" s="63"/>
      <c r="F386" s="60"/>
      <c r="G386" s="63"/>
      <c r="H386" s="60"/>
      <c r="I386" s="60"/>
      <c r="J386" s="60"/>
      <c r="K386" s="60"/>
      <c r="L386" s="63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</row>
    <row r="387" spans="1:54">
      <c r="A387" s="60"/>
      <c r="B387" s="60"/>
      <c r="C387" s="63"/>
      <c r="D387" s="60"/>
      <c r="E387" s="63"/>
      <c r="F387" s="60"/>
      <c r="G387" s="63"/>
      <c r="H387" s="60"/>
      <c r="I387" s="60"/>
      <c r="J387" s="60"/>
      <c r="K387" s="60"/>
      <c r="L387" s="63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</row>
    <row r="388" spans="1:54">
      <c r="A388" s="60"/>
      <c r="B388" s="60"/>
      <c r="C388" s="63"/>
      <c r="D388" s="60"/>
      <c r="E388" s="63"/>
      <c r="F388" s="60"/>
      <c r="G388" s="63"/>
      <c r="H388" s="60"/>
      <c r="I388" s="60"/>
      <c r="J388" s="60"/>
      <c r="K388" s="60"/>
      <c r="L388" s="63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</row>
    <row r="389" spans="1:54">
      <c r="A389" s="60"/>
      <c r="B389" s="60"/>
      <c r="C389" s="63"/>
      <c r="D389" s="60"/>
      <c r="E389" s="63"/>
      <c r="F389" s="60"/>
      <c r="G389" s="63"/>
      <c r="H389" s="60"/>
      <c r="I389" s="60"/>
      <c r="J389" s="60"/>
      <c r="K389" s="60"/>
      <c r="L389" s="63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</row>
    <row r="390" spans="1:54">
      <c r="A390" s="60"/>
      <c r="B390" s="60"/>
      <c r="C390" s="63"/>
      <c r="D390" s="60"/>
      <c r="E390" s="63"/>
      <c r="F390" s="60"/>
      <c r="G390" s="63"/>
      <c r="H390" s="60"/>
      <c r="I390" s="60"/>
      <c r="J390" s="60"/>
      <c r="K390" s="60"/>
      <c r="L390" s="63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</row>
    <row r="391" spans="1:54">
      <c r="A391" s="60"/>
      <c r="B391" s="60"/>
      <c r="C391" s="63"/>
      <c r="D391" s="60"/>
      <c r="E391" s="63"/>
      <c r="F391" s="60"/>
      <c r="G391" s="63"/>
      <c r="H391" s="60"/>
      <c r="I391" s="60"/>
      <c r="J391" s="60"/>
      <c r="K391" s="60"/>
      <c r="L391" s="63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</row>
    <row r="392" spans="1:54">
      <c r="A392" s="60"/>
      <c r="B392" s="60"/>
      <c r="C392" s="63"/>
      <c r="D392" s="60"/>
      <c r="E392" s="63"/>
      <c r="F392" s="60"/>
      <c r="G392" s="63"/>
      <c r="H392" s="60"/>
      <c r="I392" s="60"/>
      <c r="J392" s="60"/>
      <c r="K392" s="60"/>
      <c r="L392" s="63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</row>
    <row r="393" spans="1:54">
      <c r="A393" s="60"/>
      <c r="B393" s="60"/>
      <c r="C393" s="63"/>
      <c r="D393" s="60"/>
      <c r="E393" s="63"/>
      <c r="F393" s="60"/>
      <c r="G393" s="63"/>
      <c r="H393" s="60"/>
      <c r="I393" s="60"/>
      <c r="J393" s="60"/>
      <c r="K393" s="60"/>
      <c r="L393" s="63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</row>
    <row r="394" spans="1:54">
      <c r="A394" s="60"/>
      <c r="B394" s="60"/>
      <c r="C394" s="63"/>
      <c r="D394" s="60"/>
      <c r="E394" s="63"/>
      <c r="F394" s="60"/>
      <c r="G394" s="63"/>
      <c r="H394" s="60"/>
      <c r="I394" s="60"/>
      <c r="J394" s="60"/>
      <c r="K394" s="60"/>
      <c r="L394" s="63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</row>
    <row r="395" spans="1:54">
      <c r="A395" s="60"/>
      <c r="B395" s="60"/>
      <c r="C395" s="63"/>
      <c r="D395" s="60"/>
      <c r="E395" s="63"/>
      <c r="F395" s="60"/>
      <c r="G395" s="63"/>
      <c r="H395" s="60"/>
      <c r="I395" s="60"/>
      <c r="J395" s="60"/>
      <c r="K395" s="60"/>
      <c r="L395" s="63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</row>
    <row r="396" spans="1:54">
      <c r="A396" s="60"/>
      <c r="B396" s="60"/>
      <c r="C396" s="63"/>
      <c r="D396" s="60"/>
      <c r="E396" s="63"/>
      <c r="F396" s="60"/>
      <c r="G396" s="63"/>
      <c r="H396" s="60"/>
      <c r="I396" s="60"/>
      <c r="J396" s="60"/>
      <c r="K396" s="60"/>
      <c r="L396" s="63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</row>
    <row r="397" spans="1:54">
      <c r="A397" s="60"/>
      <c r="B397" s="60"/>
      <c r="C397" s="63"/>
      <c r="D397" s="60"/>
      <c r="E397" s="63"/>
      <c r="F397" s="60"/>
      <c r="G397" s="63"/>
      <c r="H397" s="60"/>
      <c r="I397" s="60"/>
      <c r="J397" s="60"/>
      <c r="K397" s="60"/>
      <c r="L397" s="63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</row>
    <row r="398" spans="1:54">
      <c r="A398" s="60"/>
      <c r="B398" s="60"/>
      <c r="C398" s="63"/>
      <c r="D398" s="60"/>
      <c r="E398" s="63"/>
      <c r="F398" s="60"/>
      <c r="G398" s="63"/>
      <c r="H398" s="60"/>
      <c r="I398" s="60"/>
      <c r="J398" s="60"/>
      <c r="K398" s="60"/>
      <c r="L398" s="63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</row>
    <row r="399" spans="1:54">
      <c r="A399" s="60"/>
      <c r="B399" s="60"/>
      <c r="C399" s="63"/>
      <c r="D399" s="60"/>
      <c r="E399" s="63"/>
      <c r="F399" s="60"/>
      <c r="G399" s="63"/>
      <c r="H399" s="60"/>
      <c r="I399" s="60"/>
      <c r="J399" s="60"/>
      <c r="K399" s="60"/>
      <c r="L399" s="63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</row>
    <row r="400" spans="1:54">
      <c r="A400" s="60"/>
      <c r="B400" s="60"/>
      <c r="C400" s="63"/>
      <c r="D400" s="60"/>
      <c r="E400" s="63"/>
      <c r="F400" s="60"/>
      <c r="G400" s="63"/>
      <c r="H400" s="60"/>
      <c r="I400" s="60"/>
      <c r="J400" s="60"/>
      <c r="K400" s="60"/>
      <c r="L400" s="63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</row>
    <row r="401" spans="1:54">
      <c r="A401" s="60"/>
      <c r="B401" s="60"/>
      <c r="C401" s="63"/>
      <c r="D401" s="60"/>
      <c r="E401" s="63"/>
      <c r="F401" s="60"/>
      <c r="G401" s="63"/>
      <c r="H401" s="60"/>
      <c r="I401" s="60"/>
      <c r="J401" s="60"/>
      <c r="K401" s="60"/>
      <c r="L401" s="63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</row>
    <row r="402" spans="1:54">
      <c r="A402" s="60"/>
      <c r="B402" s="60"/>
      <c r="C402" s="63"/>
      <c r="D402" s="60"/>
      <c r="E402" s="63"/>
      <c r="F402" s="60"/>
      <c r="G402" s="63"/>
      <c r="H402" s="60"/>
      <c r="I402" s="60"/>
      <c r="J402" s="60"/>
      <c r="K402" s="60"/>
      <c r="L402" s="63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</row>
    <row r="403" spans="1:54">
      <c r="A403" s="60"/>
      <c r="B403" s="60"/>
      <c r="C403" s="63"/>
      <c r="D403" s="60"/>
      <c r="E403" s="63"/>
      <c r="F403" s="60"/>
      <c r="G403" s="63"/>
      <c r="H403" s="60"/>
      <c r="I403" s="60"/>
      <c r="J403" s="60"/>
      <c r="K403" s="60"/>
      <c r="L403" s="63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</row>
    <row r="404" spans="1:54">
      <c r="A404" s="60"/>
      <c r="B404" s="60"/>
      <c r="C404" s="63"/>
      <c r="D404" s="60"/>
      <c r="E404" s="63"/>
      <c r="F404" s="60"/>
      <c r="G404" s="63"/>
      <c r="H404" s="60"/>
      <c r="I404" s="60"/>
      <c r="J404" s="60"/>
      <c r="K404" s="60"/>
      <c r="L404" s="63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</row>
    <row r="405" spans="1:54">
      <c r="A405" s="60"/>
      <c r="B405" s="60"/>
      <c r="C405" s="63"/>
      <c r="D405" s="60"/>
      <c r="E405" s="63"/>
      <c r="F405" s="60"/>
      <c r="G405" s="63"/>
      <c r="H405" s="60"/>
      <c r="I405" s="60"/>
      <c r="J405" s="60"/>
      <c r="K405" s="60"/>
      <c r="L405" s="63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</row>
    <row r="406" spans="1:54">
      <c r="A406" s="60"/>
      <c r="B406" s="60"/>
      <c r="C406" s="63"/>
      <c r="D406" s="60"/>
      <c r="E406" s="63"/>
      <c r="F406" s="60"/>
      <c r="G406" s="63"/>
      <c r="H406" s="60"/>
      <c r="I406" s="60"/>
      <c r="J406" s="60"/>
      <c r="K406" s="60"/>
      <c r="L406" s="63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</row>
    <row r="407" spans="1:54">
      <c r="A407" s="60"/>
      <c r="B407" s="60"/>
      <c r="C407" s="63"/>
      <c r="D407" s="60"/>
      <c r="E407" s="63"/>
      <c r="F407" s="60"/>
      <c r="G407" s="63"/>
      <c r="H407" s="60"/>
      <c r="I407" s="60"/>
      <c r="J407" s="60"/>
      <c r="K407" s="60"/>
      <c r="L407" s="63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</row>
    <row r="408" spans="1:54">
      <c r="A408" s="60"/>
      <c r="B408" s="60"/>
      <c r="C408" s="63"/>
      <c r="D408" s="60"/>
      <c r="E408" s="63"/>
      <c r="F408" s="60"/>
      <c r="G408" s="63"/>
      <c r="H408" s="60"/>
      <c r="I408" s="60"/>
      <c r="J408" s="60"/>
      <c r="K408" s="60"/>
      <c r="L408" s="63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zoomScaleNormal="100" workbookViewId="0">
      <selection activeCell="C51" sqref="C51"/>
    </sheetView>
  </sheetViews>
  <sheetFormatPr baseColWidth="10" defaultColWidth="11.42578125" defaultRowHeight="12.75"/>
  <cols>
    <col min="1" max="1" width="28.28515625" style="18" bestFit="1" customWidth="1"/>
    <col min="2" max="2" width="17.7109375" style="18" customWidth="1"/>
    <col min="3" max="3" width="18.28515625" style="18" customWidth="1"/>
    <col min="4" max="4" width="15.5703125" style="18" customWidth="1"/>
    <col min="5" max="5" width="21.7109375" style="18" customWidth="1"/>
    <col min="6" max="6" width="23.42578125" style="18" customWidth="1"/>
    <col min="7" max="7" width="18.28515625" style="18" customWidth="1"/>
    <col min="8" max="8" width="17.5703125" style="18" customWidth="1"/>
    <col min="9" max="9" width="18.42578125" style="18" customWidth="1"/>
    <col min="10" max="10" width="21.42578125" style="18" customWidth="1"/>
    <col min="11" max="11" width="17.140625" style="18" customWidth="1"/>
    <col min="12" max="12" width="33.28515625" style="18" customWidth="1"/>
    <col min="13" max="13" width="21.42578125" style="18" customWidth="1"/>
    <col min="14" max="14" width="17.7109375" style="18" customWidth="1"/>
    <col min="15" max="15" width="17.7109375" style="18" bestFit="1" customWidth="1"/>
    <col min="16" max="16" width="22.7109375" style="18" customWidth="1"/>
    <col min="17" max="17" width="20.7109375" style="18" customWidth="1"/>
    <col min="18" max="18" width="0.28515625" style="18" customWidth="1"/>
    <col min="19" max="20" width="11.42578125" style="18" customWidth="1"/>
    <col min="21" max="21" width="21.28515625" style="18" customWidth="1"/>
    <col min="22" max="22" width="16.7109375" style="18" bestFit="1" customWidth="1"/>
    <col min="23" max="24" width="15.28515625" style="18" bestFit="1" customWidth="1"/>
    <col min="25" max="25" width="14.28515625" style="18" bestFit="1" customWidth="1"/>
    <col min="26" max="26" width="13.28515625" style="18" bestFit="1" customWidth="1"/>
    <col min="27" max="27" width="12.5703125" style="18" bestFit="1" customWidth="1"/>
    <col min="28" max="28" width="14.28515625" style="18" bestFit="1" customWidth="1"/>
    <col min="29" max="16384" width="11.42578125" style="18"/>
  </cols>
  <sheetData>
    <row r="1" spans="1:29" ht="38.25" customHeight="1" thickBot="1">
      <c r="A1" s="39"/>
      <c r="B1" s="433" t="s">
        <v>150</v>
      </c>
      <c r="C1" s="433"/>
      <c r="D1" s="433"/>
      <c r="E1" s="433"/>
      <c r="F1" s="433" t="s">
        <v>149</v>
      </c>
      <c r="G1" s="433"/>
      <c r="H1" s="433"/>
      <c r="I1" s="433"/>
      <c r="J1" s="50" t="s">
        <v>148</v>
      </c>
      <c r="L1" s="434" t="s">
        <v>147</v>
      </c>
      <c r="M1" s="434"/>
      <c r="N1" s="434"/>
      <c r="O1" s="434"/>
      <c r="P1" s="434"/>
      <c r="Q1" s="434"/>
      <c r="T1" s="49"/>
    </row>
    <row r="2" spans="1:29" ht="68.25" customHeight="1" thickTop="1" thickBot="1">
      <c r="A2" s="48" t="s">
        <v>0</v>
      </c>
      <c r="B2" s="47" t="s">
        <v>334</v>
      </c>
      <c r="C2" s="46" t="s">
        <v>333</v>
      </c>
      <c r="D2" s="46" t="s">
        <v>146</v>
      </c>
      <c r="E2" s="45" t="s">
        <v>145</v>
      </c>
      <c r="F2" s="46" t="s">
        <v>224</v>
      </c>
      <c r="G2" s="46" t="s">
        <v>144</v>
      </c>
      <c r="H2" s="46" t="s">
        <v>143</v>
      </c>
      <c r="I2" s="43" t="s">
        <v>223</v>
      </c>
      <c r="J2" s="44" t="s">
        <v>142</v>
      </c>
      <c r="L2" s="48" t="s">
        <v>0</v>
      </c>
      <c r="M2" s="47" t="s">
        <v>141</v>
      </c>
      <c r="N2" s="46" t="s">
        <v>140</v>
      </c>
      <c r="O2" s="45" t="s">
        <v>139</v>
      </c>
      <c r="P2" s="44" t="s">
        <v>138</v>
      </c>
      <c r="Q2" s="43" t="s">
        <v>78</v>
      </c>
    </row>
    <row r="3" spans="1:29" ht="26.25" customHeight="1" thickTop="1">
      <c r="A3" s="39"/>
      <c r="B3" s="42" t="s">
        <v>137</v>
      </c>
      <c r="C3" s="42" t="s">
        <v>136</v>
      </c>
      <c r="D3" s="42" t="s">
        <v>135</v>
      </c>
      <c r="E3" s="42" t="s">
        <v>134</v>
      </c>
      <c r="F3" s="42" t="s">
        <v>133</v>
      </c>
      <c r="G3" s="42" t="s">
        <v>132</v>
      </c>
      <c r="H3" s="42"/>
      <c r="I3" s="42" t="s">
        <v>131</v>
      </c>
      <c r="J3" s="42" t="s">
        <v>130</v>
      </c>
      <c r="M3" s="41">
        <f>M4*P3</f>
        <v>18204201.5</v>
      </c>
      <c r="N3" s="41">
        <f>P3*N4</f>
        <v>10922520.9</v>
      </c>
      <c r="O3" s="41">
        <f>P3*O4</f>
        <v>7281680.6000000006</v>
      </c>
      <c r="P3" s="41">
        <f>+'PART MES'!F11</f>
        <v>36408403</v>
      </c>
    </row>
    <row r="4" spans="1:29" ht="13.5" thickBot="1">
      <c r="F4" s="40"/>
      <c r="G4" s="39"/>
      <c r="H4" s="39"/>
      <c r="I4" s="39"/>
      <c r="M4" s="175">
        <v>0.5</v>
      </c>
      <c r="N4" s="175">
        <v>0.3</v>
      </c>
      <c r="O4" s="175">
        <v>0.2</v>
      </c>
      <c r="P4" s="38" t="s">
        <v>129</v>
      </c>
      <c r="Q4" s="38"/>
    </row>
    <row r="5" spans="1:29" ht="13.5" thickTop="1">
      <c r="A5" s="34" t="s">
        <v>1</v>
      </c>
      <c r="B5" s="33">
        <v>685947</v>
      </c>
      <c r="C5" s="32">
        <v>200922.61</v>
      </c>
      <c r="D5" s="176">
        <f t="shared" ref="D5:D55" si="0">IFERROR(C5/B5,0)</f>
        <v>0.29291273232480058</v>
      </c>
      <c r="E5" s="37">
        <f t="shared" ref="E5:E55" si="1">IFERROR(D5/$D$56,0)</f>
        <v>1.9405813645909795E-2</v>
      </c>
      <c r="F5" s="162">
        <v>145672.85</v>
      </c>
      <c r="G5" s="163">
        <f t="shared" ref="G5:G55" si="2">IFERROR((C5/F5)-1,0)</f>
        <v>0.37927287068249149</v>
      </c>
      <c r="H5" s="36">
        <f t="shared" ref="H5:H55" si="3">IF(G5&lt;0,0,G5)</f>
        <v>0.37927287068249149</v>
      </c>
      <c r="I5" s="29">
        <f t="shared" ref="I5:I55" si="4">IFERROR(H5/$H$56,0)</f>
        <v>3.7057701352851399E-2</v>
      </c>
      <c r="J5" s="35">
        <f t="shared" ref="J5:J55" si="5">IFERROR(C5/$C$56,0)</f>
        <v>8.7744211780839887E-5</v>
      </c>
      <c r="L5" s="34" t="s">
        <v>1</v>
      </c>
      <c r="M5" s="33">
        <f t="shared" ref="M5:M55" si="6">IFERROR($M$3*E5,0)</f>
        <v>353267.34188159159</v>
      </c>
      <c r="N5" s="32">
        <f t="shared" ref="N5:N55" si="7">IFERROR($N$3*I5,0)</f>
        <v>404763.51753247768</v>
      </c>
      <c r="O5" s="31">
        <f t="shared" ref="O5:O55" si="8">IFERROR($O$3*J5,0)</f>
        <v>638.92532468683328</v>
      </c>
      <c r="P5" s="30">
        <f>IFERROR(SUM(M5:O5),2)</f>
        <v>758669.78473875602</v>
      </c>
      <c r="Q5" s="196">
        <f t="shared" ref="Q5:Q55" si="9">IFERROR(P5/$P$56,0)</f>
        <v>2.0837766071166483E-2</v>
      </c>
      <c r="S5" s="19" t="s">
        <v>155</v>
      </c>
      <c r="T5" s="19"/>
      <c r="AC5" s="19"/>
    </row>
    <row r="6" spans="1:29">
      <c r="A6" s="24" t="s">
        <v>2</v>
      </c>
      <c r="B6" s="23">
        <v>2702829</v>
      </c>
      <c r="C6" s="22">
        <v>996274</v>
      </c>
      <c r="D6" s="177">
        <f t="shared" si="0"/>
        <v>0.3686041551278309</v>
      </c>
      <c r="E6" s="28">
        <f t="shared" si="1"/>
        <v>2.4420459591312445E-2</v>
      </c>
      <c r="F6" s="57">
        <v>768052</v>
      </c>
      <c r="G6" s="164">
        <f t="shared" si="2"/>
        <v>0.29714394337883365</v>
      </c>
      <c r="H6" s="26">
        <f t="shared" si="3"/>
        <v>0.29714394337883365</v>
      </c>
      <c r="I6" s="20">
        <f t="shared" si="4"/>
        <v>2.9033111418506025E-2</v>
      </c>
      <c r="J6" s="25">
        <f t="shared" si="5"/>
        <v>4.3507934148249658E-4</v>
      </c>
      <c r="L6" s="24" t="s">
        <v>2</v>
      </c>
      <c r="M6" s="23">
        <f t="shared" si="6"/>
        <v>444554.96712285938</v>
      </c>
      <c r="N6" s="22">
        <f t="shared" si="7"/>
        <v>317114.76626066072</v>
      </c>
      <c r="O6" s="21">
        <f t="shared" si="8"/>
        <v>3168.1088003338709</v>
      </c>
      <c r="P6" s="165">
        <f t="shared" ref="P6:P55" si="10">IFERROR(SUM(M6:O6),2)</f>
        <v>764837.84218385397</v>
      </c>
      <c r="Q6" s="197">
        <f t="shared" si="9"/>
        <v>2.100717908950453E-2</v>
      </c>
      <c r="S6" s="19"/>
      <c r="T6" s="19"/>
      <c r="U6" s="19"/>
      <c r="V6" s="19"/>
      <c r="W6" s="19"/>
      <c r="X6" s="19"/>
      <c r="Y6" s="19"/>
      <c r="Z6" s="19"/>
    </row>
    <row r="7" spans="1:29">
      <c r="A7" s="24" t="s">
        <v>3</v>
      </c>
      <c r="B7" s="23">
        <v>1181103</v>
      </c>
      <c r="C7" s="22">
        <v>288767</v>
      </c>
      <c r="D7" s="177">
        <f t="shared" si="0"/>
        <v>0.24448926130913223</v>
      </c>
      <c r="E7" s="28">
        <f t="shared" si="1"/>
        <v>1.619770163534626E-2</v>
      </c>
      <c r="F7" s="57">
        <v>272877</v>
      </c>
      <c r="G7" s="164">
        <f t="shared" si="2"/>
        <v>5.8231364314324852E-2</v>
      </c>
      <c r="H7" s="26">
        <f t="shared" si="3"/>
        <v>5.8231364314324852E-2</v>
      </c>
      <c r="I7" s="20">
        <f t="shared" si="4"/>
        <v>5.6896252670174318E-3</v>
      </c>
      <c r="J7" s="25">
        <f t="shared" si="5"/>
        <v>1.2610642875541877E-4</v>
      </c>
      <c r="L7" s="24" t="s">
        <v>3</v>
      </c>
      <c r="M7" s="23">
        <f t="shared" si="6"/>
        <v>294866.22440672282</v>
      </c>
      <c r="N7" s="22">
        <f t="shared" si="7"/>
        <v>62145.050892165978</v>
      </c>
      <c r="O7" s="21">
        <f t="shared" si="8"/>
        <v>918.26673580361512</v>
      </c>
      <c r="P7" s="165">
        <f t="shared" si="10"/>
        <v>357929.54203469242</v>
      </c>
      <c r="Q7" s="197">
        <f t="shared" si="9"/>
        <v>9.8309596835294433E-3</v>
      </c>
      <c r="S7" s="19"/>
      <c r="T7" s="19"/>
      <c r="U7" s="19"/>
      <c r="V7" s="19"/>
      <c r="W7" s="19"/>
      <c r="X7" s="19"/>
      <c r="Y7" s="19"/>
      <c r="Z7" s="19"/>
    </row>
    <row r="8" spans="1:29">
      <c r="A8" s="24" t="s">
        <v>4</v>
      </c>
      <c r="B8" s="23">
        <v>56374737</v>
      </c>
      <c r="C8" s="22">
        <v>25832482</v>
      </c>
      <c r="D8" s="177">
        <f t="shared" si="0"/>
        <v>0.45822798250925767</v>
      </c>
      <c r="E8" s="28">
        <f t="shared" si="1"/>
        <v>3.0358143756125711E-2</v>
      </c>
      <c r="F8" s="57">
        <v>23142962</v>
      </c>
      <c r="G8" s="164">
        <f t="shared" si="2"/>
        <v>0.11621330061381085</v>
      </c>
      <c r="H8" s="26">
        <f t="shared" si="3"/>
        <v>0.11621330061381085</v>
      </c>
      <c r="I8" s="20">
        <f t="shared" si="4"/>
        <v>1.1354879613788711E-2</v>
      </c>
      <c r="J8" s="25">
        <f t="shared" si="5"/>
        <v>1.1281213057269833E-2</v>
      </c>
      <c r="L8" s="24" t="s">
        <v>4</v>
      </c>
      <c r="M8" s="23">
        <f t="shared" si="6"/>
        <v>552645.76610247931</v>
      </c>
      <c r="N8" s="22">
        <f t="shared" si="7"/>
        <v>124023.90989859113</v>
      </c>
      <c r="O8" s="21">
        <f t="shared" si="8"/>
        <v>82146.190263588433</v>
      </c>
      <c r="P8" s="165">
        <f t="shared" si="10"/>
        <v>758815.86626465886</v>
      </c>
      <c r="Q8" s="197">
        <f t="shared" si="9"/>
        <v>2.0841778373653436E-2</v>
      </c>
      <c r="S8" s="19"/>
      <c r="T8" s="19"/>
      <c r="U8" s="19"/>
      <c r="V8" s="19"/>
      <c r="W8" s="19"/>
      <c r="X8" s="19"/>
      <c r="Y8" s="19"/>
      <c r="Z8" s="19"/>
    </row>
    <row r="9" spans="1:29">
      <c r="A9" s="24" t="s">
        <v>5</v>
      </c>
      <c r="B9" s="23">
        <v>10911069</v>
      </c>
      <c r="C9" s="22">
        <v>1947895</v>
      </c>
      <c r="D9" s="177">
        <f t="shared" si="0"/>
        <v>0.17852467068075548</v>
      </c>
      <c r="E9" s="28">
        <f t="shared" si="1"/>
        <v>1.1827469782319288E-2</v>
      </c>
      <c r="F9" s="57">
        <v>2531264</v>
      </c>
      <c r="G9" s="164">
        <f t="shared" si="2"/>
        <v>-0.23046549075876721</v>
      </c>
      <c r="H9" s="26">
        <f t="shared" si="3"/>
        <v>0</v>
      </c>
      <c r="I9" s="20">
        <f t="shared" si="4"/>
        <v>0</v>
      </c>
      <c r="J9" s="25">
        <f t="shared" si="5"/>
        <v>8.5065842717670808E-4</v>
      </c>
      <c r="L9" s="24" t="s">
        <v>5</v>
      </c>
      <c r="M9" s="23">
        <f t="shared" si="6"/>
        <v>215309.64315250146</v>
      </c>
      <c r="N9" s="22">
        <f t="shared" si="7"/>
        <v>0</v>
      </c>
      <c r="O9" s="21">
        <f t="shared" si="8"/>
        <v>6194.2229663991484</v>
      </c>
      <c r="P9" s="165">
        <f t="shared" si="10"/>
        <v>221503.86611890062</v>
      </c>
      <c r="Q9" s="197">
        <f t="shared" si="9"/>
        <v>6.0838665765949864E-3</v>
      </c>
      <c r="S9" s="19"/>
      <c r="T9" s="19"/>
      <c r="U9" s="19"/>
      <c r="V9" s="19"/>
      <c r="W9" s="19"/>
      <c r="X9" s="19"/>
      <c r="Y9" s="19"/>
      <c r="Z9" s="19"/>
    </row>
    <row r="10" spans="1:29">
      <c r="A10" s="24" t="s">
        <v>6</v>
      </c>
      <c r="B10" s="23">
        <v>696327770</v>
      </c>
      <c r="C10" s="22">
        <v>336540527.27999997</v>
      </c>
      <c r="D10" s="177">
        <f t="shared" si="0"/>
        <v>0.48330763439177499</v>
      </c>
      <c r="E10" s="28">
        <f t="shared" si="1"/>
        <v>3.2019700243867417E-2</v>
      </c>
      <c r="F10" s="57">
        <v>299493654.98000002</v>
      </c>
      <c r="G10" s="164">
        <f t="shared" si="2"/>
        <v>0.12369835448592026</v>
      </c>
      <c r="H10" s="26">
        <f t="shared" si="3"/>
        <v>0.12369835448592026</v>
      </c>
      <c r="I10" s="20">
        <f t="shared" si="4"/>
        <v>1.2086223488987319E-2</v>
      </c>
      <c r="J10" s="25">
        <f t="shared" si="5"/>
        <v>0.1469694391213206</v>
      </c>
      <c r="L10" s="24" t="s">
        <v>6</v>
      </c>
      <c r="M10" s="23">
        <f t="shared" si="6"/>
        <v>582893.07520896161</v>
      </c>
      <c r="N10" s="22">
        <f t="shared" si="7"/>
        <v>132012.02866053491</v>
      </c>
      <c r="O10" s="21">
        <f t="shared" si="8"/>
        <v>1070184.5136426014</v>
      </c>
      <c r="P10" s="165">
        <f t="shared" si="10"/>
        <v>1785089.617512098</v>
      </c>
      <c r="Q10" s="197">
        <f t="shared" si="9"/>
        <v>4.9029604992894035E-2</v>
      </c>
      <c r="S10" s="19"/>
      <c r="T10" s="19"/>
      <c r="U10" s="19"/>
      <c r="V10" s="19"/>
      <c r="W10" s="19"/>
      <c r="X10" s="19"/>
      <c r="Y10" s="19"/>
      <c r="Z10" s="19"/>
    </row>
    <row r="11" spans="1:29">
      <c r="A11" s="24" t="s">
        <v>7</v>
      </c>
      <c r="B11" s="23"/>
      <c r="C11" s="22" t="s">
        <v>155</v>
      </c>
      <c r="D11" s="177">
        <f t="shared" si="0"/>
        <v>0</v>
      </c>
      <c r="E11" s="28">
        <f t="shared" si="1"/>
        <v>0</v>
      </c>
      <c r="F11" s="57"/>
      <c r="G11" s="164">
        <f t="shared" si="2"/>
        <v>0</v>
      </c>
      <c r="H11" s="26">
        <f t="shared" si="3"/>
        <v>0</v>
      </c>
      <c r="I11" s="20">
        <f t="shared" si="4"/>
        <v>0</v>
      </c>
      <c r="J11" s="25">
        <f t="shared" si="5"/>
        <v>0</v>
      </c>
      <c r="L11" s="24" t="s">
        <v>7</v>
      </c>
      <c r="M11" s="23">
        <f t="shared" si="6"/>
        <v>0</v>
      </c>
      <c r="N11" s="22">
        <f t="shared" si="7"/>
        <v>0</v>
      </c>
      <c r="O11" s="21">
        <f t="shared" si="8"/>
        <v>0</v>
      </c>
      <c r="P11" s="165">
        <f t="shared" si="10"/>
        <v>0</v>
      </c>
      <c r="Q11" s="197">
        <f t="shared" si="9"/>
        <v>0</v>
      </c>
      <c r="S11" s="19"/>
      <c r="T11" s="19"/>
      <c r="U11" s="19"/>
      <c r="V11" s="19"/>
      <c r="W11" s="19"/>
      <c r="X11" s="19"/>
      <c r="Y11" s="19"/>
      <c r="Z11" s="19"/>
    </row>
    <row r="12" spans="1:29">
      <c r="A12" s="24" t="s">
        <v>8</v>
      </c>
      <c r="B12" s="23">
        <v>2325037</v>
      </c>
      <c r="C12" s="22">
        <v>960189</v>
      </c>
      <c r="D12" s="177">
        <f t="shared" si="0"/>
        <v>0.41297794400691257</v>
      </c>
      <c r="E12" s="28">
        <f t="shared" si="1"/>
        <v>2.7360275388720493E-2</v>
      </c>
      <c r="F12" s="57">
        <v>799410</v>
      </c>
      <c r="G12" s="164">
        <f t="shared" si="2"/>
        <v>0.20112207753218003</v>
      </c>
      <c r="H12" s="26">
        <f t="shared" si="3"/>
        <v>0.20112207753218003</v>
      </c>
      <c r="I12" s="20">
        <f t="shared" si="4"/>
        <v>1.9651080951930085E-2</v>
      </c>
      <c r="J12" s="25">
        <f t="shared" si="5"/>
        <v>4.1932078707136478E-4</v>
      </c>
      <c r="L12" s="24" t="s">
        <v>8</v>
      </c>
      <c r="M12" s="23">
        <f t="shared" si="6"/>
        <v>498071.96627175866</v>
      </c>
      <c r="N12" s="22">
        <f t="shared" si="7"/>
        <v>214639.34240504826</v>
      </c>
      <c r="O12" s="21">
        <f t="shared" si="8"/>
        <v>3053.3600403942878</v>
      </c>
      <c r="P12" s="165">
        <f t="shared" si="10"/>
        <v>715764.66871720122</v>
      </c>
      <c r="Q12" s="197">
        <f t="shared" si="9"/>
        <v>1.9659326137353546E-2</v>
      </c>
      <c r="S12" s="19"/>
      <c r="T12" s="19"/>
      <c r="U12" s="19"/>
      <c r="V12" s="19"/>
      <c r="W12" s="19"/>
      <c r="X12" s="19"/>
      <c r="Y12" s="19"/>
      <c r="Z12" s="19"/>
    </row>
    <row r="13" spans="1:29">
      <c r="A13" s="24" t="s">
        <v>9</v>
      </c>
      <c r="B13" s="23">
        <v>116630005</v>
      </c>
      <c r="C13" s="22">
        <v>36285132.439999998</v>
      </c>
      <c r="D13" s="177">
        <f t="shared" si="0"/>
        <v>0.31111318601075255</v>
      </c>
      <c r="E13" s="28">
        <f t="shared" si="1"/>
        <v>2.0611615147597167E-2</v>
      </c>
      <c r="F13" s="57">
        <v>27527682</v>
      </c>
      <c r="G13" s="164">
        <f t="shared" si="2"/>
        <v>0.31813250530865611</v>
      </c>
      <c r="H13" s="26">
        <f t="shared" si="3"/>
        <v>0.31813250530865611</v>
      </c>
      <c r="I13" s="20">
        <f t="shared" si="4"/>
        <v>3.10838456522032E-2</v>
      </c>
      <c r="J13" s="25">
        <f t="shared" si="5"/>
        <v>1.5845953550529646E-2</v>
      </c>
      <c r="L13" s="24" t="s">
        <v>9</v>
      </c>
      <c r="M13" s="23">
        <f t="shared" si="6"/>
        <v>375217.99538731109</v>
      </c>
      <c r="N13" s="22">
        <f t="shared" si="7"/>
        <v>339513.95378856361</v>
      </c>
      <c r="O13" s="21">
        <f t="shared" si="8"/>
        <v>115385.17255739286</v>
      </c>
      <c r="P13" s="165">
        <f t="shared" si="10"/>
        <v>830117.12173326756</v>
      </c>
      <c r="Q13" s="197">
        <f t="shared" si="9"/>
        <v>2.2800151979565475E-2</v>
      </c>
      <c r="S13" s="19"/>
      <c r="T13" s="19"/>
      <c r="U13" s="19"/>
      <c r="V13" s="19"/>
      <c r="W13" s="19"/>
      <c r="X13" s="19"/>
      <c r="Y13" s="19"/>
      <c r="Z13" s="19"/>
    </row>
    <row r="14" spans="1:29">
      <c r="A14" s="24" t="s">
        <v>10</v>
      </c>
      <c r="B14" s="23">
        <v>36098646</v>
      </c>
      <c r="C14" s="22">
        <v>5537234.6299999999</v>
      </c>
      <c r="D14" s="177">
        <f t="shared" si="0"/>
        <v>0.15339175408407285</v>
      </c>
      <c r="E14" s="28">
        <f t="shared" si="1"/>
        <v>1.0162384444504078E-2</v>
      </c>
      <c r="F14" s="57">
        <v>4946842.92</v>
      </c>
      <c r="G14" s="164">
        <f t="shared" si="2"/>
        <v>0.1193471714278731</v>
      </c>
      <c r="H14" s="26">
        <f t="shared" si="3"/>
        <v>0.1193471714278731</v>
      </c>
      <c r="I14" s="20">
        <f t="shared" si="4"/>
        <v>1.166108144809591E-2</v>
      </c>
      <c r="J14" s="25">
        <f t="shared" si="5"/>
        <v>2.4181464099780536E-3</v>
      </c>
      <c r="L14" s="24" t="s">
        <v>10</v>
      </c>
      <c r="M14" s="23">
        <f t="shared" si="6"/>
        <v>184998.09414821779</v>
      </c>
      <c r="N14" s="22">
        <f t="shared" si="7"/>
        <v>127368.40583342985</v>
      </c>
      <c r="O14" s="21">
        <f t="shared" si="8"/>
        <v>17608.169801496842</v>
      </c>
      <c r="P14" s="165">
        <f t="shared" si="10"/>
        <v>329974.66978314449</v>
      </c>
      <c r="Q14" s="197">
        <f t="shared" si="9"/>
        <v>9.0631459386764229E-3</v>
      </c>
      <c r="S14" s="19"/>
      <c r="T14" s="19"/>
      <c r="U14" s="19"/>
      <c r="V14" s="19"/>
      <c r="W14" s="19"/>
      <c r="X14" s="19"/>
      <c r="Y14" s="19"/>
      <c r="Z14" s="19"/>
    </row>
    <row r="15" spans="1:29">
      <c r="A15" s="24" t="s">
        <v>11</v>
      </c>
      <c r="B15" s="23">
        <v>3294944</v>
      </c>
      <c r="C15" s="22">
        <v>1064298</v>
      </c>
      <c r="D15" s="177">
        <f t="shared" si="0"/>
        <v>0.32300943506171881</v>
      </c>
      <c r="E15" s="28">
        <f t="shared" si="1"/>
        <v>2.1399755664180769E-2</v>
      </c>
      <c r="F15" s="57">
        <v>1221813</v>
      </c>
      <c r="G15" s="164">
        <f t="shared" si="2"/>
        <v>-0.12891907354071364</v>
      </c>
      <c r="H15" s="26">
        <f t="shared" si="3"/>
        <v>0</v>
      </c>
      <c r="I15" s="20">
        <f t="shared" si="4"/>
        <v>0</v>
      </c>
      <c r="J15" s="25">
        <f t="shared" si="5"/>
        <v>4.6478586511455497E-4</v>
      </c>
      <c r="L15" s="24" t="s">
        <v>11</v>
      </c>
      <c r="M15" s="23">
        <f t="shared" si="6"/>
        <v>389565.46416151302</v>
      </c>
      <c r="N15" s="22">
        <f t="shared" si="7"/>
        <v>0</v>
      </c>
      <c r="O15" s="21">
        <f t="shared" si="8"/>
        <v>3384.4222171588722</v>
      </c>
      <c r="P15" s="165">
        <f t="shared" si="10"/>
        <v>392949.88637867192</v>
      </c>
      <c r="Q15" s="197">
        <f t="shared" si="9"/>
        <v>1.0792835005113296E-2</v>
      </c>
      <c r="S15" s="19"/>
      <c r="T15" s="19"/>
      <c r="U15" s="19"/>
      <c r="V15" s="19"/>
      <c r="W15" s="19"/>
      <c r="X15" s="19"/>
      <c r="Y15" s="19"/>
      <c r="Z15" s="19"/>
    </row>
    <row r="16" spans="1:29">
      <c r="A16" s="24" t="s">
        <v>12</v>
      </c>
      <c r="B16" s="23">
        <v>5282316</v>
      </c>
      <c r="C16" s="22">
        <v>1864847</v>
      </c>
      <c r="D16" s="177">
        <f t="shared" si="0"/>
        <v>0.35303586532876868</v>
      </c>
      <c r="E16" s="28">
        <f t="shared" si="1"/>
        <v>2.3389042048523233E-2</v>
      </c>
      <c r="F16" s="57">
        <v>1408205</v>
      </c>
      <c r="G16" s="164">
        <f t="shared" si="2"/>
        <v>0.32427238931831659</v>
      </c>
      <c r="H16" s="26">
        <f t="shared" si="3"/>
        <v>0.32427238931831659</v>
      </c>
      <c r="I16" s="20">
        <f t="shared" si="4"/>
        <v>3.1683756707169275E-2</v>
      </c>
      <c r="J16" s="25">
        <f t="shared" si="5"/>
        <v>8.1439082493933322E-4</v>
      </c>
      <c r="L16" s="24" t="s">
        <v>12</v>
      </c>
      <c r="M16" s="23">
        <f t="shared" si="6"/>
        <v>425778.83434328972</v>
      </c>
      <c r="N16" s="22">
        <f t="shared" si="7"/>
        <v>346066.49482457159</v>
      </c>
      <c r="O16" s="21">
        <f t="shared" si="8"/>
        <v>5930.133870778739</v>
      </c>
      <c r="P16" s="165">
        <f t="shared" si="10"/>
        <v>777775.46303863998</v>
      </c>
      <c r="Q16" s="197">
        <f t="shared" si="9"/>
        <v>2.1362526201400264E-2</v>
      </c>
      <c r="S16" s="19"/>
      <c r="T16" s="19"/>
      <c r="U16" s="19"/>
      <c r="V16" s="19"/>
      <c r="W16" s="19"/>
      <c r="X16" s="19"/>
      <c r="Y16" s="19"/>
      <c r="Z16" s="19"/>
    </row>
    <row r="17" spans="1:26">
      <c r="A17" s="24" t="s">
        <v>13</v>
      </c>
      <c r="B17" s="23">
        <v>53700075</v>
      </c>
      <c r="C17" s="22">
        <v>14209085</v>
      </c>
      <c r="D17" s="177">
        <f t="shared" si="0"/>
        <v>0.26460084087405839</v>
      </c>
      <c r="E17" s="28">
        <f t="shared" si="1"/>
        <v>1.7530117478332132E-2</v>
      </c>
      <c r="F17" s="57">
        <v>12990205</v>
      </c>
      <c r="G17" s="164">
        <f t="shared" si="2"/>
        <v>9.3830697821935871E-2</v>
      </c>
      <c r="H17" s="26">
        <f t="shared" si="3"/>
        <v>9.3830697821935871E-2</v>
      </c>
      <c r="I17" s="20">
        <f t="shared" si="4"/>
        <v>9.167937509893349E-3</v>
      </c>
      <c r="J17" s="25">
        <f t="shared" si="5"/>
        <v>6.2051999197698824E-3</v>
      </c>
      <c r="L17" s="24" t="s">
        <v>13</v>
      </c>
      <c r="M17" s="23">
        <f t="shared" si="6"/>
        <v>319121.79089423001</v>
      </c>
      <c r="N17" s="22">
        <f t="shared" si="7"/>
        <v>100136.98906170407</v>
      </c>
      <c r="O17" s="21">
        <f t="shared" si="8"/>
        <v>45184.28387490991</v>
      </c>
      <c r="P17" s="165">
        <f t="shared" si="10"/>
        <v>464443.06383084401</v>
      </c>
      <c r="Q17" s="197">
        <f t="shared" si="9"/>
        <v>1.2756479976088048E-2</v>
      </c>
      <c r="S17" s="19"/>
      <c r="T17" s="19"/>
      <c r="U17" s="19"/>
      <c r="V17" s="19"/>
      <c r="W17" s="19"/>
      <c r="X17" s="19"/>
      <c r="Y17" s="19"/>
      <c r="Z17" s="19"/>
    </row>
    <row r="18" spans="1:26">
      <c r="A18" s="24" t="s">
        <v>14</v>
      </c>
      <c r="B18" s="23">
        <v>7034210</v>
      </c>
      <c r="C18" s="22">
        <v>838434</v>
      </c>
      <c r="D18" s="177">
        <f t="shared" si="0"/>
        <v>0.11919376873877806</v>
      </c>
      <c r="E18" s="28">
        <f t="shared" si="1"/>
        <v>7.8967276210224063E-3</v>
      </c>
      <c r="F18" s="57">
        <v>691812</v>
      </c>
      <c r="G18" s="164">
        <f t="shared" si="2"/>
        <v>0.21193908171584197</v>
      </c>
      <c r="H18" s="26">
        <f t="shared" si="3"/>
        <v>0.21193908171584197</v>
      </c>
      <c r="I18" s="20">
        <f t="shared" si="4"/>
        <v>2.0707980460321931E-2</v>
      </c>
      <c r="J18" s="25">
        <f t="shared" si="5"/>
        <v>3.6614958595379939E-4</v>
      </c>
      <c r="L18" s="24" t="s">
        <v>14</v>
      </c>
      <c r="M18" s="23">
        <f t="shared" si="6"/>
        <v>143753.62080370751</v>
      </c>
      <c r="N18" s="22">
        <f t="shared" si="7"/>
        <v>226183.3493746579</v>
      </c>
      <c r="O18" s="21">
        <f t="shared" si="8"/>
        <v>2666.1843367378137</v>
      </c>
      <c r="P18" s="165">
        <f t="shared" si="10"/>
        <v>372603.1545151032</v>
      </c>
      <c r="Q18" s="197">
        <f t="shared" si="9"/>
        <v>1.023398786579854E-2</v>
      </c>
      <c r="S18" s="19"/>
      <c r="T18" s="19"/>
      <c r="U18" s="19"/>
      <c r="V18" s="19"/>
      <c r="W18" s="19"/>
      <c r="X18" s="19"/>
      <c r="Y18" s="19"/>
      <c r="Z18" s="19"/>
    </row>
    <row r="19" spans="1:26">
      <c r="A19" s="24" t="s">
        <v>15</v>
      </c>
      <c r="B19" s="23">
        <v>1629962</v>
      </c>
      <c r="C19" s="22">
        <v>363195</v>
      </c>
      <c r="D19" s="177">
        <f t="shared" si="0"/>
        <v>0.22282421307981412</v>
      </c>
      <c r="E19" s="28">
        <f t="shared" si="1"/>
        <v>1.4762366662943635E-2</v>
      </c>
      <c r="F19" s="57">
        <v>329170</v>
      </c>
      <c r="G19" s="164">
        <f t="shared" si="2"/>
        <v>0.10336604186286724</v>
      </c>
      <c r="H19" s="26">
        <f t="shared" si="3"/>
        <v>0.10336604186286724</v>
      </c>
      <c r="I19" s="20">
        <f t="shared" si="4"/>
        <v>1.0099609556801602E-2</v>
      </c>
      <c r="J19" s="25">
        <f t="shared" si="5"/>
        <v>1.5860962087712349E-4</v>
      </c>
      <c r="L19" s="24" t="s">
        <v>15</v>
      </c>
      <c r="M19" s="23">
        <f t="shared" si="6"/>
        <v>268737.09734910849</v>
      </c>
      <c r="N19" s="22">
        <f t="shared" si="7"/>
        <v>110313.19646600523</v>
      </c>
      <c r="O19" s="21">
        <f t="shared" si="8"/>
        <v>1154.9445993143052</v>
      </c>
      <c r="P19" s="165">
        <f t="shared" si="10"/>
        <v>380205.23841442802</v>
      </c>
      <c r="Q19" s="197">
        <f t="shared" si="9"/>
        <v>1.0442788122687723E-2</v>
      </c>
      <c r="S19" s="19"/>
      <c r="T19" s="19"/>
      <c r="U19" s="19"/>
      <c r="V19" s="19"/>
      <c r="W19" s="19"/>
      <c r="X19" s="19"/>
      <c r="Y19" s="19"/>
      <c r="Z19" s="19"/>
    </row>
    <row r="20" spans="1:26">
      <c r="A20" s="24" t="s">
        <v>16</v>
      </c>
      <c r="B20" s="23">
        <v>2243867</v>
      </c>
      <c r="C20" s="22">
        <v>1038863</v>
      </c>
      <c r="D20" s="177">
        <f t="shared" si="0"/>
        <v>0.46297886639448771</v>
      </c>
      <c r="E20" s="28">
        <f t="shared" si="1"/>
        <v>3.0672895411331669E-2</v>
      </c>
      <c r="F20" s="57">
        <v>632096</v>
      </c>
      <c r="G20" s="164">
        <f t="shared" si="2"/>
        <v>0.64352092087277879</v>
      </c>
      <c r="H20" s="26">
        <f t="shared" si="3"/>
        <v>0.64352092087277879</v>
      </c>
      <c r="I20" s="20">
        <f t="shared" si="4"/>
        <v>6.2876646191705132E-2</v>
      </c>
      <c r="J20" s="25">
        <f t="shared" si="5"/>
        <v>4.5367823503426853E-4</v>
      </c>
      <c r="L20" s="24" t="s">
        <v>16</v>
      </c>
      <c r="M20" s="23">
        <f t="shared" si="6"/>
        <v>558375.56865630706</v>
      </c>
      <c r="N20" s="22">
        <f t="shared" si="7"/>
        <v>686771.48215080472</v>
      </c>
      <c r="O20" s="21">
        <f t="shared" si="8"/>
        <v>3303.5400026912739</v>
      </c>
      <c r="P20" s="165">
        <f t="shared" si="10"/>
        <v>1248450.5908098032</v>
      </c>
      <c r="Q20" s="197">
        <f t="shared" si="9"/>
        <v>3.4290177210184229E-2</v>
      </c>
      <c r="S20" s="19"/>
      <c r="T20" s="19"/>
      <c r="U20" s="19"/>
      <c r="V20" s="19"/>
      <c r="W20" s="19"/>
      <c r="X20" s="19"/>
      <c r="Y20" s="19"/>
      <c r="Z20" s="19"/>
    </row>
    <row r="21" spans="1:26">
      <c r="A21" s="24" t="s">
        <v>17</v>
      </c>
      <c r="B21" s="23">
        <v>10409374</v>
      </c>
      <c r="C21" s="22">
        <v>1281029</v>
      </c>
      <c r="D21" s="177">
        <f t="shared" si="0"/>
        <v>0.12306494127312555</v>
      </c>
      <c r="E21" s="28">
        <f t="shared" si="1"/>
        <v>8.153197362697583E-3</v>
      </c>
      <c r="F21" s="57">
        <v>1193413</v>
      </c>
      <c r="G21" s="164">
        <f t="shared" si="2"/>
        <v>7.3416327792641844E-2</v>
      </c>
      <c r="H21" s="26">
        <f t="shared" si="3"/>
        <v>7.3416327792641844E-2</v>
      </c>
      <c r="I21" s="20">
        <f t="shared" si="4"/>
        <v>7.173305975898157E-3</v>
      </c>
      <c r="J21" s="25">
        <f t="shared" si="5"/>
        <v>5.5943370372004201E-4</v>
      </c>
      <c r="L21" s="24" t="s">
        <v>17</v>
      </c>
      <c r="M21" s="23">
        <f t="shared" si="6"/>
        <v>148422.44765981537</v>
      </c>
      <c r="N21" s="22">
        <f t="shared" si="7"/>
        <v>78350.584443842512</v>
      </c>
      <c r="O21" s="21">
        <f t="shared" si="8"/>
        <v>4073.617547364378</v>
      </c>
      <c r="P21" s="165">
        <f t="shared" si="10"/>
        <v>230846.64965102228</v>
      </c>
      <c r="Q21" s="197">
        <f t="shared" si="9"/>
        <v>6.3404772148622467E-3</v>
      </c>
      <c r="S21" s="19"/>
      <c r="T21" s="19"/>
      <c r="U21" s="19"/>
      <c r="V21" s="19"/>
      <c r="W21" s="19"/>
      <c r="X21" s="19"/>
      <c r="Y21" s="19"/>
      <c r="Z21" s="19"/>
    </row>
    <row r="22" spans="1:26">
      <c r="A22" s="24" t="s">
        <v>18</v>
      </c>
      <c r="B22" s="23">
        <v>415292639</v>
      </c>
      <c r="C22" s="22">
        <v>103525907.23999999</v>
      </c>
      <c r="D22" s="177">
        <f t="shared" si="0"/>
        <v>0.24928423361724933</v>
      </c>
      <c r="E22" s="28">
        <f t="shared" si="1"/>
        <v>1.6515374200516415E-2</v>
      </c>
      <c r="F22" s="57">
        <v>90011508</v>
      </c>
      <c r="G22" s="164">
        <f t="shared" si="2"/>
        <v>0.15014079355275323</v>
      </c>
      <c r="H22" s="26">
        <f t="shared" si="3"/>
        <v>0.15014079355275323</v>
      </c>
      <c r="I22" s="20">
        <f t="shared" si="4"/>
        <v>1.4669840946825444E-2</v>
      </c>
      <c r="J22" s="25">
        <f t="shared" si="5"/>
        <v>4.5210437639000137E-2</v>
      </c>
      <c r="L22" s="24" t="s">
        <v>18</v>
      </c>
      <c r="M22" s="23">
        <f t="shared" si="6"/>
        <v>300649.19979410223</v>
      </c>
      <c r="N22" s="22">
        <f t="shared" si="7"/>
        <v>160231.6443413767</v>
      </c>
      <c r="O22" s="21">
        <f t="shared" si="8"/>
        <v>329207.96667341713</v>
      </c>
      <c r="P22" s="165">
        <f t="shared" si="10"/>
        <v>790088.81080889609</v>
      </c>
      <c r="Q22" s="197">
        <f t="shared" si="9"/>
        <v>2.170072691210587E-2</v>
      </c>
      <c r="S22" s="19"/>
      <c r="T22" s="19"/>
      <c r="U22" s="19"/>
      <c r="V22" s="19"/>
      <c r="W22" s="19"/>
      <c r="X22" s="19"/>
      <c r="Y22" s="19"/>
      <c r="Z22" s="19"/>
    </row>
    <row r="23" spans="1:26">
      <c r="A23" s="24" t="s">
        <v>19</v>
      </c>
      <c r="B23" s="23">
        <v>4596412</v>
      </c>
      <c r="C23" s="22">
        <v>3566422</v>
      </c>
      <c r="D23" s="177">
        <f t="shared" si="0"/>
        <v>0.77591434362280842</v>
      </c>
      <c r="E23" s="28">
        <f t="shared" si="1"/>
        <v>5.1405239499238239E-2</v>
      </c>
      <c r="F23" s="57">
        <v>877317</v>
      </c>
      <c r="G23" s="164">
        <f t="shared" si="2"/>
        <v>3.0651463496090923</v>
      </c>
      <c r="H23" s="26">
        <f t="shared" si="3"/>
        <v>3.0651463496090923</v>
      </c>
      <c r="I23" s="20">
        <f t="shared" si="4"/>
        <v>0.29948695729857788</v>
      </c>
      <c r="J23" s="25">
        <f t="shared" si="5"/>
        <v>1.5574797045879831E-3</v>
      </c>
      <c r="L23" s="24" t="s">
        <v>19</v>
      </c>
      <c r="M23" s="23">
        <f t="shared" si="6"/>
        <v>935791.33799989196</v>
      </c>
      <c r="N23" s="22">
        <f t="shared" si="7"/>
        <v>3271152.5503711244</v>
      </c>
      <c r="O23" s="21">
        <f t="shared" si="8"/>
        <v>11341.069749792048</v>
      </c>
      <c r="P23" s="165">
        <f t="shared" si="10"/>
        <v>4218284.9581208089</v>
      </c>
      <c r="Q23" s="197">
        <f t="shared" si="9"/>
        <v>0.11586020288011009</v>
      </c>
      <c r="S23" s="19"/>
      <c r="T23" s="19"/>
      <c r="U23" s="19"/>
      <c r="V23" s="19"/>
      <c r="W23" s="19"/>
      <c r="X23" s="19"/>
      <c r="Y23" s="19"/>
      <c r="Z23" s="19"/>
    </row>
    <row r="24" spans="1:26">
      <c r="A24" s="24" t="s">
        <v>20</v>
      </c>
      <c r="B24" s="23">
        <v>459479979</v>
      </c>
      <c r="C24" s="22">
        <v>154603349.86000001</v>
      </c>
      <c r="D24" s="177">
        <f t="shared" si="0"/>
        <v>0.33647461679717716</v>
      </c>
      <c r="E24" s="28">
        <f t="shared" si="1"/>
        <v>2.2291839819733501E-2</v>
      </c>
      <c r="F24" s="57">
        <v>130662277.23999999</v>
      </c>
      <c r="G24" s="164">
        <f t="shared" si="2"/>
        <v>0.18322864965857844</v>
      </c>
      <c r="H24" s="26">
        <f t="shared" si="3"/>
        <v>0.18322864965857844</v>
      </c>
      <c r="I24" s="20">
        <f t="shared" si="4"/>
        <v>1.7902763691258362E-2</v>
      </c>
      <c r="J24" s="25">
        <f t="shared" si="5"/>
        <v>6.7516289342165747E-2</v>
      </c>
      <c r="L24" s="24" t="s">
        <v>20</v>
      </c>
      <c r="M24" s="23">
        <f t="shared" si="6"/>
        <v>405805.14388415235</v>
      </c>
      <c r="N24" s="22">
        <f t="shared" si="7"/>
        <v>195543.31058553062</v>
      </c>
      <c r="O24" s="21">
        <f t="shared" si="8"/>
        <v>491632.05428683513</v>
      </c>
      <c r="P24" s="165">
        <f t="shared" si="10"/>
        <v>1092980.5087565181</v>
      </c>
      <c r="Q24" s="197">
        <f t="shared" si="9"/>
        <v>3.0020006885677412E-2</v>
      </c>
      <c r="S24" s="19"/>
      <c r="T24" s="19"/>
      <c r="U24" s="19"/>
      <c r="V24" s="19"/>
      <c r="W24" s="19"/>
      <c r="X24" s="19"/>
      <c r="Y24" s="19"/>
      <c r="Z24" s="19"/>
    </row>
    <row r="25" spans="1:26">
      <c r="A25" s="24" t="s">
        <v>21</v>
      </c>
      <c r="B25" s="23">
        <v>12996129</v>
      </c>
      <c r="C25" s="22">
        <v>4608992</v>
      </c>
      <c r="D25" s="177">
        <f t="shared" si="0"/>
        <v>0.35464344806057252</v>
      </c>
      <c r="E25" s="28">
        <f t="shared" si="1"/>
        <v>2.349554629866684E-2</v>
      </c>
      <c r="F25" s="57">
        <v>3648762.03</v>
      </c>
      <c r="G25" s="164">
        <f t="shared" si="2"/>
        <v>0.26316596207289522</v>
      </c>
      <c r="H25" s="26">
        <f t="shared" si="3"/>
        <v>0.26316596207289522</v>
      </c>
      <c r="I25" s="20">
        <f t="shared" si="4"/>
        <v>2.5713217007016918E-2</v>
      </c>
      <c r="J25" s="25">
        <f t="shared" si="5"/>
        <v>2.0127768106545938E-3</v>
      </c>
      <c r="L25" s="24" t="s">
        <v>21</v>
      </c>
      <c r="M25" s="23">
        <f t="shared" si="6"/>
        <v>427717.65917351033</v>
      </c>
      <c r="N25" s="22">
        <f t="shared" si="7"/>
        <v>280853.15016537777</v>
      </c>
      <c r="O25" s="21">
        <f t="shared" si="8"/>
        <v>14656.397854273429</v>
      </c>
      <c r="P25" s="165">
        <f t="shared" si="10"/>
        <v>723227.20719316159</v>
      </c>
      <c r="Q25" s="197">
        <f t="shared" si="9"/>
        <v>1.9864293613569416E-2</v>
      </c>
      <c r="S25" s="19"/>
      <c r="T25" s="19"/>
      <c r="U25" s="19"/>
      <c r="V25" s="19"/>
      <c r="W25" s="19"/>
      <c r="X25" s="19"/>
      <c r="Y25" s="19"/>
      <c r="Z25" s="19"/>
    </row>
    <row r="26" spans="1:26">
      <c r="A26" s="24" t="s">
        <v>22</v>
      </c>
      <c r="B26" s="23">
        <v>844965</v>
      </c>
      <c r="C26" s="22">
        <v>246797</v>
      </c>
      <c r="D26" s="177">
        <f t="shared" si="0"/>
        <v>0.29207955359097715</v>
      </c>
      <c r="E26" s="28">
        <f t="shared" si="1"/>
        <v>1.9350614573087024E-2</v>
      </c>
      <c r="F26" s="57">
        <v>218938</v>
      </c>
      <c r="G26" s="164">
        <f t="shared" si="2"/>
        <v>0.12724606966355778</v>
      </c>
      <c r="H26" s="26">
        <f t="shared" si="3"/>
        <v>0.12724606966355778</v>
      </c>
      <c r="I26" s="20">
        <f t="shared" si="4"/>
        <v>1.2432860909431583E-2</v>
      </c>
      <c r="J26" s="25">
        <f t="shared" si="5"/>
        <v>1.0777785653329878E-4</v>
      </c>
      <c r="L26" s="24" t="s">
        <v>22</v>
      </c>
      <c r="M26" s="23">
        <f t="shared" si="6"/>
        <v>352262.4868373127</v>
      </c>
      <c r="N26" s="22">
        <f t="shared" si="7"/>
        <v>135798.18313005948</v>
      </c>
      <c r="O26" s="21">
        <f t="shared" si="8"/>
        <v>784.80392702810502</v>
      </c>
      <c r="P26" s="165">
        <f t="shared" si="10"/>
        <v>488845.47389440029</v>
      </c>
      <c r="Q26" s="197">
        <f t="shared" si="9"/>
        <v>1.3426721130679648E-2</v>
      </c>
      <c r="S26" s="19"/>
      <c r="T26" s="19"/>
      <c r="U26" s="19"/>
      <c r="V26" s="19"/>
      <c r="W26" s="19"/>
      <c r="X26" s="19"/>
      <c r="Y26" s="19"/>
      <c r="Z26" s="19"/>
    </row>
    <row r="27" spans="1:26">
      <c r="A27" s="24" t="s">
        <v>23</v>
      </c>
      <c r="B27" s="23">
        <v>1658016</v>
      </c>
      <c r="C27" s="22">
        <v>165744</v>
      </c>
      <c r="D27" s="177">
        <f t="shared" si="0"/>
        <v>9.996525968386312E-2</v>
      </c>
      <c r="E27" s="28">
        <f t="shared" si="1"/>
        <v>6.622816239817573E-3</v>
      </c>
      <c r="F27" s="57">
        <v>140414</v>
      </c>
      <c r="G27" s="164">
        <f t="shared" si="2"/>
        <v>0.18039511729599611</v>
      </c>
      <c r="H27" s="26">
        <f t="shared" si="3"/>
        <v>0.18039511729599611</v>
      </c>
      <c r="I27" s="20">
        <f t="shared" si="4"/>
        <v>1.7625907094905285E-2</v>
      </c>
      <c r="J27" s="25">
        <f t="shared" si="5"/>
        <v>7.2381483783251304E-5</v>
      </c>
      <c r="L27" s="24" t="s">
        <v>23</v>
      </c>
      <c r="M27" s="23">
        <f t="shared" si="6"/>
        <v>120563.08132711142</v>
      </c>
      <c r="N27" s="22">
        <f t="shared" si="7"/>
        <v>192519.33862556127</v>
      </c>
      <c r="O27" s="21">
        <f t="shared" si="8"/>
        <v>527.05884626371562</v>
      </c>
      <c r="P27" s="165">
        <f t="shared" si="10"/>
        <v>313609.47879893641</v>
      </c>
      <c r="Q27" s="197">
        <f t="shared" si="9"/>
        <v>8.6136565451370231E-3</v>
      </c>
      <c r="S27" s="19"/>
      <c r="T27" s="19"/>
      <c r="U27" s="19"/>
      <c r="V27" s="19"/>
      <c r="W27" s="19"/>
      <c r="X27" s="19"/>
      <c r="Y27" s="19"/>
      <c r="Z27" s="19"/>
    </row>
    <row r="28" spans="1:26">
      <c r="A28" s="24" t="s">
        <v>24</v>
      </c>
      <c r="B28" s="23">
        <v>69984471</v>
      </c>
      <c r="C28" s="22">
        <v>12472493</v>
      </c>
      <c r="D28" s="177">
        <f t="shared" si="0"/>
        <v>0.17821800782062067</v>
      </c>
      <c r="E28" s="28">
        <f t="shared" si="1"/>
        <v>1.1807153006504643E-2</v>
      </c>
      <c r="F28" s="57">
        <v>9156806</v>
      </c>
      <c r="G28" s="164">
        <f t="shared" si="2"/>
        <v>0.36210082423936907</v>
      </c>
      <c r="H28" s="26">
        <f t="shared" si="3"/>
        <v>0.36210082423936907</v>
      </c>
      <c r="I28" s="20">
        <f t="shared" si="4"/>
        <v>3.537986827303892E-2</v>
      </c>
      <c r="J28" s="25">
        <f t="shared" si="5"/>
        <v>5.4468188882627151E-3</v>
      </c>
      <c r="L28" s="24" t="s">
        <v>24</v>
      </c>
      <c r="M28" s="23">
        <f t="shared" si="6"/>
        <v>214939.79247174133</v>
      </c>
      <c r="N28" s="22">
        <f t="shared" si="7"/>
        <v>386437.35065151454</v>
      </c>
      <c r="O28" s="21">
        <f t="shared" si="8"/>
        <v>39661.995430376184</v>
      </c>
      <c r="P28" s="165">
        <f t="shared" si="10"/>
        <v>641039.13855363196</v>
      </c>
      <c r="Q28" s="197">
        <f t="shared" si="9"/>
        <v>1.7606900762816537E-2</v>
      </c>
      <c r="S28" s="19"/>
      <c r="T28" s="19"/>
      <c r="U28" s="19"/>
      <c r="V28" s="19"/>
      <c r="W28" s="19"/>
      <c r="X28" s="19"/>
      <c r="Y28" s="19"/>
      <c r="Z28" s="19"/>
    </row>
    <row r="29" spans="1:26">
      <c r="A29" s="24" t="s">
        <v>25</v>
      </c>
      <c r="B29" s="23">
        <v>534177051</v>
      </c>
      <c r="C29" s="22">
        <v>210861820.25999999</v>
      </c>
      <c r="D29" s="177">
        <f t="shared" si="0"/>
        <v>0.39474144361922425</v>
      </c>
      <c r="E29" s="28">
        <f t="shared" si="1"/>
        <v>2.6152085750570448E-2</v>
      </c>
      <c r="F29" s="57">
        <v>215375991.11000001</v>
      </c>
      <c r="G29" s="164">
        <f t="shared" si="2"/>
        <v>-2.0959489619687854E-2</v>
      </c>
      <c r="H29" s="26">
        <f t="shared" si="3"/>
        <v>0</v>
      </c>
      <c r="I29" s="20">
        <f t="shared" si="4"/>
        <v>0</v>
      </c>
      <c r="J29" s="25">
        <f t="shared" si="5"/>
        <v>9.2084729605029683E-2</v>
      </c>
      <c r="L29" s="24" t="s">
        <v>25</v>
      </c>
      <c r="M29" s="23">
        <f t="shared" si="6"/>
        <v>476077.83864866319</v>
      </c>
      <c r="N29" s="22">
        <f t="shared" si="7"/>
        <v>0</v>
      </c>
      <c r="O29" s="21">
        <f t="shared" si="8"/>
        <v>670531.58912119037</v>
      </c>
      <c r="P29" s="165">
        <f t="shared" si="10"/>
        <v>1146609.4277698535</v>
      </c>
      <c r="Q29" s="197">
        <f t="shared" si="9"/>
        <v>3.1492988796291164E-2</v>
      </c>
      <c r="S29" s="19"/>
      <c r="T29" s="19"/>
      <c r="U29" s="19"/>
      <c r="V29" s="19"/>
      <c r="W29" s="19"/>
      <c r="X29" s="19"/>
      <c r="Y29" s="19"/>
      <c r="Z29" s="19"/>
    </row>
    <row r="30" spans="1:26">
      <c r="A30" s="24" t="s">
        <v>26</v>
      </c>
      <c r="B30" s="23">
        <v>1059673</v>
      </c>
      <c r="C30" s="22">
        <v>297293.69</v>
      </c>
      <c r="D30" s="177">
        <f t="shared" si="0"/>
        <v>0.28055229301869539</v>
      </c>
      <c r="E30" s="28">
        <f t="shared" si="1"/>
        <v>1.8586919977983202E-2</v>
      </c>
      <c r="F30" s="57">
        <v>288216.5</v>
      </c>
      <c r="G30" s="164">
        <f t="shared" si="2"/>
        <v>3.1494345396603007E-2</v>
      </c>
      <c r="H30" s="26">
        <f t="shared" si="3"/>
        <v>3.1494345396603007E-2</v>
      </c>
      <c r="I30" s="20">
        <f t="shared" si="4"/>
        <v>3.0772252281337296E-3</v>
      </c>
      <c r="J30" s="25">
        <f t="shared" si="5"/>
        <v>1.2983008978664651E-4</v>
      </c>
      <c r="L30" s="24" t="s">
        <v>26</v>
      </c>
      <c r="M30" s="23">
        <f t="shared" si="6"/>
        <v>338360.03654358175</v>
      </c>
      <c r="N30" s="22">
        <f t="shared" si="7"/>
        <v>33611.056868297928</v>
      </c>
      <c r="O30" s="21">
        <f t="shared" si="8"/>
        <v>945.38124609568206</v>
      </c>
      <c r="P30" s="165">
        <f t="shared" si="10"/>
        <v>372916.47465797537</v>
      </c>
      <c r="Q30" s="197">
        <f t="shared" si="9"/>
        <v>1.0242593575389048E-2</v>
      </c>
      <c r="S30" s="19"/>
      <c r="T30" s="19"/>
      <c r="U30" s="19"/>
      <c r="V30" s="19"/>
      <c r="W30" s="19"/>
      <c r="X30" s="19"/>
      <c r="Y30" s="19"/>
      <c r="Z30" s="19"/>
    </row>
    <row r="31" spans="1:26">
      <c r="A31" s="24" t="s">
        <v>27</v>
      </c>
      <c r="B31" s="23">
        <v>2387896</v>
      </c>
      <c r="C31" s="22">
        <v>539788</v>
      </c>
      <c r="D31" s="177">
        <f t="shared" si="0"/>
        <v>0.22605172084546396</v>
      </c>
      <c r="E31" s="28">
        <f t="shared" si="1"/>
        <v>1.4976192855283668E-2</v>
      </c>
      <c r="F31" s="57">
        <v>518824</v>
      </c>
      <c r="G31" s="164">
        <f t="shared" si="2"/>
        <v>4.0406766070960387E-2</v>
      </c>
      <c r="H31" s="26">
        <f t="shared" si="3"/>
        <v>4.0406766070960387E-2</v>
      </c>
      <c r="I31" s="20">
        <f t="shared" si="4"/>
        <v>3.9480331588117009E-3</v>
      </c>
      <c r="J31" s="25">
        <f t="shared" si="5"/>
        <v>2.357289335866979E-4</v>
      </c>
      <c r="L31" s="24" t="s">
        <v>27</v>
      </c>
      <c r="M31" s="23">
        <f t="shared" si="6"/>
        <v>272629.63244044426</v>
      </c>
      <c r="N31" s="22">
        <f t="shared" si="7"/>
        <v>43122.47469101382</v>
      </c>
      <c r="O31" s="21">
        <f t="shared" si="8"/>
        <v>1716.5028025569466</v>
      </c>
      <c r="P31" s="165">
        <f t="shared" si="10"/>
        <v>317468.60993401502</v>
      </c>
      <c r="Q31" s="197">
        <f t="shared" si="9"/>
        <v>8.7196521620026852E-3</v>
      </c>
      <c r="S31" s="19"/>
      <c r="T31" s="19"/>
      <c r="U31" s="19"/>
      <c r="V31" s="19"/>
      <c r="W31" s="19"/>
      <c r="X31" s="19"/>
      <c r="Y31" s="19"/>
      <c r="Z31" s="19"/>
    </row>
    <row r="32" spans="1:26">
      <c r="A32" s="24" t="s">
        <v>28</v>
      </c>
      <c r="B32" s="23">
        <v>708159</v>
      </c>
      <c r="C32" s="22">
        <v>419888</v>
      </c>
      <c r="D32" s="177">
        <f t="shared" si="0"/>
        <v>0.5929289891112024</v>
      </c>
      <c r="E32" s="28">
        <f t="shared" si="1"/>
        <v>3.928224415724877E-2</v>
      </c>
      <c r="F32" s="57">
        <v>336929</v>
      </c>
      <c r="G32" s="164">
        <f t="shared" si="2"/>
        <v>0.2462210139228147</v>
      </c>
      <c r="H32" s="26">
        <f t="shared" si="3"/>
        <v>0.2462210139228147</v>
      </c>
      <c r="I32" s="20">
        <f t="shared" si="4"/>
        <v>2.4057573072202194E-2</v>
      </c>
      <c r="J32" s="25">
        <f t="shared" si="5"/>
        <v>1.8336782304506844E-4</v>
      </c>
      <c r="L32" s="24" t="s">
        <v>28</v>
      </c>
      <c r="M32" s="23">
        <f t="shared" si="6"/>
        <v>715101.88801075425</v>
      </c>
      <c r="N32" s="22">
        <f t="shared" si="7"/>
        <v>262769.34468440566</v>
      </c>
      <c r="O32" s="21">
        <f t="shared" si="8"/>
        <v>1335.2259197315079</v>
      </c>
      <c r="P32" s="165">
        <f t="shared" si="10"/>
        <v>979206.45861489151</v>
      </c>
      <c r="Q32" s="197">
        <f t="shared" si="9"/>
        <v>2.6895067564894057E-2</v>
      </c>
      <c r="S32" s="19"/>
      <c r="T32" s="19"/>
      <c r="U32" s="19"/>
      <c r="V32" s="19"/>
      <c r="W32" s="19"/>
      <c r="X32" s="19"/>
      <c r="Y32" s="19"/>
      <c r="Z32" s="19"/>
    </row>
    <row r="33" spans="1:26">
      <c r="A33" s="24" t="s">
        <v>29</v>
      </c>
      <c r="B33" s="23">
        <v>2080067</v>
      </c>
      <c r="C33" s="22">
        <v>656691</v>
      </c>
      <c r="D33" s="177">
        <f t="shared" si="0"/>
        <v>0.31570665752593546</v>
      </c>
      <c r="E33" s="28">
        <f t="shared" si="1"/>
        <v>2.0915938047813706E-2</v>
      </c>
      <c r="F33" s="57">
        <v>629171</v>
      </c>
      <c r="G33" s="164">
        <f t="shared" si="2"/>
        <v>4.3740096094702308E-2</v>
      </c>
      <c r="H33" s="26">
        <f t="shared" si="3"/>
        <v>4.3740096094702308E-2</v>
      </c>
      <c r="I33" s="20">
        <f t="shared" si="4"/>
        <v>4.2737235998602267E-3</v>
      </c>
      <c r="J33" s="25">
        <f t="shared" si="5"/>
        <v>2.8678123471804156E-4</v>
      </c>
      <c r="L33" s="24" t="s">
        <v>29</v>
      </c>
      <c r="M33" s="23">
        <f t="shared" si="6"/>
        <v>380757.95078391733</v>
      </c>
      <c r="N33" s="22">
        <f t="shared" si="7"/>
        <v>46679.835340296566</v>
      </c>
      <c r="O33" s="21">
        <f t="shared" si="8"/>
        <v>2088.24935329041</v>
      </c>
      <c r="P33" s="165">
        <f t="shared" si="10"/>
        <v>429526.03547750431</v>
      </c>
      <c r="Q33" s="197">
        <f t="shared" si="9"/>
        <v>1.179744235080853E-2</v>
      </c>
      <c r="S33" s="19"/>
      <c r="T33" s="19"/>
      <c r="U33" s="19"/>
      <c r="V33" s="19"/>
      <c r="W33" s="19"/>
      <c r="X33" s="19"/>
      <c r="Y33" s="19"/>
      <c r="Z33" s="19"/>
    </row>
    <row r="34" spans="1:26">
      <c r="A34" s="24" t="s">
        <v>30</v>
      </c>
      <c r="B34" s="23">
        <v>619036</v>
      </c>
      <c r="C34" s="22">
        <v>129046</v>
      </c>
      <c r="D34" s="177">
        <f t="shared" si="0"/>
        <v>0.20846283576399435</v>
      </c>
      <c r="E34" s="28">
        <f t="shared" si="1"/>
        <v>1.3810908494234326E-2</v>
      </c>
      <c r="F34" s="57">
        <v>112915</v>
      </c>
      <c r="G34" s="164">
        <f t="shared" si="2"/>
        <v>0.14285967320550852</v>
      </c>
      <c r="H34" s="26">
        <f t="shared" si="3"/>
        <v>0.14285967320550852</v>
      </c>
      <c r="I34" s="20">
        <f t="shared" si="4"/>
        <v>1.3958422851308022E-2</v>
      </c>
      <c r="J34" s="25">
        <f t="shared" si="5"/>
        <v>5.6355228281527225E-5</v>
      </c>
      <c r="L34" s="24" t="s">
        <v>30</v>
      </c>
      <c r="M34" s="23">
        <f t="shared" si="6"/>
        <v>251416.56112710325</v>
      </c>
      <c r="N34" s="22">
        <f t="shared" si="7"/>
        <v>152461.16532444948</v>
      </c>
      <c r="O34" s="21">
        <f t="shared" si="8"/>
        <v>410.36077248616817</v>
      </c>
      <c r="P34" s="165">
        <f t="shared" si="10"/>
        <v>404288.0872240389</v>
      </c>
      <c r="Q34" s="197">
        <f t="shared" si="9"/>
        <v>1.1104252148165876E-2</v>
      </c>
      <c r="S34" s="19"/>
      <c r="T34" s="19"/>
      <c r="U34" s="19"/>
      <c r="V34" s="19"/>
      <c r="W34" s="19"/>
      <c r="X34" s="19"/>
      <c r="Y34" s="19"/>
      <c r="Z34" s="19"/>
    </row>
    <row r="35" spans="1:26">
      <c r="A35" s="24" t="s">
        <v>31</v>
      </c>
      <c r="B35" s="23">
        <v>0</v>
      </c>
      <c r="C35" s="22" t="s">
        <v>155</v>
      </c>
      <c r="D35" s="177">
        <f t="shared" si="0"/>
        <v>0</v>
      </c>
      <c r="E35" s="28">
        <f t="shared" si="1"/>
        <v>0</v>
      </c>
      <c r="F35" s="57">
        <v>0</v>
      </c>
      <c r="G35" s="164">
        <f t="shared" si="2"/>
        <v>0</v>
      </c>
      <c r="H35" s="26">
        <f t="shared" si="3"/>
        <v>0</v>
      </c>
      <c r="I35" s="20">
        <f t="shared" si="4"/>
        <v>0</v>
      </c>
      <c r="J35" s="25">
        <f t="shared" si="5"/>
        <v>0</v>
      </c>
      <c r="L35" s="24" t="s">
        <v>31</v>
      </c>
      <c r="M35" s="23">
        <f t="shared" si="6"/>
        <v>0</v>
      </c>
      <c r="N35" s="22">
        <f t="shared" si="7"/>
        <v>0</v>
      </c>
      <c r="O35" s="21">
        <f t="shared" si="8"/>
        <v>0</v>
      </c>
      <c r="P35" s="165">
        <f t="shared" si="10"/>
        <v>0</v>
      </c>
      <c r="Q35" s="197">
        <f t="shared" si="9"/>
        <v>0</v>
      </c>
      <c r="S35" s="19"/>
      <c r="T35" s="19"/>
      <c r="U35" s="19"/>
      <c r="V35" s="19"/>
      <c r="W35" s="19"/>
      <c r="X35" s="19"/>
      <c r="Y35" s="19"/>
      <c r="Z35" s="19"/>
    </row>
    <row r="36" spans="1:26">
      <c r="A36" s="24" t="s">
        <v>32</v>
      </c>
      <c r="B36" s="23">
        <v>3907034</v>
      </c>
      <c r="C36" s="22">
        <v>1176027</v>
      </c>
      <c r="D36" s="177">
        <f t="shared" si="0"/>
        <v>0.3010024995943214</v>
      </c>
      <c r="E36" s="28">
        <f t="shared" si="1"/>
        <v>1.9941770259420954E-2</v>
      </c>
      <c r="F36" s="57">
        <v>1194083</v>
      </c>
      <c r="G36" s="164">
        <f t="shared" si="2"/>
        <v>-1.5121226916386843E-2</v>
      </c>
      <c r="H36" s="26">
        <f t="shared" si="3"/>
        <v>0</v>
      </c>
      <c r="I36" s="20">
        <f t="shared" si="4"/>
        <v>0</v>
      </c>
      <c r="J36" s="25">
        <f t="shared" si="5"/>
        <v>5.1357864676347665E-4</v>
      </c>
      <c r="L36" s="24" t="s">
        <v>32</v>
      </c>
      <c r="M36" s="23">
        <f t="shared" si="6"/>
        <v>363024.0040692063</v>
      </c>
      <c r="N36" s="22">
        <f t="shared" si="7"/>
        <v>0</v>
      </c>
      <c r="O36" s="21">
        <f t="shared" si="8"/>
        <v>3739.7156687118609</v>
      </c>
      <c r="P36" s="165">
        <f t="shared" si="10"/>
        <v>366763.71973791817</v>
      </c>
      <c r="Q36" s="197">
        <f t="shared" si="9"/>
        <v>1.0073600859063172E-2</v>
      </c>
      <c r="S36" s="19"/>
      <c r="T36" s="19"/>
      <c r="U36" s="19"/>
      <c r="V36" s="19"/>
      <c r="W36" s="19"/>
      <c r="X36" s="19"/>
      <c r="Y36" s="19"/>
      <c r="Z36" s="19"/>
    </row>
    <row r="37" spans="1:26">
      <c r="A37" s="24" t="s">
        <v>33</v>
      </c>
      <c r="B37" s="23">
        <v>40511812</v>
      </c>
      <c r="C37" s="22">
        <v>12032960</v>
      </c>
      <c r="D37" s="177">
        <f t="shared" si="0"/>
        <v>0.2970234952709595</v>
      </c>
      <c r="E37" s="28">
        <f t="shared" si="1"/>
        <v>1.9678156534668943E-2</v>
      </c>
      <c r="F37" s="57">
        <v>10280239</v>
      </c>
      <c r="G37" s="164">
        <f t="shared" si="2"/>
        <v>0.17049418792695392</v>
      </c>
      <c r="H37" s="26">
        <f t="shared" si="3"/>
        <v>0.17049418792695392</v>
      </c>
      <c r="I37" s="20">
        <f t="shared" si="4"/>
        <v>1.665851471850514E-2</v>
      </c>
      <c r="J37" s="25">
        <f t="shared" si="5"/>
        <v>5.2548719658299043E-3</v>
      </c>
      <c r="L37" s="24" t="s">
        <v>33</v>
      </c>
      <c r="M37" s="23">
        <f t="shared" si="6"/>
        <v>358225.12670565519</v>
      </c>
      <c r="N37" s="22">
        <f t="shared" si="7"/>
        <v>181952.97517583001</v>
      </c>
      <c r="O37" s="21">
        <f t="shared" si="8"/>
        <v>38264.299249067481</v>
      </c>
      <c r="P37" s="165">
        <f t="shared" si="10"/>
        <v>578442.40113055264</v>
      </c>
      <c r="Q37" s="197">
        <f t="shared" si="9"/>
        <v>1.5887607076051993E-2</v>
      </c>
      <c r="S37" s="19"/>
      <c r="T37" s="19"/>
      <c r="U37" s="19"/>
      <c r="V37" s="19"/>
      <c r="W37" s="19"/>
      <c r="X37" s="19"/>
      <c r="Y37" s="19"/>
      <c r="Z37" s="19"/>
    </row>
    <row r="38" spans="1:26">
      <c r="A38" s="24" t="s">
        <v>34</v>
      </c>
      <c r="B38" s="23">
        <v>2187206</v>
      </c>
      <c r="C38" s="22">
        <v>947940</v>
      </c>
      <c r="D38" s="177">
        <f t="shared" si="0"/>
        <v>0.43340224926230086</v>
      </c>
      <c r="E38" s="28">
        <f t="shared" si="1"/>
        <v>2.8713409677173826E-2</v>
      </c>
      <c r="F38" s="57">
        <v>940947</v>
      </c>
      <c r="G38" s="164">
        <f t="shared" si="2"/>
        <v>7.4318744838977047E-3</v>
      </c>
      <c r="H38" s="26">
        <f t="shared" si="3"/>
        <v>7.4318744838977047E-3</v>
      </c>
      <c r="I38" s="20">
        <f t="shared" si="4"/>
        <v>7.2614786451919962E-4</v>
      </c>
      <c r="J38" s="25">
        <f t="shared" si="5"/>
        <v>4.1397156903112778E-4</v>
      </c>
      <c r="L38" s="24" t="s">
        <v>34</v>
      </c>
      <c r="M38" s="23">
        <f t="shared" si="6"/>
        <v>522704.69551532227</v>
      </c>
      <c r="N38" s="22">
        <f t="shared" si="7"/>
        <v>7931.3652267013267</v>
      </c>
      <c r="O38" s="21">
        <f t="shared" si="8"/>
        <v>3014.4087431655244</v>
      </c>
      <c r="P38" s="165">
        <f t="shared" si="10"/>
        <v>533650.46948518918</v>
      </c>
      <c r="Q38" s="197">
        <f t="shared" si="9"/>
        <v>1.46573435117489E-2</v>
      </c>
      <c r="S38" s="19"/>
      <c r="T38" s="19"/>
      <c r="U38" s="19"/>
      <c r="V38" s="19"/>
      <c r="W38" s="19"/>
      <c r="X38" s="19"/>
      <c r="Y38" s="19"/>
      <c r="Z38" s="19"/>
    </row>
    <row r="39" spans="1:26">
      <c r="A39" s="24" t="s">
        <v>35</v>
      </c>
      <c r="B39" s="23">
        <v>769899</v>
      </c>
      <c r="C39" s="22">
        <v>296637</v>
      </c>
      <c r="D39" s="177">
        <f t="shared" si="0"/>
        <v>0.38529339562721865</v>
      </c>
      <c r="E39" s="28">
        <f t="shared" si="1"/>
        <v>2.5526141438777388E-2</v>
      </c>
      <c r="F39" s="57">
        <v>301669</v>
      </c>
      <c r="G39" s="164">
        <f t="shared" si="2"/>
        <v>-1.6680533962720734E-2</v>
      </c>
      <c r="H39" s="26">
        <f t="shared" si="3"/>
        <v>0</v>
      </c>
      <c r="I39" s="20">
        <f t="shared" si="4"/>
        <v>0</v>
      </c>
      <c r="J39" s="25">
        <f t="shared" si="5"/>
        <v>1.2954330898863497E-4</v>
      </c>
      <c r="L39" s="24" t="s">
        <v>35</v>
      </c>
      <c r="M39" s="23">
        <f t="shared" si="6"/>
        <v>464683.0222690035</v>
      </c>
      <c r="N39" s="22">
        <f t="shared" si="7"/>
        <v>0</v>
      </c>
      <c r="O39" s="21">
        <f t="shared" si="8"/>
        <v>943.29299992234894</v>
      </c>
      <c r="P39" s="165">
        <f t="shared" si="10"/>
        <v>465626.31526892586</v>
      </c>
      <c r="Q39" s="197">
        <f t="shared" si="9"/>
        <v>1.2788979381186422E-2</v>
      </c>
      <c r="S39" s="19"/>
      <c r="T39" s="19"/>
      <c r="U39" s="19"/>
      <c r="V39" s="19"/>
      <c r="W39" s="19"/>
      <c r="X39" s="19"/>
      <c r="Y39" s="19"/>
      <c r="Z39" s="19"/>
    </row>
    <row r="40" spans="1:26">
      <c r="A40" s="24" t="s">
        <v>36</v>
      </c>
      <c r="B40" s="23">
        <v>847487</v>
      </c>
      <c r="C40" s="22">
        <v>101056</v>
      </c>
      <c r="D40" s="177">
        <f t="shared" si="0"/>
        <v>0.11924194707411441</v>
      </c>
      <c r="E40" s="28">
        <f t="shared" si="1"/>
        <v>7.8999194925053803E-3</v>
      </c>
      <c r="F40" s="57">
        <v>64774</v>
      </c>
      <c r="G40" s="164">
        <f t="shared" si="2"/>
        <v>0.56013215178929809</v>
      </c>
      <c r="H40" s="26">
        <f t="shared" si="3"/>
        <v>0.56013215178929809</v>
      </c>
      <c r="I40" s="20">
        <f t="shared" si="4"/>
        <v>5.4728960607664308E-2</v>
      </c>
      <c r="J40" s="25">
        <f t="shared" si="5"/>
        <v>4.4131813068347839E-5</v>
      </c>
      <c r="L40" s="24" t="s">
        <v>36</v>
      </c>
      <c r="M40" s="23">
        <f t="shared" si="6"/>
        <v>143811.72627534569</v>
      </c>
      <c r="N40" s="22">
        <f t="shared" si="7"/>
        <v>597778.21607249009</v>
      </c>
      <c r="O40" s="21">
        <f t="shared" si="8"/>
        <v>321.35376706261496</v>
      </c>
      <c r="P40" s="165">
        <f t="shared" si="10"/>
        <v>741911.2961148984</v>
      </c>
      <c r="Q40" s="197">
        <f t="shared" si="9"/>
        <v>2.0377474291165654E-2</v>
      </c>
      <c r="S40" s="19"/>
      <c r="T40" s="19"/>
      <c r="U40" s="19"/>
      <c r="V40" s="19"/>
      <c r="W40" s="19"/>
      <c r="X40" s="19"/>
      <c r="Y40" s="19"/>
      <c r="Z40" s="19"/>
    </row>
    <row r="41" spans="1:26">
      <c r="A41" s="24" t="s">
        <v>37</v>
      </c>
      <c r="B41" s="23">
        <v>4772320</v>
      </c>
      <c r="C41" s="22">
        <v>933845.6</v>
      </c>
      <c r="D41" s="177">
        <f t="shared" si="0"/>
        <v>0.19567958561035304</v>
      </c>
      <c r="E41" s="28">
        <f t="shared" si="1"/>
        <v>1.2964003109474419E-2</v>
      </c>
      <c r="F41" s="57">
        <v>1105076</v>
      </c>
      <c r="G41" s="164">
        <f t="shared" si="2"/>
        <v>-0.15494898088457265</v>
      </c>
      <c r="H41" s="26">
        <f t="shared" si="3"/>
        <v>0</v>
      </c>
      <c r="I41" s="20">
        <f t="shared" si="4"/>
        <v>0</v>
      </c>
      <c r="J41" s="25">
        <f t="shared" si="5"/>
        <v>4.0781645279745017E-4</v>
      </c>
      <c r="L41" s="24" t="s">
        <v>37</v>
      </c>
      <c r="M41" s="23">
        <f t="shared" si="6"/>
        <v>235999.32485149888</v>
      </c>
      <c r="N41" s="22">
        <f t="shared" si="7"/>
        <v>0</v>
      </c>
      <c r="O41" s="21">
        <f t="shared" si="8"/>
        <v>2969.589152696009</v>
      </c>
      <c r="P41" s="165">
        <f t="shared" si="10"/>
        <v>238968.9140041949</v>
      </c>
      <c r="Q41" s="197">
        <f t="shared" si="9"/>
        <v>6.5635648452966999E-3</v>
      </c>
      <c r="S41" s="19"/>
      <c r="T41" s="19"/>
      <c r="U41" s="19"/>
      <c r="V41" s="19"/>
      <c r="W41" s="19"/>
      <c r="X41" s="19"/>
      <c r="Y41" s="19"/>
      <c r="Z41" s="19"/>
    </row>
    <row r="42" spans="1:26">
      <c r="A42" s="24" t="s">
        <v>38</v>
      </c>
      <c r="B42" s="23">
        <v>62554222</v>
      </c>
      <c r="C42" s="22">
        <v>20840679</v>
      </c>
      <c r="D42" s="177">
        <f t="shared" si="0"/>
        <v>0.33316182878911033</v>
      </c>
      <c r="E42" s="28">
        <f t="shared" si="1"/>
        <v>2.2072363710850449E-2</v>
      </c>
      <c r="F42" s="57">
        <v>16891683.199999999</v>
      </c>
      <c r="G42" s="164">
        <f t="shared" si="2"/>
        <v>0.23378343965153214</v>
      </c>
      <c r="H42" s="26">
        <f t="shared" si="3"/>
        <v>0.23378343965153214</v>
      </c>
      <c r="I42" s="20">
        <f t="shared" si="4"/>
        <v>2.2842332150620575E-2</v>
      </c>
      <c r="J42" s="25">
        <f t="shared" si="5"/>
        <v>9.1012601908391621E-3</v>
      </c>
      <c r="L42" s="24" t="s">
        <v>38</v>
      </c>
      <c r="M42" s="23">
        <f t="shared" si="6"/>
        <v>401809.75657360931</v>
      </c>
      <c r="N42" s="22">
        <f t="shared" si="7"/>
        <v>249495.85031989519</v>
      </c>
      <c r="O42" s="21">
        <f t="shared" si="8"/>
        <v>66272.46976718583</v>
      </c>
      <c r="P42" s="165">
        <f t="shared" si="10"/>
        <v>717578.07666069036</v>
      </c>
      <c r="Q42" s="197">
        <f t="shared" si="9"/>
        <v>1.970913353877923E-2</v>
      </c>
      <c r="S42" s="19"/>
      <c r="T42" s="19"/>
      <c r="U42" s="19"/>
      <c r="V42" s="19"/>
      <c r="W42" s="19"/>
      <c r="X42" s="19"/>
      <c r="Y42" s="19"/>
      <c r="Z42" s="19"/>
    </row>
    <row r="43" spans="1:26">
      <c r="A43" s="24" t="s">
        <v>39</v>
      </c>
      <c r="B43" s="23"/>
      <c r="C43" s="22" t="s">
        <v>155</v>
      </c>
      <c r="D43" s="177">
        <f t="shared" si="0"/>
        <v>0</v>
      </c>
      <c r="E43" s="28">
        <f t="shared" si="1"/>
        <v>0</v>
      </c>
      <c r="F43" s="57"/>
      <c r="G43" s="164">
        <f t="shared" si="2"/>
        <v>0</v>
      </c>
      <c r="H43" s="26">
        <f t="shared" si="3"/>
        <v>0</v>
      </c>
      <c r="I43" s="20">
        <f t="shared" si="4"/>
        <v>0</v>
      </c>
      <c r="J43" s="25">
        <f t="shared" si="5"/>
        <v>0</v>
      </c>
      <c r="L43" s="24" t="s">
        <v>39</v>
      </c>
      <c r="M43" s="23">
        <f t="shared" si="6"/>
        <v>0</v>
      </c>
      <c r="N43" s="22">
        <f t="shared" si="7"/>
        <v>0</v>
      </c>
      <c r="O43" s="21">
        <f t="shared" si="8"/>
        <v>0</v>
      </c>
      <c r="P43" s="165">
        <f t="shared" si="10"/>
        <v>0</v>
      </c>
      <c r="Q43" s="197">
        <f t="shared" si="9"/>
        <v>0</v>
      </c>
      <c r="S43" s="19"/>
      <c r="T43" s="19"/>
      <c r="U43" s="19"/>
      <c r="V43" s="19"/>
      <c r="W43" s="19"/>
      <c r="X43" s="19"/>
      <c r="Y43" s="19"/>
      <c r="Z43" s="19"/>
    </row>
    <row r="44" spans="1:26">
      <c r="A44" s="24" t="s">
        <v>40</v>
      </c>
      <c r="B44" s="23">
        <v>1399134</v>
      </c>
      <c r="C44" s="22">
        <v>378540</v>
      </c>
      <c r="D44" s="177">
        <f t="shared" si="0"/>
        <v>0.27055307068515239</v>
      </c>
      <c r="E44" s="28">
        <f t="shared" si="1"/>
        <v>1.7924459716632778E-2</v>
      </c>
      <c r="F44" s="57">
        <v>451420</v>
      </c>
      <c r="G44" s="164">
        <f t="shared" si="2"/>
        <v>-0.1614461034070267</v>
      </c>
      <c r="H44" s="26">
        <f t="shared" si="3"/>
        <v>0</v>
      </c>
      <c r="I44" s="20">
        <f t="shared" si="4"/>
        <v>0</v>
      </c>
      <c r="J44" s="25">
        <f t="shared" si="5"/>
        <v>1.6531088227213022E-4</v>
      </c>
      <c r="L44" s="24" t="s">
        <v>40</v>
      </c>
      <c r="M44" s="23">
        <f t="shared" si="6"/>
        <v>326300.47646021598</v>
      </c>
      <c r="N44" s="22">
        <f t="shared" si="7"/>
        <v>0</v>
      </c>
      <c r="O44" s="21">
        <f t="shared" si="8"/>
        <v>1203.7410444098546</v>
      </c>
      <c r="P44" s="165">
        <f t="shared" si="10"/>
        <v>327504.21750462585</v>
      </c>
      <c r="Q44" s="197">
        <f t="shared" si="9"/>
        <v>8.9952920347708149E-3</v>
      </c>
      <c r="S44" s="19"/>
      <c r="T44" s="19"/>
      <c r="U44" s="19"/>
      <c r="V44" s="19"/>
      <c r="W44" s="19"/>
      <c r="X44" s="19"/>
      <c r="Y44" s="19"/>
      <c r="Z44" s="19"/>
    </row>
    <row r="45" spans="1:26">
      <c r="A45" s="24" t="s">
        <v>41</v>
      </c>
      <c r="B45" s="23">
        <v>110604359</v>
      </c>
      <c r="C45" s="22">
        <v>21534368.5</v>
      </c>
      <c r="D45" s="177">
        <f t="shared" si="0"/>
        <v>0.19469728584566906</v>
      </c>
      <c r="E45" s="28">
        <f t="shared" si="1"/>
        <v>1.2898924592652758E-2</v>
      </c>
      <c r="F45" s="57">
        <v>17252658</v>
      </c>
      <c r="G45" s="164">
        <f t="shared" si="2"/>
        <v>0.2481768606321415</v>
      </c>
      <c r="H45" s="26">
        <f t="shared" si="3"/>
        <v>0.2481768606321415</v>
      </c>
      <c r="I45" s="20">
        <f t="shared" si="4"/>
        <v>2.4248673435156617E-2</v>
      </c>
      <c r="J45" s="25">
        <f t="shared" si="5"/>
        <v>9.4041989113651647E-3</v>
      </c>
      <c r="L45" s="24" t="s">
        <v>41</v>
      </c>
      <c r="M45" s="23">
        <f t="shared" si="6"/>
        <v>234814.62241795621</v>
      </c>
      <c r="N45" s="22">
        <f t="shared" si="7"/>
        <v>264856.64239277295</v>
      </c>
      <c r="O45" s="21">
        <f t="shared" si="8"/>
        <v>68478.37277142884</v>
      </c>
      <c r="P45" s="165">
        <f t="shared" si="10"/>
        <v>568149.63758215797</v>
      </c>
      <c r="Q45" s="197">
        <f t="shared" si="9"/>
        <v>1.5604904109146396E-2</v>
      </c>
      <c r="S45" s="19"/>
      <c r="T45" s="19"/>
      <c r="U45" s="19"/>
      <c r="V45" s="19"/>
      <c r="W45" s="19"/>
      <c r="X45" s="19"/>
      <c r="Y45" s="19"/>
      <c r="Z45" s="19"/>
    </row>
    <row r="46" spans="1:26">
      <c r="A46" s="24" t="s">
        <v>42</v>
      </c>
      <c r="B46" s="23">
        <v>8051951</v>
      </c>
      <c r="C46" s="22">
        <v>1244367</v>
      </c>
      <c r="D46" s="177">
        <f t="shared" si="0"/>
        <v>0.15454229664338495</v>
      </c>
      <c r="E46" s="28">
        <f t="shared" si="1"/>
        <v>1.0238609244704776E-2</v>
      </c>
      <c r="F46" s="57">
        <v>1075933</v>
      </c>
      <c r="G46" s="164">
        <f t="shared" si="2"/>
        <v>0.15654692253142155</v>
      </c>
      <c r="H46" s="26">
        <f t="shared" si="3"/>
        <v>0.15654692253142155</v>
      </c>
      <c r="I46" s="20">
        <f t="shared" si="4"/>
        <v>1.5295766060035227E-2</v>
      </c>
      <c r="J46" s="25">
        <f t="shared" si="5"/>
        <v>5.4342316965267571E-4</v>
      </c>
      <c r="L46" s="24" t="s">
        <v>42</v>
      </c>
      <c r="M46" s="23">
        <f t="shared" si="6"/>
        <v>186385.70577036857</v>
      </c>
      <c r="N46" s="22">
        <f t="shared" si="7"/>
        <v>167068.32447224544</v>
      </c>
      <c r="O46" s="21">
        <f t="shared" si="8"/>
        <v>3957.0339520503976</v>
      </c>
      <c r="P46" s="165">
        <f t="shared" si="10"/>
        <v>357411.06419466436</v>
      </c>
      <c r="Q46" s="197">
        <f t="shared" si="9"/>
        <v>9.8167190742934913E-3</v>
      </c>
      <c r="S46" s="19"/>
      <c r="T46" s="19"/>
      <c r="U46" s="19"/>
      <c r="V46" s="19"/>
      <c r="W46" s="19"/>
      <c r="X46" s="19"/>
      <c r="Y46" s="19"/>
      <c r="Z46" s="19"/>
    </row>
    <row r="47" spans="1:26">
      <c r="A47" s="24" t="s">
        <v>43</v>
      </c>
      <c r="B47" s="23">
        <v>1112166</v>
      </c>
      <c r="C47" s="22">
        <v>290271</v>
      </c>
      <c r="D47" s="177">
        <f t="shared" si="0"/>
        <v>0.26099611029288794</v>
      </c>
      <c r="E47" s="28">
        <f t="shared" si="1"/>
        <v>1.7291299829994684E-2</v>
      </c>
      <c r="F47" s="57">
        <v>222448</v>
      </c>
      <c r="G47" s="164">
        <f t="shared" si="2"/>
        <v>0.30489372797238001</v>
      </c>
      <c r="H47" s="26">
        <f t="shared" si="3"/>
        <v>0.30489372797238001</v>
      </c>
      <c r="I47" s="20">
        <f t="shared" si="4"/>
        <v>2.9790321399013674E-2</v>
      </c>
      <c r="J47" s="25">
        <f t="shared" si="5"/>
        <v>1.2676323534636632E-4</v>
      </c>
      <c r="L47" s="24" t="s">
        <v>43</v>
      </c>
      <c r="M47" s="23">
        <f t="shared" si="6"/>
        <v>314774.30630213895</v>
      </c>
      <c r="N47" s="22">
        <f t="shared" si="7"/>
        <v>325385.40809844411</v>
      </c>
      <c r="O47" s="21">
        <f t="shared" si="8"/>
        <v>923.04939161486993</v>
      </c>
      <c r="P47" s="165">
        <f t="shared" si="10"/>
        <v>641082.76379219792</v>
      </c>
      <c r="Q47" s="197">
        <f t="shared" si="9"/>
        <v>1.7608098981770716E-2</v>
      </c>
      <c r="S47" s="19"/>
      <c r="T47" s="19"/>
      <c r="U47" s="19"/>
      <c r="V47" s="19"/>
      <c r="W47" s="19"/>
      <c r="X47" s="19"/>
      <c r="Y47" s="19"/>
      <c r="Z47" s="19"/>
    </row>
    <row r="48" spans="1:26">
      <c r="A48" s="24" t="s">
        <v>44</v>
      </c>
      <c r="B48" s="23">
        <v>18582885</v>
      </c>
      <c r="C48" s="22">
        <v>7908079.6500000004</v>
      </c>
      <c r="D48" s="177">
        <f t="shared" si="0"/>
        <v>0.42555715380039216</v>
      </c>
      <c r="E48" s="28">
        <f t="shared" si="1"/>
        <v>2.8193662859205673E-2</v>
      </c>
      <c r="F48" s="57">
        <v>7881801</v>
      </c>
      <c r="G48" s="164">
        <f t="shared" si="2"/>
        <v>3.3340920431765841E-3</v>
      </c>
      <c r="H48" s="26">
        <f t="shared" si="3"/>
        <v>3.3340920431765841E-3</v>
      </c>
      <c r="I48" s="20">
        <f t="shared" si="4"/>
        <v>3.2576489585617926E-4</v>
      </c>
      <c r="J48" s="25">
        <f t="shared" si="5"/>
        <v>3.4535098642673925E-3</v>
      </c>
      <c r="L48" s="24" t="s">
        <v>44</v>
      </c>
      <c r="M48" s="23">
        <f t="shared" si="6"/>
        <v>513243.11971204623</v>
      </c>
      <c r="N48" s="22">
        <f t="shared" si="7"/>
        <v>3558.1738834754415</v>
      </c>
      <c r="O48" s="21">
        <f t="shared" si="8"/>
        <v>25147.355780544505</v>
      </c>
      <c r="P48" s="165">
        <f t="shared" si="10"/>
        <v>541948.64937606617</v>
      </c>
      <c r="Q48" s="197">
        <f t="shared" si="9"/>
        <v>1.4885262871213169E-2</v>
      </c>
      <c r="S48" s="19"/>
      <c r="T48" s="19"/>
      <c r="U48" s="19"/>
      <c r="V48" s="19"/>
      <c r="W48" s="19"/>
      <c r="X48" s="19"/>
      <c r="Y48" s="19"/>
      <c r="Z48" s="19"/>
    </row>
    <row r="49" spans="1:26">
      <c r="A49" s="24" t="s">
        <v>45</v>
      </c>
      <c r="B49" s="23">
        <v>126915948</v>
      </c>
      <c r="C49" s="22">
        <v>23883804.280000001</v>
      </c>
      <c r="D49" s="177">
        <f t="shared" si="0"/>
        <v>0.18818599755485418</v>
      </c>
      <c r="E49" s="28">
        <f t="shared" si="1"/>
        <v>1.2467544071350476E-2</v>
      </c>
      <c r="F49" s="57">
        <v>19038713.890000001</v>
      </c>
      <c r="G49" s="164">
        <f t="shared" si="2"/>
        <v>0.25448622307123703</v>
      </c>
      <c r="H49" s="26">
        <f t="shared" si="3"/>
        <v>0.25448622307123703</v>
      </c>
      <c r="I49" s="20">
        <f t="shared" si="4"/>
        <v>2.4865143757893293E-2</v>
      </c>
      <c r="J49" s="25">
        <f t="shared" si="5"/>
        <v>1.0430212811173666E-2</v>
      </c>
      <c r="L49" s="24" t="s">
        <v>45</v>
      </c>
      <c r="M49" s="23">
        <f t="shared" si="6"/>
        <v>226961.68448499445</v>
      </c>
      <c r="N49" s="22">
        <f t="shared" si="7"/>
        <v>271590.05237709405</v>
      </c>
      <c r="O49" s="21">
        <f t="shared" si="8"/>
        <v>75949.47828099475</v>
      </c>
      <c r="P49" s="165">
        <f t="shared" si="10"/>
        <v>574501.21514308325</v>
      </c>
      <c r="Q49" s="197">
        <f t="shared" si="9"/>
        <v>1.577935772527796E-2</v>
      </c>
      <c r="S49" s="19"/>
      <c r="T49" s="19"/>
      <c r="U49" s="19"/>
      <c r="V49" s="19"/>
      <c r="W49" s="19"/>
      <c r="X49" s="19"/>
      <c r="Y49" s="19"/>
      <c r="Z49" s="19"/>
    </row>
    <row r="50" spans="1:26">
      <c r="A50" s="24" t="s">
        <v>46</v>
      </c>
      <c r="B50" s="23">
        <v>649205075</v>
      </c>
      <c r="C50" s="22">
        <v>330884619.5</v>
      </c>
      <c r="D50" s="177">
        <f t="shared" si="0"/>
        <v>0.50967657561826674</v>
      </c>
      <c r="E50" s="28">
        <f t="shared" si="1"/>
        <v>3.3766673669774448E-2</v>
      </c>
      <c r="F50" s="57">
        <v>306694612.58999997</v>
      </c>
      <c r="G50" s="164">
        <f t="shared" si="2"/>
        <v>7.8873269751034369E-2</v>
      </c>
      <c r="H50" s="26">
        <f t="shared" si="3"/>
        <v>7.8873269751034369E-2</v>
      </c>
      <c r="I50" s="20">
        <f t="shared" si="4"/>
        <v>7.7064886552447231E-3</v>
      </c>
      <c r="J50" s="25">
        <f t="shared" si="5"/>
        <v>0.14449946737418265</v>
      </c>
      <c r="L50" s="24" t="s">
        <v>46</v>
      </c>
      <c r="M50" s="23">
        <f t="shared" si="6"/>
        <v>614695.33146931848</v>
      </c>
      <c r="N50" s="22">
        <f t="shared" si="7"/>
        <v>84174.28340252339</v>
      </c>
      <c r="O50" s="21">
        <f t="shared" si="8"/>
        <v>1052198.9682889187</v>
      </c>
      <c r="P50" s="165">
        <f t="shared" si="10"/>
        <v>1751068.5831607606</v>
      </c>
      <c r="Q50" s="197">
        <f t="shared" si="9"/>
        <v>4.8095176906297173E-2</v>
      </c>
      <c r="S50" s="19"/>
      <c r="T50" s="19"/>
      <c r="U50" s="19"/>
      <c r="V50" s="19"/>
      <c r="W50" s="19"/>
      <c r="X50" s="19"/>
      <c r="Y50" s="19"/>
      <c r="Z50" s="19"/>
    </row>
    <row r="51" spans="1:26">
      <c r="A51" s="24" t="s">
        <v>47</v>
      </c>
      <c r="B51" s="23">
        <v>1187612062</v>
      </c>
      <c r="C51" s="22">
        <v>722790593.90999997</v>
      </c>
      <c r="D51" s="177">
        <f t="shared" si="0"/>
        <v>0.60860833014173277</v>
      </c>
      <c r="E51" s="28">
        <f t="shared" si="1"/>
        <v>4.0321018974970743E-2</v>
      </c>
      <c r="F51" s="57">
        <v>671271036.40999997</v>
      </c>
      <c r="G51" s="164">
        <f t="shared" si="2"/>
        <v>7.6749263271554069E-2</v>
      </c>
      <c r="H51" s="26">
        <f t="shared" si="3"/>
        <v>7.6749263271554069E-2</v>
      </c>
      <c r="I51" s="20">
        <f t="shared" si="4"/>
        <v>7.4989578670645284E-3</v>
      </c>
      <c r="J51" s="25">
        <f t="shared" si="5"/>
        <v>0.31564735768283159</v>
      </c>
      <c r="L51" s="24" t="s">
        <v>47</v>
      </c>
      <c r="M51" s="23">
        <f t="shared" si="6"/>
        <v>734011.95410569082</v>
      </c>
      <c r="N51" s="22">
        <f t="shared" si="7"/>
        <v>81907.524031231733</v>
      </c>
      <c r="O51" s="21">
        <f t="shared" si="8"/>
        <v>2298443.2408803357</v>
      </c>
      <c r="P51" s="165">
        <f t="shared" si="10"/>
        <v>3114362.7190172584</v>
      </c>
      <c r="Q51" s="197">
        <f t="shared" si="9"/>
        <v>8.5539668384171055E-2</v>
      </c>
      <c r="S51" s="19"/>
      <c r="T51" s="19"/>
      <c r="U51" s="19"/>
      <c r="V51" s="19"/>
      <c r="W51" s="19"/>
      <c r="X51" s="19"/>
      <c r="Y51" s="19"/>
      <c r="Z51" s="19"/>
    </row>
    <row r="52" spans="1:26">
      <c r="A52" s="24" t="s">
        <v>48</v>
      </c>
      <c r="B52" s="23">
        <v>308328957</v>
      </c>
      <c r="C52" s="22">
        <v>126817695.59999999</v>
      </c>
      <c r="D52" s="177">
        <f t="shared" si="0"/>
        <v>0.41130647226235062</v>
      </c>
      <c r="E52" s="28">
        <f t="shared" si="1"/>
        <v>2.724953841620335E-2</v>
      </c>
      <c r="F52" s="57">
        <v>112141719.38</v>
      </c>
      <c r="G52" s="164">
        <f t="shared" si="2"/>
        <v>0.13086990551901057</v>
      </c>
      <c r="H52" s="26">
        <f t="shared" si="3"/>
        <v>0.13086990551901057</v>
      </c>
      <c r="I52" s="20">
        <f t="shared" si="4"/>
        <v>1.2786935870399582E-2</v>
      </c>
      <c r="J52" s="25">
        <f t="shared" si="5"/>
        <v>5.5382113243922552E-2</v>
      </c>
      <c r="L52" s="24" t="s">
        <v>48</v>
      </c>
      <c r="M52" s="23">
        <f t="shared" si="6"/>
        <v>496056.08811055665</v>
      </c>
      <c r="N52" s="22">
        <f t="shared" si="7"/>
        <v>139665.57429139913</v>
      </c>
      <c r="O52" s="21">
        <f t="shared" si="8"/>
        <v>403274.85959527397</v>
      </c>
      <c r="P52" s="165">
        <f t="shared" si="10"/>
        <v>1038996.5219972298</v>
      </c>
      <c r="Q52" s="197">
        <f t="shared" si="9"/>
        <v>2.8537272618006062E-2</v>
      </c>
      <c r="S52" s="19"/>
      <c r="T52" s="19"/>
      <c r="U52" s="19"/>
      <c r="V52" s="19"/>
      <c r="W52" s="19"/>
      <c r="X52" s="19"/>
      <c r="Y52" s="19"/>
      <c r="Z52" s="19"/>
    </row>
    <row r="53" spans="1:26">
      <c r="A53" s="24" t="s">
        <v>49</v>
      </c>
      <c r="B53" s="23">
        <v>208470911</v>
      </c>
      <c r="C53" s="22">
        <v>94615002.860000014</v>
      </c>
      <c r="D53" s="177">
        <f t="shared" si="0"/>
        <v>0.45385230201253363</v>
      </c>
      <c r="E53" s="28">
        <f t="shared" si="1"/>
        <v>3.0068249767498032E-2</v>
      </c>
      <c r="F53" s="57">
        <v>85362095.170000002</v>
      </c>
      <c r="G53" s="164">
        <f t="shared" si="2"/>
        <v>0.10839597682756841</v>
      </c>
      <c r="H53" s="26">
        <f t="shared" si="3"/>
        <v>0.10839597682756841</v>
      </c>
      <c r="I53" s="20">
        <f t="shared" si="4"/>
        <v>1.0591070565891821E-2</v>
      </c>
      <c r="J53" s="25">
        <f t="shared" si="5"/>
        <v>4.1318987686814405E-2</v>
      </c>
      <c r="L53" s="24" t="s">
        <v>49</v>
      </c>
      <c r="M53" s="23">
        <f t="shared" si="6"/>
        <v>547368.47751986235</v>
      </c>
      <c r="N53" s="22">
        <f t="shared" si="7"/>
        <v>115681.18960932824</v>
      </c>
      <c r="O53" s="21">
        <f t="shared" si="8"/>
        <v>300871.67105071538</v>
      </c>
      <c r="P53" s="165">
        <f t="shared" si="10"/>
        <v>963921.33817990602</v>
      </c>
      <c r="Q53" s="197">
        <f t="shared" si="9"/>
        <v>2.6475243590879445E-2</v>
      </c>
      <c r="S53" s="19"/>
      <c r="T53" s="19"/>
      <c r="U53" s="19"/>
      <c r="V53" s="19"/>
      <c r="W53" s="19"/>
      <c r="X53" s="19"/>
      <c r="Y53" s="19"/>
      <c r="Z53" s="19"/>
    </row>
    <row r="54" spans="1:26">
      <c r="A54" s="24" t="s">
        <v>50</v>
      </c>
      <c r="B54" s="23">
        <v>4538835</v>
      </c>
      <c r="C54" s="22">
        <v>1178778</v>
      </c>
      <c r="D54" s="177">
        <f t="shared" si="0"/>
        <v>0.25970937476246658</v>
      </c>
      <c r="E54" s="28">
        <f t="shared" si="1"/>
        <v>1.720605208498632E-2</v>
      </c>
      <c r="F54" s="57">
        <v>1456869</v>
      </c>
      <c r="G54" s="164">
        <f t="shared" si="2"/>
        <v>-0.19088263941370154</v>
      </c>
      <c r="H54" s="26">
        <f t="shared" si="3"/>
        <v>0</v>
      </c>
      <c r="I54" s="20">
        <f t="shared" si="4"/>
        <v>0</v>
      </c>
      <c r="J54" s="25">
        <f t="shared" si="5"/>
        <v>5.1478002637231758E-4</v>
      </c>
      <c r="L54" s="24" t="s">
        <v>50</v>
      </c>
      <c r="M54" s="23">
        <f t="shared" si="6"/>
        <v>313222.43917458609</v>
      </c>
      <c r="N54" s="22">
        <f t="shared" si="7"/>
        <v>0</v>
      </c>
      <c r="O54" s="21">
        <f t="shared" si="8"/>
        <v>3748.4637313027938</v>
      </c>
      <c r="P54" s="165">
        <f t="shared" si="10"/>
        <v>316970.90290588891</v>
      </c>
      <c r="Q54" s="197">
        <f t="shared" si="9"/>
        <v>8.7059820477676242E-3</v>
      </c>
      <c r="S54" s="19"/>
      <c r="T54" s="19"/>
      <c r="U54" s="19"/>
      <c r="V54" s="19"/>
      <c r="W54" s="19"/>
      <c r="X54" s="19"/>
      <c r="Y54" s="19"/>
      <c r="Z54" s="19"/>
    </row>
    <row r="55" spans="1:26">
      <c r="A55" s="24" t="s">
        <v>51</v>
      </c>
      <c r="B55" s="23">
        <v>3120510</v>
      </c>
      <c r="C55" s="22">
        <v>668727</v>
      </c>
      <c r="D55" s="177">
        <f t="shared" si="0"/>
        <v>0.2143005470259669</v>
      </c>
      <c r="E55" s="28">
        <f t="shared" si="1"/>
        <v>1.4197663743722251E-2</v>
      </c>
      <c r="F55" s="57">
        <v>668168</v>
      </c>
      <c r="G55" s="164">
        <f t="shared" si="2"/>
        <v>8.3661594090100877E-4</v>
      </c>
      <c r="H55" s="26">
        <f t="shared" si="3"/>
        <v>8.3661594090100877E-4</v>
      </c>
      <c r="I55" s="20">
        <f t="shared" si="4"/>
        <v>8.1743425595284905E-5</v>
      </c>
      <c r="J55" s="25">
        <f t="shared" si="5"/>
        <v>2.9203743427166169E-4</v>
      </c>
      <c r="L55" s="24" t="s">
        <v>51</v>
      </c>
      <c r="M55" s="23">
        <f t="shared" si="6"/>
        <v>258457.13161996423</v>
      </c>
      <c r="N55" s="22">
        <f t="shared" si="7"/>
        <v>892.84427450209432</v>
      </c>
      <c r="O55" s="21">
        <f t="shared" si="8"/>
        <v>2126.5233196097342</v>
      </c>
      <c r="P55" s="165">
        <f t="shared" si="10"/>
        <v>261476.49921407606</v>
      </c>
      <c r="Q55" s="197">
        <f t="shared" si="9"/>
        <v>7.1817623863940439E-3</v>
      </c>
      <c r="S55" s="19"/>
      <c r="T55" s="19"/>
      <c r="U55" s="19"/>
      <c r="V55" s="19"/>
      <c r="W55" s="19"/>
      <c r="X55" s="19"/>
      <c r="Y55" s="19"/>
      <c r="Z55" s="19"/>
    </row>
    <row r="56" spans="1:26" ht="13.5" thickBot="1">
      <c r="A56" s="178" t="s">
        <v>52</v>
      </c>
      <c r="B56" s="179">
        <f>SUM(B5:B55)</f>
        <v>5256209157</v>
      </c>
      <c r="C56" s="180">
        <f>SUM(C5:C55)</f>
        <v>2289867398.9099998</v>
      </c>
      <c r="D56" s="181">
        <f>SUM(D5:D55)</f>
        <v>15.09407117214786</v>
      </c>
      <c r="E56" s="182">
        <f>SUM(E5:E55)</f>
        <v>0.99999999999999978</v>
      </c>
      <c r="F56" s="183">
        <f>SUM(F5:F55)</f>
        <v>2084369146.27</v>
      </c>
      <c r="G56" s="184"/>
      <c r="H56" s="185">
        <f>SUM(H5:H55)</f>
        <v>10.234657219323411</v>
      </c>
      <c r="I56" s="186">
        <f>SUM(I5:I55)</f>
        <v>1</v>
      </c>
      <c r="J56" s="187">
        <f>SUM(J5:J55)</f>
        <v>0.99999999999999989</v>
      </c>
      <c r="L56" s="178" t="s">
        <v>52</v>
      </c>
      <c r="M56" s="188">
        <f>SUM(M5:M55)</f>
        <v>18204201.499999996</v>
      </c>
      <c r="N56" s="183">
        <f>SUM(N5:N55)</f>
        <v>10922520.899999999</v>
      </c>
      <c r="O56" s="189">
        <f>SUM(O5:O55)</f>
        <v>7281680.5999999996</v>
      </c>
      <c r="P56" s="190">
        <f>SUM(P5:P55)</f>
        <v>36408403</v>
      </c>
      <c r="Q56" s="198">
        <f>SUM(Q5:Q55)</f>
        <v>0.99999999999999989</v>
      </c>
      <c r="S56" s="19"/>
      <c r="T56" s="19"/>
      <c r="U56" s="19"/>
      <c r="V56" s="19"/>
      <c r="W56" s="19"/>
      <c r="X56" s="19"/>
      <c r="Y56" s="19"/>
      <c r="Z56" s="19"/>
    </row>
    <row r="57" spans="1:26" ht="13.5" thickTop="1"/>
    <row r="59" spans="1:26">
      <c r="L59" s="435" t="s">
        <v>128</v>
      </c>
      <c r="M59" s="435"/>
      <c r="N59" s="435"/>
      <c r="O59" s="435"/>
      <c r="P59" s="435"/>
      <c r="Q59" s="435"/>
    </row>
    <row r="60" spans="1:26">
      <c r="L60" s="435"/>
      <c r="M60" s="435"/>
      <c r="N60" s="435"/>
      <c r="O60" s="435"/>
      <c r="P60" s="435"/>
      <c r="Q60" s="435"/>
    </row>
    <row r="61" spans="1:26">
      <c r="L61" s="435"/>
      <c r="M61" s="435"/>
      <c r="N61" s="435"/>
      <c r="O61" s="435"/>
      <c r="P61" s="435"/>
      <c r="Q61" s="435"/>
    </row>
    <row r="62" spans="1:26">
      <c r="L62" s="435"/>
      <c r="M62" s="435"/>
      <c r="N62" s="435"/>
      <c r="O62" s="435"/>
      <c r="P62" s="435"/>
      <c r="Q62" s="435"/>
    </row>
    <row r="63" spans="1:26">
      <c r="L63" s="435"/>
      <c r="M63" s="435"/>
      <c r="N63" s="435"/>
      <c r="O63" s="435"/>
      <c r="P63" s="435"/>
      <c r="Q63" s="435"/>
    </row>
    <row r="64" spans="1:26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</row>
    <row r="65" spans="1:2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</row>
    <row r="66" spans="1:2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</row>
    <row r="67" spans="1:2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</row>
    <row r="68" spans="1:22">
      <c r="A68" s="77"/>
      <c r="B68" s="436"/>
      <c r="C68" s="436"/>
      <c r="D68" s="436"/>
      <c r="E68" s="436"/>
      <c r="F68" s="436"/>
      <c r="G68" s="436"/>
      <c r="H68" s="436"/>
      <c r="I68" s="436"/>
      <c r="J68" s="78"/>
      <c r="K68" s="76"/>
      <c r="L68" s="437"/>
      <c r="M68" s="437"/>
      <c r="N68" s="437"/>
      <c r="O68" s="437"/>
      <c r="P68" s="437"/>
      <c r="Q68" s="437"/>
      <c r="R68" s="76"/>
      <c r="S68" s="76"/>
      <c r="T68" s="76"/>
      <c r="U68" s="76"/>
      <c r="V68" s="76"/>
    </row>
    <row r="69" spans="1:22">
      <c r="A69" s="174"/>
      <c r="B69" s="78"/>
      <c r="C69" s="78"/>
      <c r="D69" s="78"/>
      <c r="E69" s="78"/>
      <c r="F69" s="78"/>
      <c r="G69" s="78"/>
      <c r="H69" s="78"/>
      <c r="I69" s="78"/>
      <c r="J69" s="78"/>
      <c r="K69" s="76"/>
      <c r="L69" s="174"/>
      <c r="M69" s="78"/>
      <c r="N69" s="78"/>
      <c r="O69" s="78"/>
      <c r="P69" s="78"/>
      <c r="Q69" s="78"/>
      <c r="R69" s="76"/>
      <c r="S69" s="76"/>
      <c r="T69" s="76"/>
      <c r="U69" s="76"/>
      <c r="V69" s="76"/>
    </row>
    <row r="70" spans="1:22">
      <c r="A70" s="77"/>
      <c r="B70" s="79"/>
      <c r="C70" s="79"/>
      <c r="D70" s="79"/>
      <c r="E70" s="79"/>
      <c r="F70" s="79"/>
      <c r="G70" s="79"/>
      <c r="H70" s="79"/>
      <c r="I70" s="79"/>
      <c r="J70" s="79"/>
      <c r="K70" s="76"/>
      <c r="L70" s="76"/>
      <c r="M70" s="80"/>
      <c r="N70" s="80"/>
      <c r="O70" s="80"/>
      <c r="P70" s="80"/>
      <c r="Q70" s="76"/>
      <c r="R70" s="76"/>
      <c r="S70" s="76"/>
      <c r="T70" s="76"/>
      <c r="U70" s="76"/>
      <c r="V70" s="76"/>
    </row>
    <row r="71" spans="1:22">
      <c r="A71" s="76"/>
      <c r="B71" s="76"/>
      <c r="C71" s="76"/>
      <c r="D71" s="76"/>
      <c r="E71" s="76"/>
      <c r="F71" s="81"/>
      <c r="G71" s="77"/>
      <c r="H71" s="77"/>
      <c r="I71" s="77"/>
      <c r="J71" s="76"/>
      <c r="K71" s="76"/>
      <c r="L71" s="76"/>
      <c r="M71" s="191"/>
      <c r="N71" s="191"/>
      <c r="O71" s="191"/>
      <c r="P71" s="82"/>
      <c r="Q71" s="82"/>
      <c r="R71" s="76"/>
      <c r="S71" s="76"/>
      <c r="T71" s="76"/>
      <c r="U71" s="76"/>
      <c r="V71" s="76"/>
    </row>
    <row r="72" spans="1:22">
      <c r="A72" s="77"/>
      <c r="B72" s="22"/>
      <c r="C72" s="22"/>
      <c r="D72" s="177"/>
      <c r="E72" s="26"/>
      <c r="F72" s="22"/>
      <c r="G72" s="27"/>
      <c r="H72" s="26"/>
      <c r="I72" s="83"/>
      <c r="J72" s="84"/>
      <c r="K72" s="76"/>
      <c r="L72" s="77"/>
      <c r="M72" s="57"/>
      <c r="N72" s="57"/>
      <c r="O72" s="57"/>
      <c r="P72" s="57"/>
      <c r="Q72" s="85"/>
      <c r="R72" s="76"/>
      <c r="S72" s="76"/>
      <c r="T72" s="76"/>
      <c r="U72" s="76"/>
      <c r="V72" s="76"/>
    </row>
    <row r="73" spans="1:22">
      <c r="A73" s="77"/>
      <c r="B73" s="22"/>
      <c r="C73" s="22"/>
      <c r="D73" s="177"/>
      <c r="E73" s="26"/>
      <c r="F73" s="22"/>
      <c r="G73" s="27"/>
      <c r="H73" s="26"/>
      <c r="I73" s="83"/>
      <c r="J73" s="84"/>
      <c r="K73" s="76"/>
      <c r="L73" s="77"/>
      <c r="M73" s="57"/>
      <c r="N73" s="57"/>
      <c r="O73" s="57"/>
      <c r="P73" s="85"/>
      <c r="Q73" s="85"/>
      <c r="R73" s="76"/>
      <c r="S73" s="76"/>
      <c r="T73" s="76"/>
      <c r="U73" s="76"/>
      <c r="V73" s="76"/>
    </row>
    <row r="74" spans="1:22">
      <c r="A74" s="77"/>
      <c r="B74" s="22"/>
      <c r="C74" s="22"/>
      <c r="D74" s="177"/>
      <c r="E74" s="26"/>
      <c r="F74" s="22"/>
      <c r="G74" s="27"/>
      <c r="H74" s="26"/>
      <c r="I74" s="83"/>
      <c r="J74" s="84"/>
      <c r="K74" s="76"/>
      <c r="L74" s="77"/>
      <c r="M74" s="57"/>
      <c r="N74" s="57"/>
      <c r="O74" s="57"/>
      <c r="P74" s="85"/>
      <c r="Q74" s="85"/>
      <c r="R74" s="76"/>
      <c r="S74" s="76"/>
      <c r="T74" s="76"/>
      <c r="U74" s="76"/>
      <c r="V74" s="76"/>
    </row>
    <row r="75" spans="1:22">
      <c r="A75" s="77"/>
      <c r="B75" s="22"/>
      <c r="C75" s="22"/>
      <c r="D75" s="177"/>
      <c r="E75" s="26"/>
      <c r="F75" s="22"/>
      <c r="G75" s="27"/>
      <c r="H75" s="26"/>
      <c r="I75" s="83"/>
      <c r="J75" s="84"/>
      <c r="K75" s="76"/>
      <c r="L75" s="77"/>
      <c r="M75" s="57"/>
      <c r="N75" s="57"/>
      <c r="O75" s="57"/>
      <c r="P75" s="85"/>
      <c r="Q75" s="85"/>
      <c r="R75" s="76"/>
      <c r="S75" s="76"/>
      <c r="T75" s="76"/>
      <c r="U75" s="76"/>
      <c r="V75" s="76"/>
    </row>
    <row r="76" spans="1:22">
      <c r="A76" s="77"/>
      <c r="B76" s="22"/>
      <c r="C76" s="22"/>
      <c r="D76" s="177"/>
      <c r="E76" s="26"/>
      <c r="F76" s="22"/>
      <c r="G76" s="27"/>
      <c r="H76" s="26"/>
      <c r="I76" s="83"/>
      <c r="J76" s="84"/>
      <c r="K76" s="76"/>
      <c r="L76" s="77"/>
      <c r="M76" s="57"/>
      <c r="N76" s="57"/>
      <c r="O76" s="57"/>
      <c r="P76" s="85"/>
      <c r="Q76" s="85"/>
      <c r="R76" s="76"/>
      <c r="S76" s="76"/>
      <c r="T76" s="76"/>
      <c r="U76" s="76"/>
      <c r="V76" s="76"/>
    </row>
    <row r="77" spans="1:22">
      <c r="A77" s="77"/>
      <c r="B77" s="22"/>
      <c r="C77" s="22"/>
      <c r="D77" s="177"/>
      <c r="E77" s="26"/>
      <c r="F77" s="22"/>
      <c r="G77" s="27"/>
      <c r="H77" s="26"/>
      <c r="I77" s="83"/>
      <c r="J77" s="84"/>
      <c r="K77" s="76"/>
      <c r="L77" s="77"/>
      <c r="M77" s="57"/>
      <c r="N77" s="57"/>
      <c r="O77" s="57"/>
      <c r="P77" s="85"/>
      <c r="Q77" s="85"/>
      <c r="R77" s="76"/>
      <c r="S77" s="76"/>
      <c r="T77" s="76"/>
      <c r="U77" s="76"/>
      <c r="V77" s="76"/>
    </row>
    <row r="78" spans="1:22">
      <c r="A78" s="77"/>
      <c r="B78" s="22"/>
      <c r="C78" s="22"/>
      <c r="D78" s="177"/>
      <c r="E78" s="26"/>
      <c r="F78" s="22"/>
      <c r="G78" s="27"/>
      <c r="H78" s="26"/>
      <c r="I78" s="83"/>
      <c r="J78" s="84"/>
      <c r="K78" s="76"/>
      <c r="L78" s="77"/>
      <c r="M78" s="57"/>
      <c r="N78" s="57"/>
      <c r="O78" s="57"/>
      <c r="P78" s="85"/>
      <c r="Q78" s="85"/>
      <c r="R78" s="76"/>
      <c r="S78" s="76"/>
      <c r="T78" s="76"/>
      <c r="U78" s="76"/>
      <c r="V78" s="76"/>
    </row>
    <row r="79" spans="1:22">
      <c r="A79" s="77"/>
      <c r="B79" s="22"/>
      <c r="C79" s="22"/>
      <c r="D79" s="177"/>
      <c r="E79" s="26"/>
      <c r="F79" s="22"/>
      <c r="G79" s="27"/>
      <c r="H79" s="26"/>
      <c r="I79" s="83"/>
      <c r="J79" s="84"/>
      <c r="K79" s="76"/>
      <c r="L79" s="77"/>
      <c r="M79" s="57"/>
      <c r="N79" s="57"/>
      <c r="O79" s="57"/>
      <c r="P79" s="85"/>
      <c r="Q79" s="85"/>
      <c r="R79" s="76"/>
      <c r="S79" s="76"/>
      <c r="T79" s="76"/>
      <c r="U79" s="76"/>
      <c r="V79" s="76"/>
    </row>
    <row r="80" spans="1:22">
      <c r="A80" s="77"/>
      <c r="B80" s="22"/>
      <c r="C80" s="22"/>
      <c r="D80" s="177"/>
      <c r="E80" s="26"/>
      <c r="F80" s="22"/>
      <c r="G80" s="27"/>
      <c r="H80" s="26"/>
      <c r="I80" s="83"/>
      <c r="J80" s="84"/>
      <c r="K80" s="76"/>
      <c r="L80" s="77"/>
      <c r="M80" s="57"/>
      <c r="N80" s="57"/>
      <c r="O80" s="57"/>
      <c r="P80" s="85"/>
      <c r="Q80" s="85"/>
      <c r="R80" s="76"/>
      <c r="S80" s="76"/>
      <c r="T80" s="76"/>
      <c r="U80" s="76"/>
      <c r="V80" s="76"/>
    </row>
    <row r="81" spans="1:22">
      <c r="A81" s="77"/>
      <c r="B81" s="22"/>
      <c r="C81" s="22"/>
      <c r="D81" s="177"/>
      <c r="E81" s="26"/>
      <c r="F81" s="22"/>
      <c r="G81" s="27"/>
      <c r="H81" s="26"/>
      <c r="I81" s="83"/>
      <c r="J81" s="84"/>
      <c r="K81" s="76"/>
      <c r="L81" s="77"/>
      <c r="M81" s="57"/>
      <c r="N81" s="57"/>
      <c r="O81" s="57"/>
      <c r="P81" s="85"/>
      <c r="Q81" s="85"/>
      <c r="R81" s="76"/>
      <c r="S81" s="76"/>
      <c r="T81" s="76"/>
      <c r="U81" s="76"/>
      <c r="V81" s="76"/>
    </row>
    <row r="82" spans="1:22">
      <c r="A82" s="77"/>
      <c r="B82" s="22"/>
      <c r="C82" s="22"/>
      <c r="D82" s="177"/>
      <c r="E82" s="26"/>
      <c r="F82" s="22"/>
      <c r="G82" s="27"/>
      <c r="H82" s="26"/>
      <c r="I82" s="83"/>
      <c r="J82" s="84"/>
      <c r="K82" s="76"/>
      <c r="L82" s="77"/>
      <c r="M82" s="57"/>
      <c r="N82" s="57"/>
      <c r="O82" s="57"/>
      <c r="P82" s="85"/>
      <c r="Q82" s="85"/>
      <c r="R82" s="76"/>
      <c r="S82" s="76"/>
      <c r="T82" s="76"/>
      <c r="U82" s="76"/>
      <c r="V82" s="76"/>
    </row>
    <row r="83" spans="1:22">
      <c r="A83" s="77"/>
      <c r="B83" s="22"/>
      <c r="C83" s="22"/>
      <c r="D83" s="177"/>
      <c r="E83" s="26"/>
      <c r="F83" s="22"/>
      <c r="G83" s="27"/>
      <c r="H83" s="26"/>
      <c r="I83" s="83"/>
      <c r="J83" s="84"/>
      <c r="K83" s="76"/>
      <c r="L83" s="77"/>
      <c r="M83" s="57"/>
      <c r="N83" s="57"/>
      <c r="O83" s="57"/>
      <c r="P83" s="85"/>
      <c r="Q83" s="85"/>
      <c r="R83" s="76"/>
      <c r="S83" s="76"/>
      <c r="T83" s="76"/>
      <c r="U83" s="76"/>
      <c r="V83" s="76"/>
    </row>
    <row r="84" spans="1:22">
      <c r="A84" s="77"/>
      <c r="B84" s="22"/>
      <c r="C84" s="22"/>
      <c r="D84" s="177"/>
      <c r="E84" s="26"/>
      <c r="F84" s="22"/>
      <c r="G84" s="27"/>
      <c r="H84" s="26"/>
      <c r="I84" s="83"/>
      <c r="J84" s="84"/>
      <c r="K84" s="76"/>
      <c r="L84" s="77"/>
      <c r="M84" s="57"/>
      <c r="N84" s="57"/>
      <c r="O84" s="57"/>
      <c r="P84" s="85"/>
      <c r="Q84" s="85"/>
      <c r="R84" s="76"/>
      <c r="S84" s="76"/>
      <c r="T84" s="76"/>
      <c r="U84" s="76"/>
      <c r="V84" s="76"/>
    </row>
    <row r="85" spans="1:22">
      <c r="A85" s="77"/>
      <c r="B85" s="22"/>
      <c r="C85" s="22"/>
      <c r="D85" s="177"/>
      <c r="E85" s="26"/>
      <c r="F85" s="22"/>
      <c r="G85" s="27"/>
      <c r="H85" s="26"/>
      <c r="I85" s="83"/>
      <c r="J85" s="84"/>
      <c r="K85" s="76"/>
      <c r="L85" s="77"/>
      <c r="M85" s="57"/>
      <c r="N85" s="57"/>
      <c r="O85" s="57"/>
      <c r="P85" s="85"/>
      <c r="Q85" s="85"/>
      <c r="R85" s="76"/>
      <c r="S85" s="76"/>
      <c r="T85" s="76"/>
      <c r="U85" s="76"/>
      <c r="V85" s="76"/>
    </row>
    <row r="86" spans="1:22">
      <c r="A86" s="77"/>
      <c r="B86" s="22"/>
      <c r="C86" s="22"/>
      <c r="D86" s="177"/>
      <c r="E86" s="26"/>
      <c r="F86" s="22"/>
      <c r="G86" s="27"/>
      <c r="H86" s="26"/>
      <c r="I86" s="83"/>
      <c r="J86" s="84"/>
      <c r="K86" s="76"/>
      <c r="L86" s="77"/>
      <c r="M86" s="57"/>
      <c r="N86" s="57"/>
      <c r="O86" s="57"/>
      <c r="P86" s="85"/>
      <c r="Q86" s="85"/>
      <c r="R86" s="76"/>
      <c r="S86" s="76"/>
      <c r="T86" s="76"/>
      <c r="U86" s="76"/>
      <c r="V86" s="76"/>
    </row>
    <row r="87" spans="1:22">
      <c r="A87" s="77"/>
      <c r="B87" s="22"/>
      <c r="C87" s="22"/>
      <c r="D87" s="177"/>
      <c r="E87" s="26"/>
      <c r="F87" s="22"/>
      <c r="G87" s="27"/>
      <c r="H87" s="26"/>
      <c r="I87" s="83"/>
      <c r="J87" s="84"/>
      <c r="K87" s="76"/>
      <c r="L87" s="77"/>
      <c r="M87" s="57"/>
      <c r="N87" s="57"/>
      <c r="O87" s="57"/>
      <c r="P87" s="85"/>
      <c r="Q87" s="85"/>
      <c r="R87" s="76"/>
      <c r="S87" s="76"/>
      <c r="T87" s="76"/>
      <c r="U87" s="76"/>
      <c r="V87" s="76"/>
    </row>
    <row r="88" spans="1:22">
      <c r="A88" s="77"/>
      <c r="B88" s="22"/>
      <c r="C88" s="22"/>
      <c r="D88" s="177"/>
      <c r="E88" s="26"/>
      <c r="F88" s="22"/>
      <c r="G88" s="27"/>
      <c r="H88" s="26"/>
      <c r="I88" s="83"/>
      <c r="J88" s="84"/>
      <c r="K88" s="76"/>
      <c r="L88" s="77"/>
      <c r="M88" s="57"/>
      <c r="N88" s="57"/>
      <c r="O88" s="57"/>
      <c r="P88" s="85"/>
      <c r="Q88" s="85"/>
      <c r="R88" s="76"/>
      <c r="S88" s="76"/>
      <c r="T88" s="76"/>
      <c r="U88" s="76"/>
      <c r="V88" s="76"/>
    </row>
    <row r="89" spans="1:22">
      <c r="A89" s="77"/>
      <c r="B89" s="22"/>
      <c r="C89" s="22"/>
      <c r="D89" s="177"/>
      <c r="E89" s="26"/>
      <c r="F89" s="22"/>
      <c r="G89" s="27"/>
      <c r="H89" s="26"/>
      <c r="I89" s="83"/>
      <c r="J89" s="84"/>
      <c r="K89" s="76"/>
      <c r="L89" s="77"/>
      <c r="M89" s="57"/>
      <c r="N89" s="57"/>
      <c r="O89" s="57"/>
      <c r="P89" s="85"/>
      <c r="Q89" s="85"/>
      <c r="R89" s="76"/>
      <c r="S89" s="76"/>
      <c r="T89" s="76"/>
      <c r="U89" s="76"/>
      <c r="V89" s="76"/>
    </row>
    <row r="90" spans="1:22">
      <c r="A90" s="77"/>
      <c r="B90" s="22"/>
      <c r="C90" s="22"/>
      <c r="D90" s="177"/>
      <c r="E90" s="26"/>
      <c r="F90" s="22"/>
      <c r="G90" s="27"/>
      <c r="H90" s="26"/>
      <c r="I90" s="83"/>
      <c r="J90" s="84"/>
      <c r="K90" s="76"/>
      <c r="L90" s="77"/>
      <c r="M90" s="57"/>
      <c r="N90" s="57"/>
      <c r="O90" s="57"/>
      <c r="P90" s="85"/>
      <c r="Q90" s="85"/>
      <c r="R90" s="76"/>
      <c r="S90" s="76"/>
      <c r="T90" s="76"/>
      <c r="U90" s="76"/>
      <c r="V90" s="76"/>
    </row>
    <row r="91" spans="1:22">
      <c r="A91" s="77"/>
      <c r="B91" s="22"/>
      <c r="C91" s="22"/>
      <c r="D91" s="177"/>
      <c r="E91" s="26"/>
      <c r="F91" s="22"/>
      <c r="G91" s="27"/>
      <c r="H91" s="26"/>
      <c r="I91" s="83"/>
      <c r="J91" s="84"/>
      <c r="K91" s="76"/>
      <c r="L91" s="77"/>
      <c r="M91" s="57"/>
      <c r="N91" s="57"/>
      <c r="O91" s="57"/>
      <c r="P91" s="85"/>
      <c r="Q91" s="85"/>
      <c r="R91" s="76"/>
      <c r="S91" s="76"/>
      <c r="T91" s="76"/>
      <c r="U91" s="76"/>
      <c r="V91" s="76"/>
    </row>
    <row r="92" spans="1:22">
      <c r="A92" s="77"/>
      <c r="B92" s="22"/>
      <c r="C92" s="22"/>
      <c r="D92" s="177"/>
      <c r="E92" s="26"/>
      <c r="F92" s="22"/>
      <c r="G92" s="27"/>
      <c r="H92" s="26"/>
      <c r="I92" s="83"/>
      <c r="J92" s="84"/>
      <c r="K92" s="76"/>
      <c r="L92" s="77"/>
      <c r="M92" s="57"/>
      <c r="N92" s="57"/>
      <c r="O92" s="57"/>
      <c r="P92" s="85"/>
      <c r="Q92" s="85"/>
      <c r="R92" s="76"/>
      <c r="S92" s="76"/>
      <c r="T92" s="76"/>
      <c r="U92" s="76"/>
      <c r="V92" s="76"/>
    </row>
    <row r="93" spans="1:22">
      <c r="A93" s="77"/>
      <c r="B93" s="22"/>
      <c r="C93" s="22"/>
      <c r="D93" s="177"/>
      <c r="E93" s="26"/>
      <c r="F93" s="22"/>
      <c r="G93" s="27"/>
      <c r="H93" s="26"/>
      <c r="I93" s="83"/>
      <c r="J93" s="84"/>
      <c r="K93" s="76"/>
      <c r="L93" s="77"/>
      <c r="M93" s="57"/>
      <c r="N93" s="57"/>
      <c r="O93" s="57"/>
      <c r="P93" s="85"/>
      <c r="Q93" s="85"/>
      <c r="R93" s="76"/>
      <c r="S93" s="76"/>
      <c r="T93" s="76"/>
      <c r="U93" s="76"/>
      <c r="V93" s="76"/>
    </row>
    <row r="94" spans="1:22">
      <c r="A94" s="77"/>
      <c r="B94" s="22"/>
      <c r="C94" s="22"/>
      <c r="D94" s="177"/>
      <c r="E94" s="26"/>
      <c r="F94" s="22"/>
      <c r="G94" s="27"/>
      <c r="H94" s="26"/>
      <c r="I94" s="83"/>
      <c r="J94" s="84"/>
      <c r="K94" s="76"/>
      <c r="L94" s="77"/>
      <c r="M94" s="57"/>
      <c r="N94" s="57"/>
      <c r="O94" s="57"/>
      <c r="P94" s="85"/>
      <c r="Q94" s="85"/>
      <c r="R94" s="76"/>
      <c r="S94" s="76"/>
      <c r="T94" s="76"/>
      <c r="U94" s="76"/>
      <c r="V94" s="76"/>
    </row>
    <row r="95" spans="1:22">
      <c r="A95" s="77"/>
      <c r="B95" s="22"/>
      <c r="C95" s="22"/>
      <c r="D95" s="177"/>
      <c r="E95" s="26"/>
      <c r="F95" s="22"/>
      <c r="G95" s="27"/>
      <c r="H95" s="26"/>
      <c r="I95" s="83"/>
      <c r="J95" s="84"/>
      <c r="K95" s="76"/>
      <c r="L95" s="77"/>
      <c r="M95" s="57"/>
      <c r="N95" s="57"/>
      <c r="O95" s="57"/>
      <c r="P95" s="85"/>
      <c r="Q95" s="85"/>
      <c r="R95" s="76"/>
      <c r="S95" s="76"/>
      <c r="T95" s="76"/>
      <c r="U95" s="76"/>
      <c r="V95" s="76"/>
    </row>
    <row r="96" spans="1:22">
      <c r="A96" s="77"/>
      <c r="B96" s="22"/>
      <c r="C96" s="22"/>
      <c r="D96" s="177"/>
      <c r="E96" s="26"/>
      <c r="F96" s="22"/>
      <c r="G96" s="27"/>
      <c r="H96" s="26"/>
      <c r="I96" s="83"/>
      <c r="J96" s="84"/>
      <c r="K96" s="76"/>
      <c r="L96" s="77"/>
      <c r="M96" s="57"/>
      <c r="N96" s="57"/>
      <c r="O96" s="57"/>
      <c r="P96" s="85"/>
      <c r="Q96" s="85"/>
      <c r="R96" s="76"/>
      <c r="S96" s="76"/>
      <c r="T96" s="76"/>
      <c r="U96" s="76"/>
      <c r="V96" s="76"/>
    </row>
    <row r="97" spans="1:22">
      <c r="A97" s="77"/>
      <c r="B97" s="22"/>
      <c r="C97" s="22"/>
      <c r="D97" s="177"/>
      <c r="E97" s="26"/>
      <c r="F97" s="22"/>
      <c r="G97" s="27"/>
      <c r="H97" s="26"/>
      <c r="I97" s="83"/>
      <c r="J97" s="84"/>
      <c r="K97" s="76"/>
      <c r="L97" s="77"/>
      <c r="M97" s="57"/>
      <c r="N97" s="57"/>
      <c r="O97" s="57"/>
      <c r="P97" s="85"/>
      <c r="Q97" s="85"/>
      <c r="R97" s="76"/>
      <c r="S97" s="76"/>
      <c r="T97" s="76"/>
      <c r="U97" s="76"/>
      <c r="V97" s="76"/>
    </row>
    <row r="98" spans="1:22">
      <c r="A98" s="77"/>
      <c r="B98" s="22"/>
      <c r="C98" s="22"/>
      <c r="D98" s="177"/>
      <c r="E98" s="26"/>
      <c r="F98" s="22"/>
      <c r="G98" s="27"/>
      <c r="H98" s="26"/>
      <c r="I98" s="83"/>
      <c r="J98" s="84"/>
      <c r="K98" s="76"/>
      <c r="L98" s="77"/>
      <c r="M98" s="57"/>
      <c r="N98" s="57"/>
      <c r="O98" s="57"/>
      <c r="P98" s="85"/>
      <c r="Q98" s="85"/>
      <c r="R98" s="76"/>
      <c r="S98" s="76"/>
      <c r="T98" s="76"/>
      <c r="U98" s="76"/>
      <c r="V98" s="76"/>
    </row>
    <row r="99" spans="1:22">
      <c r="A99" s="77"/>
      <c r="B99" s="22"/>
      <c r="C99" s="22"/>
      <c r="D99" s="177"/>
      <c r="E99" s="26"/>
      <c r="F99" s="22"/>
      <c r="G99" s="27"/>
      <c r="H99" s="26"/>
      <c r="I99" s="83"/>
      <c r="J99" s="84"/>
      <c r="K99" s="76"/>
      <c r="L99" s="77"/>
      <c r="M99" s="57"/>
      <c r="N99" s="57"/>
      <c r="O99" s="57"/>
      <c r="P99" s="85"/>
      <c r="Q99" s="85"/>
      <c r="R99" s="76"/>
      <c r="S99" s="76"/>
      <c r="T99" s="76"/>
      <c r="U99" s="76"/>
      <c r="V99" s="76"/>
    </row>
    <row r="100" spans="1:22">
      <c r="A100" s="77"/>
      <c r="B100" s="22"/>
      <c r="C100" s="22"/>
      <c r="D100" s="177"/>
      <c r="E100" s="26"/>
      <c r="F100" s="22"/>
      <c r="G100" s="27"/>
      <c r="H100" s="26"/>
      <c r="I100" s="83"/>
      <c r="J100" s="84"/>
      <c r="K100" s="76"/>
      <c r="L100" s="77"/>
      <c r="M100" s="57"/>
      <c r="N100" s="57"/>
      <c r="O100" s="57"/>
      <c r="P100" s="85"/>
      <c r="Q100" s="85"/>
      <c r="R100" s="76"/>
      <c r="S100" s="76"/>
      <c r="T100" s="76"/>
      <c r="U100" s="76"/>
      <c r="V100" s="76"/>
    </row>
    <row r="101" spans="1:22">
      <c r="A101" s="77"/>
      <c r="B101" s="22"/>
      <c r="C101" s="22"/>
      <c r="D101" s="177"/>
      <c r="E101" s="26"/>
      <c r="F101" s="22"/>
      <c r="G101" s="27"/>
      <c r="H101" s="26"/>
      <c r="I101" s="83"/>
      <c r="J101" s="84"/>
      <c r="K101" s="76"/>
      <c r="L101" s="77"/>
      <c r="M101" s="57"/>
      <c r="N101" s="57"/>
      <c r="O101" s="57"/>
      <c r="P101" s="85"/>
      <c r="Q101" s="85"/>
      <c r="R101" s="76"/>
      <c r="S101" s="76"/>
      <c r="T101" s="76"/>
      <c r="U101" s="76"/>
      <c r="V101" s="76"/>
    </row>
    <row r="102" spans="1:22">
      <c r="A102" s="77"/>
      <c r="B102" s="22"/>
      <c r="C102" s="22"/>
      <c r="D102" s="177"/>
      <c r="E102" s="26"/>
      <c r="F102" s="22"/>
      <c r="G102" s="27"/>
      <c r="H102" s="26"/>
      <c r="I102" s="83"/>
      <c r="J102" s="84"/>
      <c r="K102" s="76"/>
      <c r="L102" s="77"/>
      <c r="M102" s="57"/>
      <c r="N102" s="57"/>
      <c r="O102" s="57"/>
      <c r="P102" s="85"/>
      <c r="Q102" s="85"/>
      <c r="R102" s="76"/>
      <c r="S102" s="76"/>
      <c r="T102" s="76"/>
      <c r="U102" s="76"/>
      <c r="V102" s="76"/>
    </row>
    <row r="103" spans="1:22">
      <c r="A103" s="77"/>
      <c r="B103" s="22"/>
      <c r="C103" s="22"/>
      <c r="D103" s="177"/>
      <c r="E103" s="26"/>
      <c r="F103" s="22"/>
      <c r="G103" s="27"/>
      <c r="H103" s="26"/>
      <c r="I103" s="83"/>
      <c r="J103" s="84"/>
      <c r="K103" s="76"/>
      <c r="L103" s="77"/>
      <c r="M103" s="57"/>
      <c r="N103" s="57"/>
      <c r="O103" s="57"/>
      <c r="P103" s="85"/>
      <c r="Q103" s="85"/>
      <c r="R103" s="76"/>
      <c r="S103" s="76"/>
      <c r="T103" s="76"/>
      <c r="U103" s="76"/>
      <c r="V103" s="76"/>
    </row>
    <row r="104" spans="1:22">
      <c r="A104" s="77"/>
      <c r="B104" s="22"/>
      <c r="C104" s="22"/>
      <c r="D104" s="177"/>
      <c r="E104" s="26"/>
      <c r="F104" s="22"/>
      <c r="G104" s="27"/>
      <c r="H104" s="26"/>
      <c r="I104" s="83"/>
      <c r="J104" s="84"/>
      <c r="K104" s="76"/>
      <c r="L104" s="77"/>
      <c r="M104" s="57"/>
      <c r="N104" s="57"/>
      <c r="O104" s="57"/>
      <c r="P104" s="85"/>
      <c r="Q104" s="85"/>
      <c r="R104" s="76"/>
      <c r="S104" s="76"/>
      <c r="T104" s="76"/>
      <c r="U104" s="76"/>
      <c r="V104" s="76"/>
    </row>
    <row r="105" spans="1:22">
      <c r="A105" s="77"/>
      <c r="B105" s="22"/>
      <c r="C105" s="22"/>
      <c r="D105" s="177"/>
      <c r="E105" s="26"/>
      <c r="F105" s="22"/>
      <c r="G105" s="27"/>
      <c r="H105" s="26"/>
      <c r="I105" s="83"/>
      <c r="J105" s="84"/>
      <c r="K105" s="76"/>
      <c r="L105" s="77"/>
      <c r="M105" s="57"/>
      <c r="N105" s="57"/>
      <c r="O105" s="57"/>
      <c r="P105" s="85"/>
      <c r="Q105" s="85"/>
      <c r="R105" s="76"/>
      <c r="S105" s="76"/>
      <c r="T105" s="76"/>
      <c r="U105" s="76"/>
      <c r="V105" s="76"/>
    </row>
    <row r="106" spans="1:22">
      <c r="A106" s="77"/>
      <c r="B106" s="22"/>
      <c r="C106" s="22"/>
      <c r="D106" s="177"/>
      <c r="E106" s="26"/>
      <c r="F106" s="22"/>
      <c r="G106" s="27"/>
      <c r="H106" s="26"/>
      <c r="I106" s="83"/>
      <c r="J106" s="84"/>
      <c r="K106" s="76"/>
      <c r="L106" s="77"/>
      <c r="M106" s="57"/>
      <c r="N106" s="57"/>
      <c r="O106" s="57"/>
      <c r="P106" s="85"/>
      <c r="Q106" s="85"/>
      <c r="R106" s="76"/>
      <c r="S106" s="76"/>
      <c r="T106" s="76"/>
      <c r="U106" s="76"/>
      <c r="V106" s="76"/>
    </row>
    <row r="107" spans="1:22">
      <c r="A107" s="77"/>
      <c r="B107" s="22"/>
      <c r="C107" s="22"/>
      <c r="D107" s="177"/>
      <c r="E107" s="26"/>
      <c r="F107" s="22"/>
      <c r="G107" s="27"/>
      <c r="H107" s="26"/>
      <c r="I107" s="83"/>
      <c r="J107" s="84"/>
      <c r="K107" s="76"/>
      <c r="L107" s="77"/>
      <c r="M107" s="57"/>
      <c r="N107" s="57"/>
      <c r="O107" s="57"/>
      <c r="P107" s="85"/>
      <c r="Q107" s="85"/>
      <c r="R107" s="76"/>
      <c r="S107" s="76"/>
      <c r="T107" s="76"/>
      <c r="U107" s="76"/>
      <c r="V107" s="76"/>
    </row>
    <row r="108" spans="1:22">
      <c r="A108" s="77"/>
      <c r="B108" s="22"/>
      <c r="C108" s="22"/>
      <c r="D108" s="177"/>
      <c r="E108" s="26"/>
      <c r="F108" s="22"/>
      <c r="G108" s="27"/>
      <c r="H108" s="26"/>
      <c r="I108" s="83"/>
      <c r="J108" s="84"/>
      <c r="K108" s="76"/>
      <c r="L108" s="77"/>
      <c r="M108" s="57"/>
      <c r="N108" s="57"/>
      <c r="O108" s="57"/>
      <c r="P108" s="85"/>
      <c r="Q108" s="85"/>
      <c r="R108" s="76"/>
      <c r="S108" s="76"/>
      <c r="T108" s="76"/>
      <c r="U108" s="76"/>
      <c r="V108" s="76"/>
    </row>
    <row r="109" spans="1:22">
      <c r="A109" s="77"/>
      <c r="B109" s="22"/>
      <c r="C109" s="22"/>
      <c r="D109" s="177"/>
      <c r="E109" s="26"/>
      <c r="F109" s="22"/>
      <c r="G109" s="27"/>
      <c r="H109" s="26"/>
      <c r="I109" s="83"/>
      <c r="J109" s="84"/>
      <c r="K109" s="76"/>
      <c r="L109" s="77"/>
      <c r="M109" s="57"/>
      <c r="N109" s="57"/>
      <c r="O109" s="57"/>
      <c r="P109" s="85"/>
      <c r="Q109" s="85"/>
      <c r="R109" s="76"/>
      <c r="S109" s="76"/>
      <c r="T109" s="76"/>
      <c r="U109" s="76"/>
      <c r="V109" s="76"/>
    </row>
    <row r="110" spans="1:22">
      <c r="A110" s="77"/>
      <c r="B110" s="22"/>
      <c r="C110" s="22"/>
      <c r="D110" s="177"/>
      <c r="E110" s="26"/>
      <c r="F110" s="22"/>
      <c r="G110" s="27"/>
      <c r="H110" s="26"/>
      <c r="I110" s="83"/>
      <c r="J110" s="84"/>
      <c r="K110" s="76"/>
      <c r="L110" s="77"/>
      <c r="M110" s="57"/>
      <c r="N110" s="57"/>
      <c r="O110" s="57"/>
      <c r="P110" s="85"/>
      <c r="Q110" s="85"/>
      <c r="R110" s="76"/>
      <c r="S110" s="76"/>
      <c r="T110" s="76"/>
      <c r="U110" s="76"/>
      <c r="V110" s="76"/>
    </row>
    <row r="111" spans="1:22">
      <c r="A111" s="77"/>
      <c r="B111" s="22"/>
      <c r="C111" s="22"/>
      <c r="D111" s="177"/>
      <c r="E111" s="26"/>
      <c r="F111" s="22"/>
      <c r="G111" s="27"/>
      <c r="H111" s="26"/>
      <c r="I111" s="83"/>
      <c r="J111" s="84"/>
      <c r="K111" s="76"/>
      <c r="L111" s="77"/>
      <c r="M111" s="57"/>
      <c r="N111" s="57"/>
      <c r="O111" s="57"/>
      <c r="P111" s="85"/>
      <c r="Q111" s="85"/>
      <c r="R111" s="76"/>
      <c r="S111" s="76"/>
      <c r="T111" s="76"/>
      <c r="U111" s="76"/>
      <c r="V111" s="76"/>
    </row>
    <row r="112" spans="1:22">
      <c r="A112" s="77"/>
      <c r="B112" s="22"/>
      <c r="C112" s="22"/>
      <c r="D112" s="177"/>
      <c r="E112" s="26"/>
      <c r="F112" s="22"/>
      <c r="G112" s="27"/>
      <c r="H112" s="26"/>
      <c r="I112" s="83"/>
      <c r="J112" s="84"/>
      <c r="K112" s="76"/>
      <c r="L112" s="77"/>
      <c r="M112" s="57"/>
      <c r="N112" s="57"/>
      <c r="O112" s="57"/>
      <c r="P112" s="85"/>
      <c r="Q112" s="85"/>
      <c r="R112" s="76"/>
      <c r="S112" s="76"/>
      <c r="T112" s="76"/>
      <c r="U112" s="76"/>
      <c r="V112" s="76"/>
    </row>
    <row r="113" spans="1:22">
      <c r="A113" s="77"/>
      <c r="B113" s="22"/>
      <c r="C113" s="22"/>
      <c r="D113" s="177"/>
      <c r="E113" s="26"/>
      <c r="F113" s="22"/>
      <c r="G113" s="27"/>
      <c r="H113" s="26"/>
      <c r="I113" s="83"/>
      <c r="J113" s="84"/>
      <c r="K113" s="76"/>
      <c r="L113" s="77"/>
      <c r="M113" s="57"/>
      <c r="N113" s="57"/>
      <c r="O113" s="57"/>
      <c r="P113" s="85"/>
      <c r="Q113" s="85"/>
      <c r="R113" s="76"/>
      <c r="S113" s="76"/>
      <c r="T113" s="76"/>
      <c r="U113" s="76"/>
      <c r="V113" s="76"/>
    </row>
    <row r="114" spans="1:22">
      <c r="A114" s="77"/>
      <c r="B114" s="22"/>
      <c r="C114" s="22"/>
      <c r="D114" s="177"/>
      <c r="E114" s="26"/>
      <c r="F114" s="22"/>
      <c r="G114" s="27"/>
      <c r="H114" s="26"/>
      <c r="I114" s="83"/>
      <c r="J114" s="84"/>
      <c r="K114" s="76"/>
      <c r="L114" s="77"/>
      <c r="M114" s="57"/>
      <c r="N114" s="57"/>
      <c r="O114" s="57"/>
      <c r="P114" s="85"/>
      <c r="Q114" s="85"/>
      <c r="R114" s="76"/>
      <c r="S114" s="76"/>
      <c r="T114" s="76"/>
      <c r="U114" s="76"/>
      <c r="V114" s="76"/>
    </row>
    <row r="115" spans="1:22">
      <c r="A115" s="77"/>
      <c r="B115" s="22"/>
      <c r="C115" s="22"/>
      <c r="D115" s="177"/>
      <c r="E115" s="26"/>
      <c r="F115" s="22"/>
      <c r="G115" s="27"/>
      <c r="H115" s="26"/>
      <c r="I115" s="83"/>
      <c r="J115" s="84"/>
      <c r="K115" s="76"/>
      <c r="L115" s="77"/>
      <c r="M115" s="57"/>
      <c r="N115" s="57"/>
      <c r="O115" s="57"/>
      <c r="P115" s="85"/>
      <c r="Q115" s="85"/>
      <c r="R115" s="76"/>
      <c r="S115" s="76"/>
      <c r="T115" s="76"/>
      <c r="U115" s="76"/>
      <c r="V115" s="76"/>
    </row>
    <row r="116" spans="1:22">
      <c r="A116" s="77"/>
      <c r="B116" s="22"/>
      <c r="C116" s="22"/>
      <c r="D116" s="177"/>
      <c r="E116" s="26"/>
      <c r="F116" s="22"/>
      <c r="G116" s="27"/>
      <c r="H116" s="26"/>
      <c r="I116" s="83"/>
      <c r="J116" s="84"/>
      <c r="K116" s="76"/>
      <c r="L116" s="77"/>
      <c r="M116" s="57"/>
      <c r="N116" s="57"/>
      <c r="O116" s="57"/>
      <c r="P116" s="85"/>
      <c r="Q116" s="85"/>
      <c r="R116" s="76"/>
      <c r="S116" s="76"/>
      <c r="T116" s="76"/>
      <c r="U116" s="76"/>
      <c r="V116" s="76"/>
    </row>
    <row r="117" spans="1:22">
      <c r="A117" s="77"/>
      <c r="B117" s="22"/>
      <c r="C117" s="22"/>
      <c r="D117" s="177"/>
      <c r="E117" s="26"/>
      <c r="F117" s="22"/>
      <c r="G117" s="27"/>
      <c r="H117" s="26"/>
      <c r="I117" s="83"/>
      <c r="J117" s="84"/>
      <c r="K117" s="76"/>
      <c r="L117" s="77"/>
      <c r="M117" s="57"/>
      <c r="N117" s="57"/>
      <c r="O117" s="57"/>
      <c r="P117" s="85"/>
      <c r="Q117" s="85"/>
      <c r="R117" s="76"/>
      <c r="S117" s="76"/>
      <c r="T117" s="76"/>
      <c r="U117" s="76"/>
      <c r="V117" s="76"/>
    </row>
    <row r="118" spans="1:22">
      <c r="A118" s="77"/>
      <c r="B118" s="22"/>
      <c r="C118" s="22"/>
      <c r="D118" s="177"/>
      <c r="E118" s="26"/>
      <c r="F118" s="22"/>
      <c r="G118" s="27"/>
      <c r="H118" s="26"/>
      <c r="I118" s="83"/>
      <c r="J118" s="84"/>
      <c r="K118" s="76"/>
      <c r="L118" s="77"/>
      <c r="M118" s="57"/>
      <c r="N118" s="57"/>
      <c r="O118" s="57"/>
      <c r="P118" s="85"/>
      <c r="Q118" s="85"/>
      <c r="R118" s="76"/>
      <c r="S118" s="76"/>
      <c r="T118" s="76"/>
      <c r="U118" s="76"/>
      <c r="V118" s="76"/>
    </row>
    <row r="119" spans="1:22">
      <c r="A119" s="77"/>
      <c r="B119" s="22"/>
      <c r="C119" s="22"/>
      <c r="D119" s="177"/>
      <c r="E119" s="26"/>
      <c r="F119" s="22"/>
      <c r="G119" s="27"/>
      <c r="H119" s="26"/>
      <c r="I119" s="83"/>
      <c r="J119" s="84"/>
      <c r="K119" s="76"/>
      <c r="L119" s="77"/>
      <c r="M119" s="57"/>
      <c r="N119" s="57"/>
      <c r="O119" s="57"/>
      <c r="P119" s="85"/>
      <c r="Q119" s="85"/>
      <c r="R119" s="76"/>
      <c r="S119" s="76"/>
      <c r="T119" s="76"/>
      <c r="U119" s="76"/>
      <c r="V119" s="76"/>
    </row>
    <row r="120" spans="1:22">
      <c r="A120" s="77"/>
      <c r="B120" s="22"/>
      <c r="C120" s="22"/>
      <c r="D120" s="177"/>
      <c r="E120" s="26"/>
      <c r="F120" s="22"/>
      <c r="G120" s="27"/>
      <c r="H120" s="26"/>
      <c r="I120" s="83"/>
      <c r="J120" s="84"/>
      <c r="K120" s="76"/>
      <c r="L120" s="77"/>
      <c r="M120" s="57"/>
      <c r="N120" s="57"/>
      <c r="O120" s="57"/>
      <c r="P120" s="85"/>
      <c r="Q120" s="85"/>
      <c r="R120" s="76"/>
      <c r="S120" s="76"/>
      <c r="T120" s="76"/>
      <c r="U120" s="76"/>
      <c r="V120" s="76"/>
    </row>
    <row r="121" spans="1:22">
      <c r="A121" s="77"/>
      <c r="B121" s="22"/>
      <c r="C121" s="22"/>
      <c r="D121" s="177"/>
      <c r="E121" s="26"/>
      <c r="F121" s="22"/>
      <c r="G121" s="27"/>
      <c r="H121" s="26"/>
      <c r="I121" s="83"/>
      <c r="J121" s="84"/>
      <c r="K121" s="76"/>
      <c r="L121" s="77"/>
      <c r="M121" s="57"/>
      <c r="N121" s="57"/>
      <c r="O121" s="57"/>
      <c r="P121" s="85"/>
      <c r="Q121" s="85"/>
      <c r="R121" s="76"/>
      <c r="S121" s="76"/>
      <c r="T121" s="76"/>
      <c r="U121" s="76"/>
      <c r="V121" s="76"/>
    </row>
    <row r="122" spans="1:22">
      <c r="A122" s="77"/>
      <c r="B122" s="22"/>
      <c r="C122" s="22"/>
      <c r="D122" s="177"/>
      <c r="E122" s="26"/>
      <c r="F122" s="22"/>
      <c r="G122" s="27"/>
      <c r="H122" s="26"/>
      <c r="I122" s="83"/>
      <c r="J122" s="84"/>
      <c r="K122" s="76"/>
      <c r="L122" s="77"/>
      <c r="M122" s="57"/>
      <c r="N122" s="57"/>
      <c r="O122" s="57"/>
      <c r="P122" s="85"/>
      <c r="Q122" s="85"/>
      <c r="R122" s="76"/>
      <c r="S122" s="76"/>
      <c r="T122" s="76"/>
      <c r="U122" s="76"/>
      <c r="V122" s="76"/>
    </row>
    <row r="123" spans="1:22">
      <c r="A123" s="77"/>
      <c r="B123" s="86"/>
      <c r="C123" s="86"/>
      <c r="D123" s="192"/>
      <c r="E123" s="87"/>
      <c r="F123" s="88"/>
      <c r="G123" s="89"/>
      <c r="H123" s="87"/>
      <c r="I123" s="90"/>
      <c r="J123" s="91"/>
      <c r="K123" s="76"/>
      <c r="L123" s="77"/>
      <c r="M123" s="92"/>
      <c r="N123" s="92"/>
      <c r="O123" s="92"/>
      <c r="P123" s="93"/>
      <c r="Q123" s="92"/>
      <c r="R123" s="76"/>
      <c r="S123" s="76"/>
      <c r="T123" s="76"/>
      <c r="U123" s="76"/>
      <c r="V123" s="76"/>
    </row>
    <row r="124" spans="1:22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</row>
    <row r="125" spans="1:2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</row>
    <row r="126" spans="1:22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432"/>
      <c r="M126" s="432"/>
      <c r="N126" s="432"/>
      <c r="O126" s="432"/>
      <c r="P126" s="432"/>
      <c r="Q126" s="432"/>
      <c r="R126" s="76"/>
      <c r="S126" s="76"/>
      <c r="T126" s="76"/>
      <c r="U126" s="76"/>
      <c r="V126" s="76"/>
    </row>
    <row r="127" spans="1:2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432"/>
      <c r="M127" s="432"/>
      <c r="N127" s="432"/>
      <c r="O127" s="432"/>
      <c r="P127" s="432"/>
      <c r="Q127" s="432"/>
      <c r="R127" s="76"/>
      <c r="S127" s="76"/>
      <c r="T127" s="76"/>
      <c r="U127" s="76"/>
      <c r="V127" s="76"/>
    </row>
    <row r="128" spans="1:2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432"/>
      <c r="M128" s="432"/>
      <c r="N128" s="432"/>
      <c r="O128" s="432"/>
      <c r="P128" s="432"/>
      <c r="Q128" s="432"/>
      <c r="R128" s="76"/>
      <c r="S128" s="76"/>
      <c r="T128" s="76"/>
      <c r="U128" s="76"/>
      <c r="V128" s="76"/>
    </row>
    <row r="129" spans="1:22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432"/>
      <c r="M129" s="432"/>
      <c r="N129" s="432"/>
      <c r="O129" s="432"/>
      <c r="P129" s="432"/>
      <c r="Q129" s="432"/>
      <c r="R129" s="76"/>
      <c r="S129" s="76"/>
      <c r="T129" s="76"/>
      <c r="U129" s="76"/>
      <c r="V129" s="76"/>
    </row>
    <row r="130" spans="1:22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432"/>
      <c r="M130" s="432"/>
      <c r="N130" s="432"/>
      <c r="O130" s="432"/>
      <c r="P130" s="432"/>
      <c r="Q130" s="432"/>
      <c r="R130" s="76"/>
      <c r="S130" s="76"/>
      <c r="T130" s="76"/>
      <c r="U130" s="76"/>
      <c r="V130" s="76"/>
    </row>
    <row r="131" spans="1:22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174"/>
      <c r="M131" s="78"/>
      <c r="N131" s="78"/>
      <c r="O131" s="78"/>
      <c r="P131" s="78"/>
      <c r="Q131" s="78"/>
      <c r="R131" s="76"/>
      <c r="S131" s="76"/>
      <c r="T131" s="76"/>
      <c r="U131" s="76"/>
      <c r="V131" s="76"/>
    </row>
    <row r="132" spans="1:2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0"/>
      <c r="N132" s="80"/>
      <c r="O132" s="80"/>
      <c r="P132" s="80"/>
      <c r="Q132" s="76"/>
      <c r="R132" s="76"/>
      <c r="S132" s="76"/>
      <c r="T132" s="76"/>
      <c r="U132" s="76"/>
      <c r="V132" s="76"/>
    </row>
    <row r="133" spans="1:22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191"/>
      <c r="N133" s="191"/>
      <c r="O133" s="191"/>
      <c r="P133" s="82"/>
      <c r="Q133" s="82"/>
      <c r="R133" s="76"/>
      <c r="S133" s="76"/>
      <c r="T133" s="76"/>
      <c r="U133" s="76"/>
      <c r="V133" s="76"/>
    </row>
    <row r="134" spans="1:22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7"/>
      <c r="M134" s="57"/>
      <c r="N134" s="57"/>
      <c r="O134" s="57"/>
      <c r="P134" s="94"/>
      <c r="Q134" s="85"/>
      <c r="R134" s="76"/>
      <c r="S134" s="76"/>
      <c r="T134" s="76"/>
      <c r="U134" s="76"/>
      <c r="V134" s="76"/>
    </row>
    <row r="135" spans="1:22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7"/>
      <c r="M135" s="57"/>
      <c r="N135" s="57"/>
      <c r="O135" s="57"/>
      <c r="P135" s="94"/>
      <c r="Q135" s="85"/>
      <c r="R135" s="76"/>
      <c r="S135" s="76"/>
      <c r="T135" s="76"/>
      <c r="U135" s="76"/>
      <c r="V135" s="76"/>
    </row>
    <row r="136" spans="1:2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7"/>
      <c r="M136" s="57"/>
      <c r="N136" s="57"/>
      <c r="O136" s="57"/>
      <c r="P136" s="94"/>
      <c r="Q136" s="85"/>
      <c r="R136" s="76"/>
      <c r="S136" s="76"/>
      <c r="T136" s="76"/>
      <c r="U136" s="76"/>
      <c r="V136" s="76"/>
    </row>
    <row r="137" spans="1:22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7"/>
      <c r="M137" s="57"/>
      <c r="N137" s="57"/>
      <c r="O137" s="57"/>
      <c r="P137" s="94"/>
      <c r="Q137" s="85"/>
      <c r="R137" s="76"/>
      <c r="S137" s="76"/>
      <c r="T137" s="76"/>
      <c r="U137" s="76"/>
      <c r="V137" s="76"/>
    </row>
    <row r="138" spans="1:22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7"/>
      <c r="M138" s="57"/>
      <c r="N138" s="57"/>
      <c r="O138" s="57"/>
      <c r="P138" s="94"/>
      <c r="Q138" s="85"/>
      <c r="R138" s="76"/>
      <c r="S138" s="76"/>
      <c r="T138" s="76"/>
      <c r="U138" s="76"/>
      <c r="V138" s="76"/>
    </row>
    <row r="139" spans="1:22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7"/>
      <c r="M139" s="57"/>
      <c r="N139" s="57"/>
      <c r="O139" s="57"/>
      <c r="P139" s="94"/>
      <c r="Q139" s="85"/>
      <c r="R139" s="76"/>
      <c r="S139" s="76"/>
      <c r="T139" s="76"/>
      <c r="U139" s="76"/>
      <c r="V139" s="76"/>
    </row>
    <row r="140" spans="1:2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7"/>
      <c r="M140" s="57"/>
      <c r="N140" s="57"/>
      <c r="O140" s="57"/>
      <c r="P140" s="94"/>
      <c r="Q140" s="85"/>
      <c r="R140" s="76"/>
      <c r="S140" s="76"/>
      <c r="T140" s="76"/>
      <c r="U140" s="76"/>
      <c r="V140" s="76"/>
    </row>
    <row r="141" spans="1:22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7"/>
      <c r="M141" s="57"/>
      <c r="N141" s="57"/>
      <c r="O141" s="57"/>
      <c r="P141" s="94"/>
      <c r="Q141" s="85"/>
      <c r="R141" s="76"/>
      <c r="S141" s="76"/>
      <c r="T141" s="76"/>
      <c r="U141" s="76"/>
      <c r="V141" s="76"/>
    </row>
    <row r="142" spans="1:2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7"/>
      <c r="M142" s="57"/>
      <c r="N142" s="57"/>
      <c r="O142" s="57"/>
      <c r="P142" s="94"/>
      <c r="Q142" s="85"/>
      <c r="R142" s="76"/>
      <c r="S142" s="76"/>
      <c r="T142" s="76"/>
      <c r="U142" s="76"/>
      <c r="V142" s="76"/>
    </row>
    <row r="143" spans="1:22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7"/>
      <c r="M143" s="57"/>
      <c r="N143" s="57"/>
      <c r="O143" s="57"/>
      <c r="P143" s="94"/>
      <c r="Q143" s="85"/>
      <c r="R143" s="76"/>
      <c r="S143" s="76"/>
      <c r="T143" s="76"/>
      <c r="U143" s="76"/>
      <c r="V143" s="76"/>
    </row>
    <row r="144" spans="1:22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7"/>
      <c r="M144" s="57"/>
      <c r="N144" s="57"/>
      <c r="O144" s="57"/>
      <c r="P144" s="94"/>
      <c r="Q144" s="85"/>
      <c r="R144" s="76"/>
      <c r="S144" s="76"/>
      <c r="T144" s="76"/>
      <c r="U144" s="76"/>
      <c r="V144" s="76"/>
    </row>
    <row r="145" spans="1:22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7"/>
      <c r="M145" s="57"/>
      <c r="N145" s="57"/>
      <c r="O145" s="57"/>
      <c r="P145" s="94"/>
      <c r="Q145" s="85"/>
      <c r="R145" s="76"/>
      <c r="S145" s="76"/>
      <c r="T145" s="76"/>
      <c r="U145" s="76"/>
      <c r="V145" s="76"/>
    </row>
    <row r="146" spans="1:2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7"/>
      <c r="M146" s="57"/>
      <c r="N146" s="57"/>
      <c r="O146" s="57"/>
      <c r="P146" s="94"/>
      <c r="Q146" s="85"/>
      <c r="R146" s="76"/>
      <c r="S146" s="76"/>
      <c r="T146" s="76"/>
      <c r="U146" s="76"/>
      <c r="V146" s="76"/>
    </row>
    <row r="147" spans="1:2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7"/>
      <c r="M147" s="57"/>
      <c r="N147" s="57"/>
      <c r="O147" s="57"/>
      <c r="P147" s="94"/>
      <c r="Q147" s="85"/>
      <c r="R147" s="76"/>
      <c r="S147" s="76"/>
      <c r="T147" s="76"/>
      <c r="U147" s="76"/>
      <c r="V147" s="76"/>
    </row>
    <row r="148" spans="1:22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7"/>
      <c r="M148" s="57"/>
      <c r="N148" s="57"/>
      <c r="O148" s="57"/>
      <c r="P148" s="94"/>
      <c r="Q148" s="85"/>
      <c r="R148" s="76"/>
      <c r="S148" s="76"/>
      <c r="T148" s="76"/>
      <c r="U148" s="76"/>
      <c r="V148" s="76"/>
    </row>
    <row r="149" spans="1:22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7"/>
      <c r="M149" s="57"/>
      <c r="N149" s="57"/>
      <c r="O149" s="57"/>
      <c r="P149" s="94"/>
      <c r="Q149" s="85"/>
      <c r="R149" s="76"/>
      <c r="S149" s="76"/>
      <c r="T149" s="76"/>
      <c r="U149" s="76"/>
      <c r="V149" s="76"/>
    </row>
    <row r="150" spans="1:22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7"/>
      <c r="M150" s="57"/>
      <c r="N150" s="57"/>
      <c r="O150" s="57"/>
      <c r="P150" s="94"/>
      <c r="Q150" s="85"/>
      <c r="R150" s="76"/>
      <c r="S150" s="76"/>
      <c r="T150" s="76"/>
      <c r="U150" s="76"/>
      <c r="V150" s="76"/>
    </row>
    <row r="151" spans="1:22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7"/>
      <c r="M151" s="57"/>
      <c r="N151" s="57"/>
      <c r="O151" s="57"/>
      <c r="P151" s="94"/>
      <c r="Q151" s="85"/>
      <c r="R151" s="76"/>
      <c r="S151" s="76"/>
      <c r="T151" s="76"/>
      <c r="U151" s="76"/>
      <c r="V151" s="76"/>
    </row>
    <row r="152" spans="1:2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7"/>
      <c r="M152" s="57"/>
      <c r="N152" s="57"/>
      <c r="O152" s="57"/>
      <c r="P152" s="94"/>
      <c r="Q152" s="85"/>
      <c r="R152" s="76"/>
      <c r="S152" s="76"/>
      <c r="T152" s="76"/>
      <c r="U152" s="76"/>
      <c r="V152" s="76"/>
    </row>
    <row r="153" spans="1:2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7"/>
      <c r="M153" s="57"/>
      <c r="N153" s="57"/>
      <c r="O153" s="57"/>
      <c r="P153" s="94"/>
      <c r="Q153" s="85"/>
      <c r="R153" s="76"/>
      <c r="S153" s="76"/>
      <c r="T153" s="76"/>
      <c r="U153" s="76"/>
      <c r="V153" s="76"/>
    </row>
    <row r="154" spans="1:22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7"/>
      <c r="M154" s="57"/>
      <c r="N154" s="57"/>
      <c r="O154" s="57"/>
      <c r="P154" s="94"/>
      <c r="Q154" s="85"/>
      <c r="R154" s="76"/>
      <c r="S154" s="76"/>
      <c r="T154" s="76"/>
      <c r="U154" s="76"/>
      <c r="V154" s="76"/>
    </row>
    <row r="155" spans="1:22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7"/>
      <c r="M155" s="57"/>
      <c r="N155" s="57"/>
      <c r="O155" s="57"/>
      <c r="P155" s="94"/>
      <c r="Q155" s="85"/>
      <c r="R155" s="76"/>
      <c r="S155" s="76"/>
      <c r="T155" s="76"/>
      <c r="U155" s="76"/>
      <c r="V155" s="76"/>
    </row>
    <row r="156" spans="1:22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7"/>
      <c r="M156" s="57"/>
      <c r="N156" s="57"/>
      <c r="O156" s="57"/>
      <c r="P156" s="94"/>
      <c r="Q156" s="85"/>
      <c r="R156" s="76"/>
      <c r="S156" s="76"/>
      <c r="T156" s="76"/>
      <c r="U156" s="76"/>
      <c r="V156" s="76"/>
    </row>
    <row r="157" spans="1:2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7"/>
      <c r="M157" s="57"/>
      <c r="N157" s="57"/>
      <c r="O157" s="57"/>
      <c r="P157" s="94"/>
      <c r="Q157" s="85"/>
      <c r="R157" s="76"/>
      <c r="S157" s="76"/>
      <c r="T157" s="76"/>
      <c r="U157" s="76"/>
      <c r="V157" s="76"/>
    </row>
    <row r="158" spans="1:2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7"/>
      <c r="M158" s="57"/>
      <c r="N158" s="57"/>
      <c r="O158" s="57"/>
      <c r="P158" s="94"/>
      <c r="Q158" s="85"/>
      <c r="R158" s="76"/>
      <c r="S158" s="76"/>
      <c r="T158" s="76"/>
      <c r="U158" s="76"/>
      <c r="V158" s="76"/>
    </row>
    <row r="159" spans="1:22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7"/>
      <c r="M159" s="57"/>
      <c r="N159" s="57"/>
      <c r="O159" s="57"/>
      <c r="P159" s="94"/>
      <c r="Q159" s="85"/>
      <c r="R159" s="76"/>
      <c r="S159" s="76"/>
      <c r="T159" s="76"/>
      <c r="U159" s="76"/>
      <c r="V159" s="76"/>
    </row>
    <row r="160" spans="1:22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7"/>
      <c r="M160" s="57"/>
      <c r="N160" s="57"/>
      <c r="O160" s="57"/>
      <c r="P160" s="94"/>
      <c r="Q160" s="85"/>
      <c r="R160" s="76"/>
      <c r="S160" s="76"/>
      <c r="T160" s="76"/>
      <c r="U160" s="76"/>
      <c r="V160" s="76"/>
    </row>
    <row r="161" spans="1:22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7"/>
      <c r="M161" s="57"/>
      <c r="N161" s="57"/>
      <c r="O161" s="57"/>
      <c r="P161" s="94"/>
      <c r="Q161" s="85"/>
      <c r="R161" s="76"/>
      <c r="S161" s="76"/>
      <c r="T161" s="76"/>
      <c r="U161" s="76"/>
      <c r="V161" s="76"/>
    </row>
    <row r="162" spans="1:2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7"/>
      <c r="M162" s="57"/>
      <c r="N162" s="57"/>
      <c r="O162" s="57"/>
      <c r="P162" s="94"/>
      <c r="Q162" s="85"/>
      <c r="R162" s="76"/>
      <c r="S162" s="76"/>
      <c r="T162" s="76"/>
      <c r="U162" s="76"/>
      <c r="V162" s="76"/>
    </row>
    <row r="163" spans="1:2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7"/>
      <c r="M163" s="57"/>
      <c r="N163" s="57"/>
      <c r="O163" s="57"/>
      <c r="P163" s="94"/>
      <c r="Q163" s="85"/>
      <c r="R163" s="76"/>
      <c r="S163" s="76"/>
      <c r="T163" s="76"/>
      <c r="U163" s="76"/>
      <c r="V163" s="76"/>
    </row>
    <row r="164" spans="1:22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7"/>
      <c r="M164" s="57"/>
      <c r="N164" s="57"/>
      <c r="O164" s="57"/>
      <c r="P164" s="94"/>
      <c r="Q164" s="85"/>
      <c r="R164" s="76"/>
      <c r="S164" s="76"/>
      <c r="T164" s="76"/>
      <c r="U164" s="76"/>
      <c r="V164" s="76"/>
    </row>
    <row r="165" spans="1:22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7"/>
      <c r="M165" s="57"/>
      <c r="N165" s="57"/>
      <c r="O165" s="57"/>
      <c r="P165" s="94"/>
      <c r="Q165" s="85"/>
      <c r="R165" s="76"/>
      <c r="S165" s="76"/>
      <c r="T165" s="76"/>
      <c r="U165" s="76"/>
      <c r="V165" s="76"/>
    </row>
    <row r="166" spans="1:22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7"/>
      <c r="M166" s="57"/>
      <c r="N166" s="57"/>
      <c r="O166" s="57"/>
      <c r="P166" s="94"/>
      <c r="Q166" s="85"/>
      <c r="R166" s="76"/>
      <c r="S166" s="76"/>
      <c r="T166" s="76"/>
      <c r="U166" s="76"/>
      <c r="V166" s="76"/>
    </row>
    <row r="167" spans="1:22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7"/>
      <c r="M167" s="57"/>
      <c r="N167" s="57"/>
      <c r="O167" s="57"/>
      <c r="P167" s="94"/>
      <c r="Q167" s="85"/>
      <c r="R167" s="76"/>
      <c r="S167" s="76"/>
      <c r="T167" s="76"/>
      <c r="U167" s="76"/>
      <c r="V167" s="76"/>
    </row>
    <row r="168" spans="1:22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7"/>
      <c r="M168" s="57"/>
      <c r="N168" s="57"/>
      <c r="O168" s="57"/>
      <c r="P168" s="94"/>
      <c r="Q168" s="85"/>
      <c r="R168" s="76"/>
      <c r="S168" s="76"/>
      <c r="T168" s="76"/>
      <c r="U168" s="76"/>
      <c r="V168" s="76"/>
    </row>
    <row r="169" spans="1:22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7"/>
      <c r="M169" s="57"/>
      <c r="N169" s="57"/>
      <c r="O169" s="57"/>
      <c r="P169" s="94"/>
      <c r="Q169" s="85"/>
      <c r="R169" s="76"/>
      <c r="S169" s="76"/>
      <c r="T169" s="76"/>
      <c r="U169" s="76"/>
      <c r="V169" s="76"/>
    </row>
    <row r="170" spans="1:2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7"/>
      <c r="M170" s="57"/>
      <c r="N170" s="57"/>
      <c r="O170" s="57"/>
      <c r="P170" s="94"/>
      <c r="Q170" s="85"/>
      <c r="R170" s="76"/>
      <c r="S170" s="76"/>
      <c r="T170" s="76"/>
      <c r="U170" s="76"/>
      <c r="V170" s="76"/>
    </row>
    <row r="171" spans="1:22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7"/>
      <c r="M171" s="57"/>
      <c r="N171" s="57"/>
      <c r="O171" s="57"/>
      <c r="P171" s="94"/>
      <c r="Q171" s="85"/>
      <c r="R171" s="76"/>
      <c r="S171" s="76"/>
      <c r="T171" s="76"/>
      <c r="U171" s="76"/>
      <c r="V171" s="76"/>
    </row>
    <row r="172" spans="1:2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7"/>
      <c r="M172" s="57"/>
      <c r="N172" s="57"/>
      <c r="O172" s="57"/>
      <c r="P172" s="94"/>
      <c r="Q172" s="85"/>
      <c r="R172" s="76"/>
      <c r="S172" s="76"/>
      <c r="T172" s="76"/>
      <c r="U172" s="76"/>
      <c r="V172" s="76"/>
    </row>
    <row r="173" spans="1:22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7"/>
      <c r="M173" s="57"/>
      <c r="N173" s="57"/>
      <c r="O173" s="57"/>
      <c r="P173" s="94"/>
      <c r="Q173" s="85"/>
      <c r="R173" s="76"/>
      <c r="S173" s="76"/>
      <c r="T173" s="76"/>
      <c r="U173" s="76"/>
      <c r="V173" s="76"/>
    </row>
    <row r="174" spans="1:22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7"/>
      <c r="M174" s="57"/>
      <c r="N174" s="57"/>
      <c r="O174" s="57"/>
      <c r="P174" s="94"/>
      <c r="Q174" s="85"/>
      <c r="R174" s="76"/>
      <c r="S174" s="76"/>
      <c r="T174" s="76"/>
      <c r="U174" s="76"/>
      <c r="V174" s="76"/>
    </row>
    <row r="175" spans="1:22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7"/>
      <c r="M175" s="57"/>
      <c r="N175" s="57"/>
      <c r="O175" s="57"/>
      <c r="P175" s="94"/>
      <c r="Q175" s="85"/>
      <c r="R175" s="76"/>
      <c r="S175" s="76"/>
      <c r="T175" s="76"/>
      <c r="U175" s="76"/>
      <c r="V175" s="76"/>
    </row>
    <row r="176" spans="1:22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7"/>
      <c r="M176" s="57"/>
      <c r="N176" s="57"/>
      <c r="O176" s="57"/>
      <c r="P176" s="94"/>
      <c r="Q176" s="85"/>
      <c r="R176" s="76"/>
      <c r="S176" s="76"/>
      <c r="T176" s="76"/>
      <c r="U176" s="76"/>
      <c r="V176" s="76"/>
    </row>
    <row r="177" spans="1:22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7"/>
      <c r="M177" s="57"/>
      <c r="N177" s="57"/>
      <c r="O177" s="57"/>
      <c r="P177" s="94"/>
      <c r="Q177" s="85"/>
      <c r="R177" s="76"/>
      <c r="S177" s="76"/>
      <c r="T177" s="76"/>
      <c r="U177" s="76"/>
      <c r="V177" s="76"/>
    </row>
    <row r="178" spans="1:22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7"/>
      <c r="M178" s="57"/>
      <c r="N178" s="57"/>
      <c r="O178" s="57"/>
      <c r="P178" s="94"/>
      <c r="Q178" s="85"/>
      <c r="R178" s="76"/>
      <c r="S178" s="76"/>
      <c r="T178" s="76"/>
      <c r="U178" s="76"/>
      <c r="V178" s="76"/>
    </row>
    <row r="179" spans="1:22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7"/>
      <c r="M179" s="57"/>
      <c r="N179" s="57"/>
      <c r="O179" s="57"/>
      <c r="P179" s="94"/>
      <c r="Q179" s="85"/>
      <c r="R179" s="76"/>
      <c r="S179" s="76"/>
      <c r="T179" s="76"/>
      <c r="U179" s="76"/>
      <c r="V179" s="76"/>
    </row>
    <row r="180" spans="1:22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7"/>
      <c r="M180" s="57"/>
      <c r="N180" s="57"/>
      <c r="O180" s="57"/>
      <c r="P180" s="94"/>
      <c r="Q180" s="85"/>
      <c r="R180" s="76"/>
      <c r="S180" s="76"/>
      <c r="T180" s="76"/>
      <c r="U180" s="76"/>
      <c r="V180" s="76"/>
    </row>
    <row r="181" spans="1:22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7"/>
      <c r="M181" s="57"/>
      <c r="N181" s="57"/>
      <c r="O181" s="57"/>
      <c r="P181" s="94"/>
      <c r="Q181" s="85"/>
      <c r="R181" s="76"/>
      <c r="S181" s="76"/>
      <c r="T181" s="76"/>
      <c r="U181" s="76"/>
      <c r="V181" s="76"/>
    </row>
    <row r="182" spans="1:2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7"/>
      <c r="M182" s="57"/>
      <c r="N182" s="57"/>
      <c r="O182" s="57"/>
      <c r="P182" s="94"/>
      <c r="Q182" s="85"/>
      <c r="R182" s="76"/>
      <c r="S182" s="76"/>
      <c r="T182" s="76"/>
      <c r="U182" s="76"/>
      <c r="V182" s="76"/>
    </row>
    <row r="183" spans="1:22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7"/>
      <c r="M183" s="57"/>
      <c r="N183" s="57"/>
      <c r="O183" s="57"/>
      <c r="P183" s="94"/>
      <c r="Q183" s="85"/>
      <c r="R183" s="76"/>
      <c r="S183" s="76"/>
      <c r="T183" s="76"/>
      <c r="U183" s="76"/>
      <c r="V183" s="76"/>
    </row>
    <row r="184" spans="1:22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7"/>
      <c r="M184" s="57"/>
      <c r="N184" s="57"/>
      <c r="O184" s="57"/>
      <c r="P184" s="94"/>
      <c r="Q184" s="85"/>
      <c r="R184" s="76"/>
      <c r="S184" s="76"/>
      <c r="T184" s="76"/>
      <c r="U184" s="76"/>
      <c r="V184" s="76"/>
    </row>
    <row r="185" spans="1:2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7"/>
      <c r="M185" s="92"/>
      <c r="N185" s="92"/>
      <c r="O185" s="92"/>
      <c r="P185" s="93"/>
      <c r="Q185" s="92"/>
      <c r="R185" s="76"/>
      <c r="S185" s="76"/>
      <c r="T185" s="76"/>
      <c r="U185" s="76"/>
      <c r="V185" s="76"/>
    </row>
    <row r="186" spans="1:22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</row>
    <row r="187" spans="1:22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</row>
    <row r="188" spans="1:22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</row>
    <row r="189" spans="1:22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</row>
    <row r="190" spans="1:2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</row>
    <row r="191" spans="1:22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</row>
    <row r="192" spans="1:2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</row>
    <row r="193" spans="1:22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</row>
    <row r="194" spans="1:22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</row>
    <row r="195" spans="1:2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</row>
    <row r="196" spans="1:22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</row>
    <row r="197" spans="1:22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</row>
    <row r="198" spans="1:22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</row>
    <row r="199" spans="1:22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</row>
    <row r="200" spans="1:22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</row>
    <row r="201" spans="1:22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</row>
    <row r="202" spans="1:2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</row>
    <row r="203" spans="1:22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</row>
    <row r="204" spans="1:22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</row>
    <row r="205" spans="1:22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</row>
    <row r="206" spans="1:22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</row>
    <row r="207" spans="1:22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</row>
    <row r="208" spans="1:22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</row>
    <row r="209" spans="1:2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</row>
    <row r="210" spans="1:22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</row>
    <row r="211" spans="1:22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</row>
    <row r="212" spans="1:2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</row>
    <row r="213" spans="1:22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</row>
    <row r="214" spans="1:2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</row>
    <row r="215" spans="1:22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</row>
    <row r="216" spans="1:22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</row>
    <row r="217" spans="1:22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</row>
    <row r="218" spans="1:2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</row>
    <row r="219" spans="1:22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</row>
    <row r="220" spans="1:22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</row>
    <row r="221" spans="1:22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</row>
    <row r="222" spans="1: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F1" zoomScaleNormal="100" workbookViewId="0">
      <selection activeCell="P4" sqref="P4"/>
    </sheetView>
  </sheetViews>
  <sheetFormatPr baseColWidth="10" defaultColWidth="11.42578125" defaultRowHeight="12.75"/>
  <cols>
    <col min="1" max="1" width="28.28515625" style="18" bestFit="1" customWidth="1"/>
    <col min="2" max="2" width="17.7109375" style="18" customWidth="1"/>
    <col min="3" max="3" width="18.28515625" style="18" customWidth="1"/>
    <col min="4" max="4" width="15.5703125" style="18" customWidth="1"/>
    <col min="5" max="5" width="21.7109375" style="18" customWidth="1"/>
    <col min="6" max="6" width="23.42578125" style="18" customWidth="1"/>
    <col min="7" max="7" width="18.28515625" style="18" customWidth="1"/>
    <col min="8" max="8" width="17.5703125" style="18" customWidth="1"/>
    <col min="9" max="9" width="18.42578125" style="18" customWidth="1"/>
    <col min="10" max="10" width="21.42578125" style="18" customWidth="1"/>
    <col min="11" max="11" width="17.140625" style="18" customWidth="1"/>
    <col min="12" max="12" width="33.28515625" style="18" customWidth="1"/>
    <col min="13" max="13" width="21.42578125" style="18" customWidth="1"/>
    <col min="14" max="14" width="17.7109375" style="18" customWidth="1"/>
    <col min="15" max="15" width="17.7109375" style="18" bestFit="1" customWidth="1"/>
    <col min="16" max="16" width="22.7109375" style="18" customWidth="1"/>
    <col min="17" max="17" width="20.7109375" style="18" customWidth="1"/>
    <col min="18" max="18" width="0.28515625" style="18" customWidth="1"/>
    <col min="19" max="20" width="11.42578125" style="18" customWidth="1"/>
    <col min="21" max="21" width="21.28515625" style="18" customWidth="1"/>
    <col min="22" max="22" width="16.7109375" style="18" bestFit="1" customWidth="1"/>
    <col min="23" max="24" width="15.28515625" style="18" bestFit="1" customWidth="1"/>
    <col min="25" max="25" width="14.28515625" style="18" bestFit="1" customWidth="1"/>
    <col min="26" max="26" width="13.28515625" style="18" bestFit="1" customWidth="1"/>
    <col min="27" max="27" width="12.5703125" style="18" bestFit="1" customWidth="1"/>
    <col min="28" max="28" width="14.28515625" style="18" bestFit="1" customWidth="1"/>
    <col min="29" max="16384" width="11.42578125" style="18"/>
  </cols>
  <sheetData>
    <row r="1" spans="1:29" ht="38.25" customHeight="1" thickBot="1">
      <c r="A1" s="39"/>
      <c r="B1" s="433" t="s">
        <v>150</v>
      </c>
      <c r="C1" s="433"/>
      <c r="D1" s="433"/>
      <c r="E1" s="433"/>
      <c r="F1" s="433" t="s">
        <v>149</v>
      </c>
      <c r="G1" s="433"/>
      <c r="H1" s="433"/>
      <c r="I1" s="433"/>
      <c r="J1" s="50" t="s">
        <v>148</v>
      </c>
      <c r="L1" s="434" t="s">
        <v>147</v>
      </c>
      <c r="M1" s="434"/>
      <c r="N1" s="434"/>
      <c r="O1" s="434"/>
      <c r="P1" s="434"/>
      <c r="Q1" s="434"/>
      <c r="T1" s="49"/>
    </row>
    <row r="2" spans="1:29" ht="68.25" customHeight="1" thickTop="1" thickBot="1">
      <c r="A2" s="48" t="s">
        <v>0</v>
      </c>
      <c r="B2" s="47" t="s">
        <v>334</v>
      </c>
      <c r="C2" s="46" t="s">
        <v>333</v>
      </c>
      <c r="D2" s="46" t="s">
        <v>146</v>
      </c>
      <c r="E2" s="45" t="s">
        <v>145</v>
      </c>
      <c r="F2" s="46" t="s">
        <v>224</v>
      </c>
      <c r="G2" s="46" t="s">
        <v>144</v>
      </c>
      <c r="H2" s="46" t="s">
        <v>143</v>
      </c>
      <c r="I2" s="43" t="s">
        <v>223</v>
      </c>
      <c r="J2" s="44" t="s">
        <v>142</v>
      </c>
      <c r="L2" s="48" t="s">
        <v>0</v>
      </c>
      <c r="M2" s="47" t="s">
        <v>141</v>
      </c>
      <c r="N2" s="46" t="s">
        <v>140</v>
      </c>
      <c r="O2" s="45" t="s">
        <v>139</v>
      </c>
      <c r="P2" s="44" t="s">
        <v>138</v>
      </c>
      <c r="Q2" s="43" t="s">
        <v>78</v>
      </c>
    </row>
    <row r="3" spans="1:29" ht="26.25" customHeight="1" thickTop="1">
      <c r="A3" s="39"/>
      <c r="B3" s="42" t="s">
        <v>137</v>
      </c>
      <c r="C3" s="42" t="s">
        <v>136</v>
      </c>
      <c r="D3" s="42" t="s">
        <v>135</v>
      </c>
      <c r="E3" s="42" t="s">
        <v>134</v>
      </c>
      <c r="F3" s="42" t="s">
        <v>133</v>
      </c>
      <c r="G3" s="42" t="s">
        <v>132</v>
      </c>
      <c r="H3" s="42"/>
      <c r="I3" s="42" t="s">
        <v>131</v>
      </c>
      <c r="J3" s="42" t="s">
        <v>130</v>
      </c>
      <c r="M3" s="41">
        <f>M4*P3</f>
        <v>-2470468.5</v>
      </c>
      <c r="N3" s="41">
        <f>P3*N4</f>
        <v>-1482281.0999999999</v>
      </c>
      <c r="O3" s="41">
        <f>P3*O4</f>
        <v>-988187.4</v>
      </c>
      <c r="P3" s="41">
        <f>+'PART MES'!O14</f>
        <v>-4940937</v>
      </c>
    </row>
    <row r="4" spans="1:29" ht="13.5" thickBot="1">
      <c r="F4" s="40"/>
      <c r="G4" s="39"/>
      <c r="H4" s="39"/>
      <c r="I4" s="39"/>
      <c r="M4" s="175">
        <v>0.5</v>
      </c>
      <c r="N4" s="175">
        <v>0.3</v>
      </c>
      <c r="O4" s="175">
        <v>0.2</v>
      </c>
      <c r="P4" s="38" t="s">
        <v>129</v>
      </c>
      <c r="Q4" s="38"/>
    </row>
    <row r="5" spans="1:29" ht="13.5" thickTop="1">
      <c r="A5" s="34" t="s">
        <v>1</v>
      </c>
      <c r="B5" s="33">
        <v>685947</v>
      </c>
      <c r="C5" s="32">
        <v>200922.61</v>
      </c>
      <c r="D5" s="176">
        <f t="shared" ref="D5:D55" si="0">IFERROR(C5/B5,0)</f>
        <v>0.29291273232480058</v>
      </c>
      <c r="E5" s="37">
        <f t="shared" ref="E5:E55" si="1">IFERROR(D5/$D$56,0)</f>
        <v>1.9405813645909795E-2</v>
      </c>
      <c r="F5" s="162">
        <v>145672.85</v>
      </c>
      <c r="G5" s="163">
        <f t="shared" ref="G5:G55" si="2">IFERROR((C5/F5)-1,0)</f>
        <v>0.37927287068249149</v>
      </c>
      <c r="H5" s="36">
        <f t="shared" ref="H5:H55" si="3">IF(G5&lt;0,0,G5)</f>
        <v>0.37927287068249149</v>
      </c>
      <c r="I5" s="29">
        <f t="shared" ref="I5:I55" si="4">IFERROR(H5/$H$56,0)</f>
        <v>3.7057701352851399E-2</v>
      </c>
      <c r="J5" s="35">
        <f t="shared" ref="J5:J55" si="5">IFERROR(C5/$C$56,0)</f>
        <v>8.7744211780839887E-5</v>
      </c>
      <c r="L5" s="34" t="s">
        <v>1</v>
      </c>
      <c r="M5" s="33">
        <f t="shared" ref="M5:M55" si="6">IFERROR($M$3*E5,0)</f>
        <v>-47941.451329090305</v>
      </c>
      <c r="N5" s="32">
        <f t="shared" ref="N5:N55" si="7">IFERROR($N$3*I5,0)</f>
        <v>-54929.930324776054</v>
      </c>
      <c r="O5" s="31">
        <f t="shared" ref="O5:O55" si="8">IFERROR($O$3*J5,0)</f>
        <v>-86.707724504757536</v>
      </c>
      <c r="P5" s="30">
        <f>IFERROR(SUM(M5:O5),2)</f>
        <v>-102958.08937837111</v>
      </c>
      <c r="Q5" s="196">
        <f t="shared" ref="Q5:Q55" si="9">IFERROR(P5/$P$56,0)</f>
        <v>2.0837766071166483E-2</v>
      </c>
      <c r="S5" s="19" t="s">
        <v>155</v>
      </c>
      <c r="T5" s="19"/>
      <c r="AC5" s="19"/>
    </row>
    <row r="6" spans="1:29">
      <c r="A6" s="24" t="s">
        <v>2</v>
      </c>
      <c r="B6" s="23">
        <v>2702829</v>
      </c>
      <c r="C6" s="22">
        <v>996274</v>
      </c>
      <c r="D6" s="177">
        <f t="shared" si="0"/>
        <v>0.3686041551278309</v>
      </c>
      <c r="E6" s="28">
        <f t="shared" si="1"/>
        <v>2.4420459591312445E-2</v>
      </c>
      <c r="F6" s="57">
        <v>768052</v>
      </c>
      <c r="G6" s="164">
        <f t="shared" si="2"/>
        <v>0.29714394337883365</v>
      </c>
      <c r="H6" s="26">
        <f t="shared" si="3"/>
        <v>0.29714394337883365</v>
      </c>
      <c r="I6" s="20">
        <f t="shared" si="4"/>
        <v>2.9033111418506025E-2</v>
      </c>
      <c r="J6" s="25">
        <f t="shared" si="5"/>
        <v>4.3507934148249658E-4</v>
      </c>
      <c r="L6" s="24" t="s">
        <v>2</v>
      </c>
      <c r="M6" s="23">
        <f t="shared" si="6"/>
        <v>-60329.976175860269</v>
      </c>
      <c r="N6" s="22">
        <f t="shared" si="7"/>
        <v>-43035.232329845669</v>
      </c>
      <c r="O6" s="21">
        <f t="shared" si="8"/>
        <v>-429.93992325330044</v>
      </c>
      <c r="P6" s="165">
        <f t="shared" ref="P6:P55" si="10">IFERROR(SUM(M6:O6),2)</f>
        <v>-103795.14842895923</v>
      </c>
      <c r="Q6" s="197">
        <f t="shared" si="9"/>
        <v>2.100717908950453E-2</v>
      </c>
      <c r="S6" s="19"/>
      <c r="T6" s="19"/>
      <c r="U6" s="19"/>
      <c r="V6" s="19"/>
      <c r="W6" s="19"/>
      <c r="X6" s="19"/>
      <c r="Y6" s="19"/>
      <c r="Z6" s="19"/>
    </row>
    <row r="7" spans="1:29">
      <c r="A7" s="24" t="s">
        <v>3</v>
      </c>
      <c r="B7" s="23">
        <v>1181103</v>
      </c>
      <c r="C7" s="22">
        <v>288767</v>
      </c>
      <c r="D7" s="177">
        <f t="shared" si="0"/>
        <v>0.24448926130913223</v>
      </c>
      <c r="E7" s="28">
        <f t="shared" si="1"/>
        <v>1.619770163534626E-2</v>
      </c>
      <c r="F7" s="57">
        <v>272877</v>
      </c>
      <c r="G7" s="164">
        <f t="shared" si="2"/>
        <v>5.8231364314324852E-2</v>
      </c>
      <c r="H7" s="26">
        <f t="shared" si="3"/>
        <v>5.8231364314324852E-2</v>
      </c>
      <c r="I7" s="20">
        <f t="shared" si="4"/>
        <v>5.6896252670174318E-3</v>
      </c>
      <c r="J7" s="25">
        <f t="shared" si="5"/>
        <v>1.2610642875541877E-4</v>
      </c>
      <c r="L7" s="24" t="s">
        <v>3</v>
      </c>
      <c r="M7" s="23">
        <f t="shared" si="6"/>
        <v>-40015.911662521423</v>
      </c>
      <c r="N7" s="22">
        <f t="shared" si="7"/>
        <v>-8433.623999382391</v>
      </c>
      <c r="O7" s="21">
        <f t="shared" si="8"/>
        <v>-124.61678395510252</v>
      </c>
      <c r="P7" s="165">
        <f t="shared" si="10"/>
        <v>-48574.152445858919</v>
      </c>
      <c r="Q7" s="197">
        <f t="shared" si="9"/>
        <v>9.8309596835294433E-3</v>
      </c>
      <c r="S7" s="19"/>
      <c r="T7" s="19"/>
      <c r="U7" s="19"/>
      <c r="V7" s="19"/>
      <c r="W7" s="19"/>
      <c r="X7" s="19"/>
      <c r="Y7" s="19"/>
      <c r="Z7" s="19"/>
    </row>
    <row r="8" spans="1:29">
      <c r="A8" s="24" t="s">
        <v>4</v>
      </c>
      <c r="B8" s="23">
        <v>56374737</v>
      </c>
      <c r="C8" s="22">
        <v>25832482</v>
      </c>
      <c r="D8" s="177">
        <f t="shared" si="0"/>
        <v>0.45822798250925767</v>
      </c>
      <c r="E8" s="28">
        <f t="shared" si="1"/>
        <v>3.0358143756125711E-2</v>
      </c>
      <c r="F8" s="57">
        <v>23142962</v>
      </c>
      <c r="G8" s="164">
        <f t="shared" si="2"/>
        <v>0.11621330061381085</v>
      </c>
      <c r="H8" s="26">
        <f t="shared" si="3"/>
        <v>0.11621330061381085</v>
      </c>
      <c r="I8" s="20">
        <f t="shared" si="4"/>
        <v>1.1354879613788711E-2</v>
      </c>
      <c r="J8" s="25">
        <f t="shared" si="5"/>
        <v>1.1281213057269833E-2</v>
      </c>
      <c r="L8" s="24" t="s">
        <v>4</v>
      </c>
      <c r="M8" s="23">
        <f t="shared" si="6"/>
        <v>-74998.837867980255</v>
      </c>
      <c r="N8" s="22">
        <f t="shared" si="7"/>
        <v>-16831.123444294302</v>
      </c>
      <c r="O8" s="21">
        <f t="shared" si="8"/>
        <v>-11147.952599909528</v>
      </c>
      <c r="P8" s="165">
        <f t="shared" si="10"/>
        <v>-102977.9139121841</v>
      </c>
      <c r="Q8" s="197">
        <f t="shared" si="9"/>
        <v>2.084177837365344E-2</v>
      </c>
      <c r="S8" s="19"/>
      <c r="T8" s="19"/>
      <c r="U8" s="19"/>
      <c r="V8" s="19"/>
      <c r="W8" s="19"/>
      <c r="X8" s="19"/>
      <c r="Y8" s="19"/>
      <c r="Z8" s="19"/>
    </row>
    <row r="9" spans="1:29">
      <c r="A9" s="24" t="s">
        <v>5</v>
      </c>
      <c r="B9" s="23">
        <v>10911069</v>
      </c>
      <c r="C9" s="22">
        <v>1947895</v>
      </c>
      <c r="D9" s="177">
        <f t="shared" si="0"/>
        <v>0.17852467068075548</v>
      </c>
      <c r="E9" s="28">
        <f t="shared" si="1"/>
        <v>1.1827469782319288E-2</v>
      </c>
      <c r="F9" s="57">
        <v>2531264</v>
      </c>
      <c r="G9" s="164">
        <f t="shared" si="2"/>
        <v>-0.23046549075876721</v>
      </c>
      <c r="H9" s="26">
        <f t="shared" si="3"/>
        <v>0</v>
      </c>
      <c r="I9" s="20">
        <f t="shared" si="4"/>
        <v>0</v>
      </c>
      <c r="J9" s="25">
        <f t="shared" si="5"/>
        <v>8.5065842717670808E-4</v>
      </c>
      <c r="L9" s="24" t="s">
        <v>5</v>
      </c>
      <c r="M9" s="23">
        <f t="shared" si="6"/>
        <v>-29219.391531921658</v>
      </c>
      <c r="N9" s="22">
        <f t="shared" si="7"/>
        <v>0</v>
      </c>
      <c r="O9" s="21">
        <f t="shared" si="8"/>
        <v>-840.60993943984056</v>
      </c>
      <c r="P9" s="165">
        <f t="shared" si="10"/>
        <v>-30060.001471361498</v>
      </c>
      <c r="Q9" s="197">
        <f t="shared" si="9"/>
        <v>6.0838665765949856E-3</v>
      </c>
      <c r="S9" s="19"/>
      <c r="T9" s="19"/>
      <c r="U9" s="19"/>
      <c r="V9" s="19"/>
      <c r="W9" s="19"/>
      <c r="X9" s="19"/>
      <c r="Y9" s="19"/>
      <c r="Z9" s="19"/>
    </row>
    <row r="10" spans="1:29">
      <c r="A10" s="24" t="s">
        <v>6</v>
      </c>
      <c r="B10" s="23">
        <v>696327770</v>
      </c>
      <c r="C10" s="22">
        <v>336540527.27999997</v>
      </c>
      <c r="D10" s="177">
        <f t="shared" si="0"/>
        <v>0.48330763439177499</v>
      </c>
      <c r="E10" s="28">
        <f t="shared" si="1"/>
        <v>3.2019700243867417E-2</v>
      </c>
      <c r="F10" s="57">
        <v>299493654.98000002</v>
      </c>
      <c r="G10" s="164">
        <f t="shared" si="2"/>
        <v>0.12369835448592026</v>
      </c>
      <c r="H10" s="26">
        <f t="shared" si="3"/>
        <v>0.12369835448592026</v>
      </c>
      <c r="I10" s="20">
        <f t="shared" si="4"/>
        <v>1.2086223488987319E-2</v>
      </c>
      <c r="J10" s="25">
        <f t="shared" si="5"/>
        <v>0.1469694391213206</v>
      </c>
      <c r="L10" s="24" t="s">
        <v>6</v>
      </c>
      <c r="M10" s="23">
        <f t="shared" si="6"/>
        <v>-79103.660831916772</v>
      </c>
      <c r="N10" s="22">
        <f t="shared" si="7"/>
        <v>-17915.180648101959</v>
      </c>
      <c r="O10" s="21">
        <f t="shared" si="8"/>
        <v>-145233.34792475609</v>
      </c>
      <c r="P10" s="165">
        <f t="shared" si="10"/>
        <v>-242252.18940477481</v>
      </c>
      <c r="Q10" s="197">
        <f t="shared" si="9"/>
        <v>4.9029604992894021E-2</v>
      </c>
      <c r="S10" s="19"/>
      <c r="T10" s="19"/>
      <c r="U10" s="19"/>
      <c r="V10" s="19"/>
      <c r="W10" s="19"/>
      <c r="X10" s="19"/>
      <c r="Y10" s="19"/>
      <c r="Z10" s="19"/>
    </row>
    <row r="11" spans="1:29">
      <c r="A11" s="24" t="s">
        <v>7</v>
      </c>
      <c r="B11" s="23"/>
      <c r="C11" s="22" t="s">
        <v>155</v>
      </c>
      <c r="D11" s="177">
        <f t="shared" si="0"/>
        <v>0</v>
      </c>
      <c r="E11" s="28">
        <f t="shared" si="1"/>
        <v>0</v>
      </c>
      <c r="F11" s="57"/>
      <c r="G11" s="164">
        <f t="shared" si="2"/>
        <v>0</v>
      </c>
      <c r="H11" s="26">
        <f t="shared" si="3"/>
        <v>0</v>
      </c>
      <c r="I11" s="20">
        <f t="shared" si="4"/>
        <v>0</v>
      </c>
      <c r="J11" s="25">
        <f t="shared" si="5"/>
        <v>0</v>
      </c>
      <c r="L11" s="24" t="s">
        <v>7</v>
      </c>
      <c r="M11" s="23">
        <f t="shared" si="6"/>
        <v>0</v>
      </c>
      <c r="N11" s="22">
        <f t="shared" si="7"/>
        <v>0</v>
      </c>
      <c r="O11" s="21">
        <f t="shared" si="8"/>
        <v>0</v>
      </c>
      <c r="P11" s="165">
        <f t="shared" si="10"/>
        <v>0</v>
      </c>
      <c r="Q11" s="197">
        <f t="shared" si="9"/>
        <v>0</v>
      </c>
      <c r="S11" s="19"/>
      <c r="T11" s="19"/>
      <c r="U11" s="19"/>
      <c r="V11" s="19"/>
      <c r="W11" s="19"/>
      <c r="X11" s="19"/>
      <c r="Y11" s="19"/>
      <c r="Z11" s="19"/>
    </row>
    <row r="12" spans="1:29">
      <c r="A12" s="24" t="s">
        <v>8</v>
      </c>
      <c r="B12" s="23">
        <v>2325037</v>
      </c>
      <c r="C12" s="22">
        <v>960189</v>
      </c>
      <c r="D12" s="177">
        <f t="shared" si="0"/>
        <v>0.41297794400691257</v>
      </c>
      <c r="E12" s="28">
        <f t="shared" si="1"/>
        <v>2.7360275388720493E-2</v>
      </c>
      <c r="F12" s="57">
        <v>799410</v>
      </c>
      <c r="G12" s="164">
        <f t="shared" si="2"/>
        <v>0.20112207753218003</v>
      </c>
      <c r="H12" s="26">
        <f t="shared" si="3"/>
        <v>0.20112207753218003</v>
      </c>
      <c r="I12" s="20">
        <f t="shared" si="4"/>
        <v>1.9651080951930085E-2</v>
      </c>
      <c r="J12" s="25">
        <f t="shared" si="5"/>
        <v>4.1932078707136478E-4</v>
      </c>
      <c r="L12" s="24" t="s">
        <v>8</v>
      </c>
      <c r="M12" s="23">
        <f t="shared" si="6"/>
        <v>-67592.698499159233</v>
      </c>
      <c r="N12" s="22">
        <f t="shared" si="7"/>
        <v>-29128.42588961597</v>
      </c>
      <c r="O12" s="21">
        <f t="shared" si="8"/>
        <v>-414.36751834200561</v>
      </c>
      <c r="P12" s="165">
        <f t="shared" si="10"/>
        <v>-97135.491907117219</v>
      </c>
      <c r="Q12" s="197">
        <f t="shared" si="9"/>
        <v>1.9659326137353546E-2</v>
      </c>
      <c r="S12" s="19"/>
      <c r="T12" s="19"/>
      <c r="U12" s="19"/>
      <c r="V12" s="19"/>
      <c r="W12" s="19"/>
      <c r="X12" s="19"/>
      <c r="Y12" s="19"/>
      <c r="Z12" s="19"/>
    </row>
    <row r="13" spans="1:29">
      <c r="A13" s="24" t="s">
        <v>9</v>
      </c>
      <c r="B13" s="23">
        <v>116630005</v>
      </c>
      <c r="C13" s="22">
        <v>36285132.439999998</v>
      </c>
      <c r="D13" s="177">
        <f t="shared" si="0"/>
        <v>0.31111318601075255</v>
      </c>
      <c r="E13" s="28">
        <f t="shared" si="1"/>
        <v>2.0611615147597167E-2</v>
      </c>
      <c r="F13" s="57">
        <v>27527682</v>
      </c>
      <c r="G13" s="164">
        <f t="shared" si="2"/>
        <v>0.31813250530865611</v>
      </c>
      <c r="H13" s="26">
        <f t="shared" si="3"/>
        <v>0.31813250530865611</v>
      </c>
      <c r="I13" s="20">
        <f t="shared" si="4"/>
        <v>3.10838456522032E-2</v>
      </c>
      <c r="J13" s="25">
        <f t="shared" si="5"/>
        <v>1.5845953550529646E-2</v>
      </c>
      <c r="L13" s="24" t="s">
        <v>9</v>
      </c>
      <c r="M13" s="23">
        <f t="shared" si="6"/>
        <v>-50920.345956261648</v>
      </c>
      <c r="N13" s="22">
        <f t="shared" si="7"/>
        <v>-46074.996925577972</v>
      </c>
      <c r="O13" s="21">
        <f t="shared" si="8"/>
        <v>-15658.771639618659</v>
      </c>
      <c r="P13" s="165">
        <f t="shared" si="10"/>
        <v>-112654.11452145828</v>
      </c>
      <c r="Q13" s="197">
        <f t="shared" si="9"/>
        <v>2.2800151979565472E-2</v>
      </c>
      <c r="S13" s="19"/>
      <c r="T13" s="19"/>
      <c r="U13" s="19"/>
      <c r="V13" s="19"/>
      <c r="W13" s="19"/>
      <c r="X13" s="19"/>
      <c r="Y13" s="19"/>
      <c r="Z13" s="19"/>
    </row>
    <row r="14" spans="1:29">
      <c r="A14" s="24" t="s">
        <v>10</v>
      </c>
      <c r="B14" s="23">
        <v>36098646</v>
      </c>
      <c r="C14" s="22">
        <v>5537234.6299999999</v>
      </c>
      <c r="D14" s="177">
        <f t="shared" si="0"/>
        <v>0.15339175408407285</v>
      </c>
      <c r="E14" s="28">
        <f t="shared" si="1"/>
        <v>1.0162384444504078E-2</v>
      </c>
      <c r="F14" s="57">
        <v>4946842.92</v>
      </c>
      <c r="G14" s="164">
        <f t="shared" si="2"/>
        <v>0.1193471714278731</v>
      </c>
      <c r="H14" s="26">
        <f t="shared" si="3"/>
        <v>0.1193471714278731</v>
      </c>
      <c r="I14" s="20">
        <f t="shared" si="4"/>
        <v>1.166108144809591E-2</v>
      </c>
      <c r="J14" s="25">
        <f t="shared" si="5"/>
        <v>2.4181464099780536E-3</v>
      </c>
      <c r="L14" s="24" t="s">
        <v>10</v>
      </c>
      <c r="M14" s="23">
        <f t="shared" si="6"/>
        <v>-25105.85065503732</v>
      </c>
      <c r="N14" s="22">
        <f t="shared" si="7"/>
        <v>-17285.000636073197</v>
      </c>
      <c r="O14" s="21">
        <f t="shared" si="8"/>
        <v>-2389.5818136955468</v>
      </c>
      <c r="P14" s="165">
        <f t="shared" si="10"/>
        <v>-44780.43310480607</v>
      </c>
      <c r="Q14" s="197">
        <f t="shared" si="9"/>
        <v>9.0631459386764229E-3</v>
      </c>
      <c r="S14" s="19"/>
      <c r="T14" s="19"/>
      <c r="U14" s="19"/>
      <c r="V14" s="19"/>
      <c r="W14" s="19"/>
      <c r="X14" s="19"/>
      <c r="Y14" s="19"/>
      <c r="Z14" s="19"/>
    </row>
    <row r="15" spans="1:29">
      <c r="A15" s="24" t="s">
        <v>11</v>
      </c>
      <c r="B15" s="23">
        <v>3294944</v>
      </c>
      <c r="C15" s="22">
        <v>1064298</v>
      </c>
      <c r="D15" s="177">
        <f t="shared" si="0"/>
        <v>0.32300943506171881</v>
      </c>
      <c r="E15" s="28">
        <f t="shared" si="1"/>
        <v>2.1399755664180769E-2</v>
      </c>
      <c r="F15" s="57">
        <v>1221813</v>
      </c>
      <c r="G15" s="164">
        <f t="shared" si="2"/>
        <v>-0.12891907354071364</v>
      </c>
      <c r="H15" s="26">
        <f t="shared" si="3"/>
        <v>0</v>
      </c>
      <c r="I15" s="20">
        <f t="shared" si="4"/>
        <v>0</v>
      </c>
      <c r="J15" s="25">
        <f t="shared" si="5"/>
        <v>4.6478586511455497E-4</v>
      </c>
      <c r="L15" s="24" t="s">
        <v>11</v>
      </c>
      <c r="M15" s="23">
        <f t="shared" si="6"/>
        <v>-52867.422276055171</v>
      </c>
      <c r="N15" s="22">
        <f t="shared" si="7"/>
        <v>0</v>
      </c>
      <c r="O15" s="21">
        <f t="shared" si="8"/>
        <v>-459.29553560430281</v>
      </c>
      <c r="P15" s="165">
        <f t="shared" si="10"/>
        <v>-53326.717811659473</v>
      </c>
      <c r="Q15" s="197">
        <f t="shared" si="9"/>
        <v>1.0792835005113296E-2</v>
      </c>
      <c r="S15" s="19"/>
      <c r="T15" s="19"/>
      <c r="U15" s="19"/>
      <c r="V15" s="19"/>
      <c r="W15" s="19"/>
      <c r="X15" s="19"/>
      <c r="Y15" s="19"/>
      <c r="Z15" s="19"/>
    </row>
    <row r="16" spans="1:29">
      <c r="A16" s="24" t="s">
        <v>12</v>
      </c>
      <c r="B16" s="23">
        <v>5282316</v>
      </c>
      <c r="C16" s="22">
        <v>1864847</v>
      </c>
      <c r="D16" s="177">
        <f t="shared" si="0"/>
        <v>0.35303586532876868</v>
      </c>
      <c r="E16" s="28">
        <f t="shared" si="1"/>
        <v>2.3389042048523233E-2</v>
      </c>
      <c r="F16" s="57">
        <v>1408205</v>
      </c>
      <c r="G16" s="164">
        <f t="shared" si="2"/>
        <v>0.32427238931831659</v>
      </c>
      <c r="H16" s="26">
        <f t="shared" si="3"/>
        <v>0.32427238931831659</v>
      </c>
      <c r="I16" s="20">
        <f t="shared" si="4"/>
        <v>3.1683756707169275E-2</v>
      </c>
      <c r="J16" s="25">
        <f t="shared" si="5"/>
        <v>8.1439082493933322E-4</v>
      </c>
      <c r="L16" s="24" t="s">
        <v>12</v>
      </c>
      <c r="M16" s="23">
        <f t="shared" si="6"/>
        <v>-57781.891626052115</v>
      </c>
      <c r="N16" s="22">
        <f t="shared" si="7"/>
        <v>-46964.233744035249</v>
      </c>
      <c r="O16" s="21">
        <f t="shared" si="8"/>
        <v>-804.77075188065487</v>
      </c>
      <c r="P16" s="165">
        <f t="shared" si="10"/>
        <v>-105550.89612196802</v>
      </c>
      <c r="Q16" s="197">
        <f t="shared" si="9"/>
        <v>2.1362526201400264E-2</v>
      </c>
      <c r="S16" s="19"/>
      <c r="T16" s="19"/>
      <c r="U16" s="19"/>
      <c r="V16" s="19"/>
      <c r="W16" s="19"/>
      <c r="X16" s="19"/>
      <c r="Y16" s="19"/>
      <c r="Z16" s="19"/>
    </row>
    <row r="17" spans="1:26">
      <c r="A17" s="24" t="s">
        <v>13</v>
      </c>
      <c r="B17" s="23">
        <v>53700075</v>
      </c>
      <c r="C17" s="22">
        <v>14209085</v>
      </c>
      <c r="D17" s="177">
        <f t="shared" si="0"/>
        <v>0.26460084087405839</v>
      </c>
      <c r="E17" s="28">
        <f t="shared" si="1"/>
        <v>1.7530117478332132E-2</v>
      </c>
      <c r="F17" s="57">
        <v>12990205</v>
      </c>
      <c r="G17" s="164">
        <f t="shared" si="2"/>
        <v>9.3830697821935871E-2</v>
      </c>
      <c r="H17" s="26">
        <f t="shared" si="3"/>
        <v>9.3830697821935871E-2</v>
      </c>
      <c r="I17" s="20">
        <f t="shared" si="4"/>
        <v>9.167937509893349E-3</v>
      </c>
      <c r="J17" s="25">
        <f t="shared" si="5"/>
        <v>6.2051999197698824E-3</v>
      </c>
      <c r="L17" s="24" t="s">
        <v>13</v>
      </c>
      <c r="M17" s="23">
        <f t="shared" si="6"/>
        <v>-43307.603031518964</v>
      </c>
      <c r="N17" s="22">
        <f t="shared" si="7"/>
        <v>-13589.460496895974</v>
      </c>
      <c r="O17" s="21">
        <f t="shared" si="8"/>
        <v>-6131.9003751976088</v>
      </c>
      <c r="P17" s="165">
        <f t="shared" si="10"/>
        <v>-63028.963903612545</v>
      </c>
      <c r="Q17" s="197">
        <f t="shared" si="9"/>
        <v>1.2756479976088047E-2</v>
      </c>
      <c r="S17" s="19"/>
      <c r="T17" s="19"/>
      <c r="U17" s="19"/>
      <c r="V17" s="19"/>
      <c r="W17" s="19"/>
      <c r="X17" s="19"/>
      <c r="Y17" s="19"/>
      <c r="Z17" s="19"/>
    </row>
    <row r="18" spans="1:26">
      <c r="A18" s="24" t="s">
        <v>14</v>
      </c>
      <c r="B18" s="23">
        <v>7034210</v>
      </c>
      <c r="C18" s="22">
        <v>838434</v>
      </c>
      <c r="D18" s="177">
        <f t="shared" si="0"/>
        <v>0.11919376873877806</v>
      </c>
      <c r="E18" s="28">
        <f t="shared" si="1"/>
        <v>7.8967276210224063E-3</v>
      </c>
      <c r="F18" s="57">
        <v>691812</v>
      </c>
      <c r="G18" s="164">
        <f t="shared" si="2"/>
        <v>0.21193908171584197</v>
      </c>
      <c r="H18" s="26">
        <f t="shared" si="3"/>
        <v>0.21193908171584197</v>
      </c>
      <c r="I18" s="20">
        <f t="shared" si="4"/>
        <v>2.0707980460321931E-2</v>
      </c>
      <c r="J18" s="25">
        <f t="shared" si="5"/>
        <v>3.6614958595379939E-4</v>
      </c>
      <c r="L18" s="24" t="s">
        <v>14</v>
      </c>
      <c r="M18" s="23">
        <f t="shared" si="6"/>
        <v>-19508.616840815794</v>
      </c>
      <c r="N18" s="22">
        <f t="shared" si="7"/>
        <v>-30695.048055504496</v>
      </c>
      <c r="O18" s="21">
        <f t="shared" si="8"/>
        <v>-361.82440735476155</v>
      </c>
      <c r="P18" s="165">
        <f t="shared" si="10"/>
        <v>-50565.489303675051</v>
      </c>
      <c r="Q18" s="197">
        <f t="shared" si="9"/>
        <v>1.0233987865798542E-2</v>
      </c>
      <c r="S18" s="19"/>
      <c r="T18" s="19"/>
      <c r="U18" s="19"/>
      <c r="V18" s="19"/>
      <c r="W18" s="19"/>
      <c r="X18" s="19"/>
      <c r="Y18" s="19"/>
      <c r="Z18" s="19"/>
    </row>
    <row r="19" spans="1:26">
      <c r="A19" s="24" t="s">
        <v>15</v>
      </c>
      <c r="B19" s="23">
        <v>1629962</v>
      </c>
      <c r="C19" s="22">
        <v>363195</v>
      </c>
      <c r="D19" s="177">
        <f t="shared" si="0"/>
        <v>0.22282421307981412</v>
      </c>
      <c r="E19" s="28">
        <f t="shared" si="1"/>
        <v>1.4762366662943635E-2</v>
      </c>
      <c r="F19" s="57">
        <v>329170</v>
      </c>
      <c r="G19" s="164">
        <f t="shared" si="2"/>
        <v>0.10336604186286724</v>
      </c>
      <c r="H19" s="26">
        <f t="shared" si="3"/>
        <v>0.10336604186286724</v>
      </c>
      <c r="I19" s="20">
        <f t="shared" si="4"/>
        <v>1.0099609556801602E-2</v>
      </c>
      <c r="J19" s="25">
        <f t="shared" si="5"/>
        <v>1.5860962087712349E-4</v>
      </c>
      <c r="L19" s="24" t="s">
        <v>15</v>
      </c>
      <c r="M19" s="23">
        <f t="shared" si="6"/>
        <v>-36469.961826252365</v>
      </c>
      <c r="N19" s="22">
        <f t="shared" si="7"/>
        <v>-14970.460363426389</v>
      </c>
      <c r="O19" s="21">
        <f t="shared" si="8"/>
        <v>-156.73602886955038</v>
      </c>
      <c r="P19" s="165">
        <f t="shared" si="10"/>
        <v>-51597.158218548306</v>
      </c>
      <c r="Q19" s="197">
        <f t="shared" si="9"/>
        <v>1.0442788122687723E-2</v>
      </c>
      <c r="S19" s="19"/>
      <c r="T19" s="19"/>
      <c r="U19" s="19"/>
      <c r="V19" s="19"/>
      <c r="W19" s="19"/>
      <c r="X19" s="19"/>
      <c r="Y19" s="19"/>
      <c r="Z19" s="19"/>
    </row>
    <row r="20" spans="1:26">
      <c r="A20" s="24" t="s">
        <v>16</v>
      </c>
      <c r="B20" s="23">
        <v>2243867</v>
      </c>
      <c r="C20" s="22">
        <v>1038863</v>
      </c>
      <c r="D20" s="177">
        <f t="shared" si="0"/>
        <v>0.46297886639448771</v>
      </c>
      <c r="E20" s="28">
        <f t="shared" si="1"/>
        <v>3.0672895411331669E-2</v>
      </c>
      <c r="F20" s="57">
        <v>632096</v>
      </c>
      <c r="G20" s="164">
        <f t="shared" si="2"/>
        <v>0.64352092087277879</v>
      </c>
      <c r="H20" s="26">
        <f t="shared" si="3"/>
        <v>0.64352092087277879</v>
      </c>
      <c r="I20" s="20">
        <f t="shared" si="4"/>
        <v>6.2876646191705132E-2</v>
      </c>
      <c r="J20" s="25">
        <f t="shared" si="5"/>
        <v>4.5367823503426853E-4</v>
      </c>
      <c r="L20" s="24" t="s">
        <v>16</v>
      </c>
      <c r="M20" s="23">
        <f t="shared" si="6"/>
        <v>-75776.421917489424</v>
      </c>
      <c r="N20" s="22">
        <f t="shared" si="7"/>
        <v>-93200.864281351489</v>
      </c>
      <c r="O20" s="21">
        <f t="shared" si="8"/>
        <v>-448.31911551510274</v>
      </c>
      <c r="P20" s="165">
        <f t="shared" si="10"/>
        <v>-169425.60531435601</v>
      </c>
      <c r="Q20" s="197">
        <f t="shared" si="9"/>
        <v>3.4290177210184222E-2</v>
      </c>
      <c r="S20" s="19"/>
      <c r="T20" s="19"/>
      <c r="U20" s="19"/>
      <c r="V20" s="19"/>
      <c r="W20" s="19"/>
      <c r="X20" s="19"/>
      <c r="Y20" s="19"/>
      <c r="Z20" s="19"/>
    </row>
    <row r="21" spans="1:26">
      <c r="A21" s="24" t="s">
        <v>17</v>
      </c>
      <c r="B21" s="23">
        <v>10409374</v>
      </c>
      <c r="C21" s="22">
        <v>1281029</v>
      </c>
      <c r="D21" s="177">
        <f t="shared" si="0"/>
        <v>0.12306494127312555</v>
      </c>
      <c r="E21" s="28">
        <f t="shared" si="1"/>
        <v>8.153197362697583E-3</v>
      </c>
      <c r="F21" s="57">
        <v>1193413</v>
      </c>
      <c r="G21" s="164">
        <f t="shared" si="2"/>
        <v>7.3416327792641844E-2</v>
      </c>
      <c r="H21" s="26">
        <f t="shared" si="3"/>
        <v>7.3416327792641844E-2</v>
      </c>
      <c r="I21" s="20">
        <f t="shared" si="4"/>
        <v>7.173305975898157E-3</v>
      </c>
      <c r="J21" s="25">
        <f t="shared" si="5"/>
        <v>5.5943370372004201E-4</v>
      </c>
      <c r="L21" s="24" t="s">
        <v>17</v>
      </c>
      <c r="M21" s="23">
        <f t="shared" si="6"/>
        <v>-20142.217258827455</v>
      </c>
      <c r="N21" s="22">
        <f t="shared" si="7"/>
        <v>-10632.855872590893</v>
      </c>
      <c r="O21" s="21">
        <f t="shared" si="8"/>
        <v>-552.82533715147861</v>
      </c>
      <c r="P21" s="165">
        <f t="shared" si="10"/>
        <v>-31327.898468569831</v>
      </c>
      <c r="Q21" s="197">
        <f t="shared" si="9"/>
        <v>6.3404772148622475E-3</v>
      </c>
      <c r="S21" s="19"/>
      <c r="T21" s="19"/>
      <c r="U21" s="19"/>
      <c r="V21" s="19"/>
      <c r="W21" s="19"/>
      <c r="X21" s="19"/>
      <c r="Y21" s="19"/>
      <c r="Z21" s="19"/>
    </row>
    <row r="22" spans="1:26">
      <c r="A22" s="24" t="s">
        <v>18</v>
      </c>
      <c r="B22" s="23">
        <v>415292639</v>
      </c>
      <c r="C22" s="22">
        <v>103525907.23999999</v>
      </c>
      <c r="D22" s="177">
        <f t="shared" si="0"/>
        <v>0.24928423361724933</v>
      </c>
      <c r="E22" s="28">
        <f t="shared" si="1"/>
        <v>1.6515374200516415E-2</v>
      </c>
      <c r="F22" s="57">
        <v>90011508</v>
      </c>
      <c r="G22" s="164">
        <f t="shared" si="2"/>
        <v>0.15014079355275323</v>
      </c>
      <c r="H22" s="26">
        <f t="shared" si="3"/>
        <v>0.15014079355275323</v>
      </c>
      <c r="I22" s="20">
        <f t="shared" si="4"/>
        <v>1.4669840946825444E-2</v>
      </c>
      <c r="J22" s="25">
        <f t="shared" si="5"/>
        <v>4.5210437639000137E-2</v>
      </c>
      <c r="L22" s="24" t="s">
        <v>18</v>
      </c>
      <c r="M22" s="23">
        <f t="shared" si="6"/>
        <v>-40800.711728088485</v>
      </c>
      <c r="N22" s="22">
        <f t="shared" si="7"/>
        <v>-21744.827975485459</v>
      </c>
      <c r="O22" s="21">
        <f t="shared" si="8"/>
        <v>-44676.384823345688</v>
      </c>
      <c r="P22" s="165">
        <f t="shared" si="10"/>
        <v>-107221.92452691964</v>
      </c>
      <c r="Q22" s="197">
        <f t="shared" si="9"/>
        <v>2.170072691210587E-2</v>
      </c>
      <c r="S22" s="19"/>
      <c r="T22" s="19"/>
      <c r="U22" s="19"/>
      <c r="V22" s="19"/>
      <c r="W22" s="19"/>
      <c r="X22" s="19"/>
      <c r="Y22" s="19"/>
      <c r="Z22" s="19"/>
    </row>
    <row r="23" spans="1:26">
      <c r="A23" s="24" t="s">
        <v>19</v>
      </c>
      <c r="B23" s="23">
        <v>4596412</v>
      </c>
      <c r="C23" s="22">
        <v>3566422</v>
      </c>
      <c r="D23" s="177">
        <f t="shared" si="0"/>
        <v>0.77591434362280842</v>
      </c>
      <c r="E23" s="28">
        <f t="shared" si="1"/>
        <v>5.1405239499238239E-2</v>
      </c>
      <c r="F23" s="57">
        <v>877317</v>
      </c>
      <c r="G23" s="164">
        <f t="shared" si="2"/>
        <v>3.0651463496090923</v>
      </c>
      <c r="H23" s="26">
        <f t="shared" si="3"/>
        <v>3.0651463496090923</v>
      </c>
      <c r="I23" s="20">
        <f t="shared" si="4"/>
        <v>0.29948695729857788</v>
      </c>
      <c r="J23" s="25">
        <f t="shared" si="5"/>
        <v>1.5574797045879831E-3</v>
      </c>
      <c r="L23" s="24" t="s">
        <v>19</v>
      </c>
      <c r="M23" s="23">
        <f t="shared" si="6"/>
        <v>-126995.02491782384</v>
      </c>
      <c r="N23" s="22">
        <f t="shared" si="7"/>
        <v>-443923.85650018899</v>
      </c>
      <c r="O23" s="21">
        <f t="shared" si="8"/>
        <v>-1539.0818198295672</v>
      </c>
      <c r="P23" s="165">
        <f t="shared" si="10"/>
        <v>-572457.96323784231</v>
      </c>
      <c r="Q23" s="197">
        <f t="shared" si="9"/>
        <v>0.11586020288011005</v>
      </c>
      <c r="S23" s="19"/>
      <c r="T23" s="19"/>
      <c r="U23" s="19"/>
      <c r="V23" s="19"/>
      <c r="W23" s="19"/>
      <c r="X23" s="19"/>
      <c r="Y23" s="19"/>
      <c r="Z23" s="19"/>
    </row>
    <row r="24" spans="1:26">
      <c r="A24" s="24" t="s">
        <v>20</v>
      </c>
      <c r="B24" s="23">
        <v>459479979</v>
      </c>
      <c r="C24" s="22">
        <v>154603349.86000001</v>
      </c>
      <c r="D24" s="177">
        <f t="shared" si="0"/>
        <v>0.33647461679717716</v>
      </c>
      <c r="E24" s="28">
        <f t="shared" si="1"/>
        <v>2.2291839819733501E-2</v>
      </c>
      <c r="F24" s="57">
        <v>130662277.23999999</v>
      </c>
      <c r="G24" s="164">
        <f t="shared" si="2"/>
        <v>0.18322864965857844</v>
      </c>
      <c r="H24" s="26">
        <f t="shared" si="3"/>
        <v>0.18322864965857844</v>
      </c>
      <c r="I24" s="20">
        <f t="shared" si="4"/>
        <v>1.7902763691258362E-2</v>
      </c>
      <c r="J24" s="25">
        <f t="shared" si="5"/>
        <v>6.7516289342165747E-2</v>
      </c>
      <c r="L24" s="24" t="s">
        <v>20</v>
      </c>
      <c r="M24" s="23">
        <f t="shared" si="6"/>
        <v>-55071.28808169729</v>
      </c>
      <c r="N24" s="22">
        <f t="shared" si="7"/>
        <v>-26536.928257318501</v>
      </c>
      <c r="O24" s="21">
        <f t="shared" si="8"/>
        <v>-66718.746422682481</v>
      </c>
      <c r="P24" s="165">
        <f t="shared" si="10"/>
        <v>-148326.96276169829</v>
      </c>
      <c r="Q24" s="197">
        <f t="shared" si="9"/>
        <v>3.0020006885677412E-2</v>
      </c>
      <c r="S24" s="19"/>
      <c r="T24" s="19"/>
      <c r="U24" s="19"/>
      <c r="V24" s="19"/>
      <c r="W24" s="19"/>
      <c r="X24" s="19"/>
      <c r="Y24" s="19"/>
      <c r="Z24" s="19"/>
    </row>
    <row r="25" spans="1:26">
      <c r="A25" s="24" t="s">
        <v>21</v>
      </c>
      <c r="B25" s="23">
        <v>12996129</v>
      </c>
      <c r="C25" s="22">
        <v>4608992</v>
      </c>
      <c r="D25" s="177">
        <f t="shared" si="0"/>
        <v>0.35464344806057252</v>
      </c>
      <c r="E25" s="28">
        <f t="shared" si="1"/>
        <v>2.349554629866684E-2</v>
      </c>
      <c r="F25" s="57">
        <v>3648762.03</v>
      </c>
      <c r="G25" s="164">
        <f t="shared" si="2"/>
        <v>0.26316596207289522</v>
      </c>
      <c r="H25" s="26">
        <f t="shared" si="3"/>
        <v>0.26316596207289522</v>
      </c>
      <c r="I25" s="20">
        <f t="shared" si="4"/>
        <v>2.5713217007016918E-2</v>
      </c>
      <c r="J25" s="25">
        <f t="shared" si="5"/>
        <v>2.0127768106545938E-3</v>
      </c>
      <c r="L25" s="24" t="s">
        <v>21</v>
      </c>
      <c r="M25" s="23">
        <f t="shared" si="6"/>
        <v>-58045.00702114802</v>
      </c>
      <c r="N25" s="22">
        <f t="shared" si="7"/>
        <v>-38114.215589699743</v>
      </c>
      <c r="O25" s="21">
        <f t="shared" si="8"/>
        <v>-1989.0006833010555</v>
      </c>
      <c r="P25" s="165">
        <f t="shared" si="10"/>
        <v>-98148.223294148818</v>
      </c>
      <c r="Q25" s="197">
        <f t="shared" si="9"/>
        <v>1.9864293613569412E-2</v>
      </c>
      <c r="S25" s="19"/>
      <c r="T25" s="19"/>
      <c r="U25" s="19"/>
      <c r="V25" s="19"/>
      <c r="W25" s="19"/>
      <c r="X25" s="19"/>
      <c r="Y25" s="19"/>
      <c r="Z25" s="19"/>
    </row>
    <row r="26" spans="1:26">
      <c r="A26" s="24" t="s">
        <v>22</v>
      </c>
      <c r="B26" s="23">
        <v>844965</v>
      </c>
      <c r="C26" s="22">
        <v>246797</v>
      </c>
      <c r="D26" s="177">
        <f t="shared" si="0"/>
        <v>0.29207955359097715</v>
      </c>
      <c r="E26" s="28">
        <f t="shared" si="1"/>
        <v>1.9350614573087024E-2</v>
      </c>
      <c r="F26" s="57">
        <v>218938</v>
      </c>
      <c r="G26" s="164">
        <f t="shared" si="2"/>
        <v>0.12724606966355778</v>
      </c>
      <c r="H26" s="26">
        <f t="shared" si="3"/>
        <v>0.12724606966355778</v>
      </c>
      <c r="I26" s="20">
        <f t="shared" si="4"/>
        <v>1.2432860909431583E-2</v>
      </c>
      <c r="J26" s="25">
        <f t="shared" si="5"/>
        <v>1.0777785653329878E-4</v>
      </c>
      <c r="L26" s="24" t="s">
        <v>22</v>
      </c>
      <c r="M26" s="23">
        <f t="shared" si="6"/>
        <v>-47805.083758452442</v>
      </c>
      <c r="N26" s="22">
        <f t="shared" si="7"/>
        <v>-18428.994744979245</v>
      </c>
      <c r="O26" s="21">
        <f t="shared" si="8"/>
        <v>-106.50471982521354</v>
      </c>
      <c r="P26" s="165">
        <f t="shared" si="10"/>
        <v>-66340.583223256908</v>
      </c>
      <c r="Q26" s="197">
        <f t="shared" si="9"/>
        <v>1.3426721130679648E-2</v>
      </c>
      <c r="S26" s="19"/>
      <c r="T26" s="19"/>
      <c r="U26" s="19"/>
      <c r="V26" s="19"/>
      <c r="W26" s="19"/>
      <c r="X26" s="19"/>
      <c r="Y26" s="19"/>
      <c r="Z26" s="19"/>
    </row>
    <row r="27" spans="1:26">
      <c r="A27" s="24" t="s">
        <v>23</v>
      </c>
      <c r="B27" s="23">
        <v>1658016</v>
      </c>
      <c r="C27" s="22">
        <v>165744</v>
      </c>
      <c r="D27" s="177">
        <f t="shared" si="0"/>
        <v>9.996525968386312E-2</v>
      </c>
      <c r="E27" s="28">
        <f t="shared" si="1"/>
        <v>6.622816239817573E-3</v>
      </c>
      <c r="F27" s="57">
        <v>140414</v>
      </c>
      <c r="G27" s="164">
        <f t="shared" si="2"/>
        <v>0.18039511729599611</v>
      </c>
      <c r="H27" s="26">
        <f t="shared" si="3"/>
        <v>0.18039511729599611</v>
      </c>
      <c r="I27" s="20">
        <f t="shared" si="4"/>
        <v>1.7625907094905285E-2</v>
      </c>
      <c r="J27" s="25">
        <f t="shared" si="5"/>
        <v>7.2381483783251304E-5</v>
      </c>
      <c r="L27" s="24" t="s">
        <v>23</v>
      </c>
      <c r="M27" s="23">
        <f t="shared" si="6"/>
        <v>-16361.45890175776</v>
      </c>
      <c r="N27" s="22">
        <f t="shared" si="7"/>
        <v>-26126.548957134008</v>
      </c>
      <c r="O27" s="21">
        <f t="shared" si="8"/>
        <v>-71.526470267913268</v>
      </c>
      <c r="P27" s="165">
        <f t="shared" si="10"/>
        <v>-42559.53432915968</v>
      </c>
      <c r="Q27" s="197">
        <f t="shared" si="9"/>
        <v>8.6136565451370214E-3</v>
      </c>
      <c r="S27" s="19"/>
      <c r="T27" s="19"/>
      <c r="U27" s="19"/>
      <c r="V27" s="19"/>
      <c r="W27" s="19"/>
      <c r="X27" s="19"/>
      <c r="Y27" s="19"/>
      <c r="Z27" s="19"/>
    </row>
    <row r="28" spans="1:26">
      <c r="A28" s="24" t="s">
        <v>24</v>
      </c>
      <c r="B28" s="23">
        <v>69984471</v>
      </c>
      <c r="C28" s="22">
        <v>12472493</v>
      </c>
      <c r="D28" s="177">
        <f t="shared" si="0"/>
        <v>0.17821800782062067</v>
      </c>
      <c r="E28" s="28">
        <f t="shared" si="1"/>
        <v>1.1807153006504643E-2</v>
      </c>
      <c r="F28" s="57">
        <v>9156806</v>
      </c>
      <c r="G28" s="164">
        <f t="shared" si="2"/>
        <v>0.36210082423936907</v>
      </c>
      <c r="H28" s="26">
        <f t="shared" si="3"/>
        <v>0.36210082423936907</v>
      </c>
      <c r="I28" s="20">
        <f t="shared" si="4"/>
        <v>3.537986827303892E-2</v>
      </c>
      <c r="J28" s="25">
        <f t="shared" si="5"/>
        <v>5.4468188882627151E-3</v>
      </c>
      <c r="L28" s="24" t="s">
        <v>24</v>
      </c>
      <c r="M28" s="23">
        <f t="shared" si="6"/>
        <v>-29169.199577250016</v>
      </c>
      <c r="N28" s="22">
        <f t="shared" si="7"/>
        <v>-52442.910061615228</v>
      </c>
      <c r="O28" s="21">
        <f t="shared" si="8"/>
        <v>-5382.4777954632227</v>
      </c>
      <c r="P28" s="165">
        <f t="shared" si="10"/>
        <v>-86994.587434328481</v>
      </c>
      <c r="Q28" s="197">
        <f t="shared" si="9"/>
        <v>1.7606900762816544E-2</v>
      </c>
      <c r="S28" s="19"/>
      <c r="T28" s="19"/>
      <c r="U28" s="19"/>
      <c r="V28" s="19"/>
      <c r="W28" s="19"/>
      <c r="X28" s="19"/>
      <c r="Y28" s="19"/>
      <c r="Z28" s="19"/>
    </row>
    <row r="29" spans="1:26">
      <c r="A29" s="24" t="s">
        <v>25</v>
      </c>
      <c r="B29" s="23">
        <v>534177051</v>
      </c>
      <c r="C29" s="22">
        <v>210861820.25999999</v>
      </c>
      <c r="D29" s="177">
        <f t="shared" si="0"/>
        <v>0.39474144361922425</v>
      </c>
      <c r="E29" s="28">
        <f t="shared" si="1"/>
        <v>2.6152085750570448E-2</v>
      </c>
      <c r="F29" s="57">
        <v>215375991.11000001</v>
      </c>
      <c r="G29" s="164">
        <f t="shared" si="2"/>
        <v>-2.0959489619687854E-2</v>
      </c>
      <c r="H29" s="26">
        <f t="shared" si="3"/>
        <v>0</v>
      </c>
      <c r="I29" s="20">
        <f t="shared" si="4"/>
        <v>0</v>
      </c>
      <c r="J29" s="25">
        <f t="shared" si="5"/>
        <v>9.2084729605029683E-2</v>
      </c>
      <c r="L29" s="24" t="s">
        <v>25</v>
      </c>
      <c r="M29" s="23">
        <f t="shared" si="6"/>
        <v>-64607.904056083149</v>
      </c>
      <c r="N29" s="22">
        <f t="shared" si="7"/>
        <v>0</v>
      </c>
      <c r="O29" s="21">
        <f t="shared" si="8"/>
        <v>-90996.96952809731</v>
      </c>
      <c r="P29" s="165">
        <f t="shared" si="10"/>
        <v>-155604.87358418046</v>
      </c>
      <c r="Q29" s="197">
        <f t="shared" si="9"/>
        <v>3.1492988796291158E-2</v>
      </c>
      <c r="S29" s="19"/>
      <c r="T29" s="19"/>
      <c r="U29" s="19"/>
      <c r="V29" s="19"/>
      <c r="W29" s="19"/>
      <c r="X29" s="19"/>
      <c r="Y29" s="19"/>
      <c r="Z29" s="19"/>
    </row>
    <row r="30" spans="1:26">
      <c r="A30" s="24" t="s">
        <v>26</v>
      </c>
      <c r="B30" s="23">
        <v>1059673</v>
      </c>
      <c r="C30" s="22">
        <v>297293.69</v>
      </c>
      <c r="D30" s="177">
        <f t="shared" si="0"/>
        <v>0.28055229301869539</v>
      </c>
      <c r="E30" s="28">
        <f t="shared" si="1"/>
        <v>1.8586919977983202E-2</v>
      </c>
      <c r="F30" s="57">
        <v>288216.5</v>
      </c>
      <c r="G30" s="164">
        <f t="shared" si="2"/>
        <v>3.1494345396603007E-2</v>
      </c>
      <c r="H30" s="26">
        <f t="shared" si="3"/>
        <v>3.1494345396603007E-2</v>
      </c>
      <c r="I30" s="20">
        <f t="shared" si="4"/>
        <v>3.0772252281337296E-3</v>
      </c>
      <c r="J30" s="25">
        <f t="shared" si="5"/>
        <v>1.2983008978664651E-4</v>
      </c>
      <c r="L30" s="24" t="s">
        <v>26</v>
      </c>
      <c r="M30" s="23">
        <f t="shared" si="6"/>
        <v>-45918.400317628191</v>
      </c>
      <c r="N30" s="22">
        <f t="shared" si="7"/>
        <v>-4561.3127961058153</v>
      </c>
      <c r="O30" s="21">
        <f t="shared" si="8"/>
        <v>-128.29645886803277</v>
      </c>
      <c r="P30" s="165">
        <f t="shared" si="10"/>
        <v>-50608.009572602037</v>
      </c>
      <c r="Q30" s="197">
        <f t="shared" si="9"/>
        <v>1.0242593575389048E-2</v>
      </c>
      <c r="S30" s="19"/>
      <c r="T30" s="19"/>
      <c r="U30" s="19"/>
      <c r="V30" s="19"/>
      <c r="W30" s="19"/>
      <c r="X30" s="19"/>
      <c r="Y30" s="19"/>
      <c r="Z30" s="19"/>
    </row>
    <row r="31" spans="1:26">
      <c r="A31" s="24" t="s">
        <v>27</v>
      </c>
      <c r="B31" s="23">
        <v>2387896</v>
      </c>
      <c r="C31" s="22">
        <v>539788</v>
      </c>
      <c r="D31" s="177">
        <f t="shared" si="0"/>
        <v>0.22605172084546396</v>
      </c>
      <c r="E31" s="28">
        <f t="shared" si="1"/>
        <v>1.4976192855283668E-2</v>
      </c>
      <c r="F31" s="57">
        <v>518824</v>
      </c>
      <c r="G31" s="164">
        <f t="shared" si="2"/>
        <v>4.0406766070960387E-2</v>
      </c>
      <c r="H31" s="26">
        <f t="shared" si="3"/>
        <v>4.0406766070960387E-2</v>
      </c>
      <c r="I31" s="20">
        <f t="shared" si="4"/>
        <v>3.9480331588117009E-3</v>
      </c>
      <c r="J31" s="25">
        <f t="shared" si="5"/>
        <v>2.357289335866979E-4</v>
      </c>
      <c r="L31" s="24" t="s">
        <v>27</v>
      </c>
      <c r="M31" s="23">
        <f t="shared" si="6"/>
        <v>-36998.212698903357</v>
      </c>
      <c r="N31" s="22">
        <f t="shared" si="7"/>
        <v>-5852.0949334798825</v>
      </c>
      <c r="O31" s="21">
        <f t="shared" si="8"/>
        <v>-232.94436198581167</v>
      </c>
      <c r="P31" s="165">
        <f t="shared" si="10"/>
        <v>-43083.251994369049</v>
      </c>
      <c r="Q31" s="197">
        <f t="shared" si="9"/>
        <v>8.7196521620026834E-3</v>
      </c>
      <c r="S31" s="19"/>
      <c r="T31" s="19"/>
      <c r="U31" s="19"/>
      <c r="V31" s="19"/>
      <c r="W31" s="19"/>
      <c r="X31" s="19"/>
      <c r="Y31" s="19"/>
      <c r="Z31" s="19"/>
    </row>
    <row r="32" spans="1:26">
      <c r="A32" s="24" t="s">
        <v>28</v>
      </c>
      <c r="B32" s="23">
        <v>708159</v>
      </c>
      <c r="C32" s="22">
        <v>419888</v>
      </c>
      <c r="D32" s="177">
        <f t="shared" si="0"/>
        <v>0.5929289891112024</v>
      </c>
      <c r="E32" s="28">
        <f t="shared" si="1"/>
        <v>3.928224415724877E-2</v>
      </c>
      <c r="F32" s="57">
        <v>336929</v>
      </c>
      <c r="G32" s="164">
        <f t="shared" si="2"/>
        <v>0.2462210139228147</v>
      </c>
      <c r="H32" s="26">
        <f t="shared" si="3"/>
        <v>0.2462210139228147</v>
      </c>
      <c r="I32" s="20">
        <f t="shared" si="4"/>
        <v>2.4057573072202194E-2</v>
      </c>
      <c r="J32" s="25">
        <f t="shared" si="5"/>
        <v>1.8336782304506844E-4</v>
      </c>
      <c r="L32" s="24" t="s">
        <v>28</v>
      </c>
      <c r="M32" s="23">
        <f t="shared" si="6"/>
        <v>-97045.546799792137</v>
      </c>
      <c r="N32" s="22">
        <f t="shared" si="7"/>
        <v>-35660.085876794248</v>
      </c>
      <c r="O32" s="21">
        <f t="shared" si="8"/>
        <v>-181.20177229856628</v>
      </c>
      <c r="P32" s="165">
        <f t="shared" si="10"/>
        <v>-132886.83444888497</v>
      </c>
      <c r="Q32" s="197">
        <f t="shared" si="9"/>
        <v>2.689506756489406E-2</v>
      </c>
      <c r="S32" s="19"/>
      <c r="T32" s="19"/>
      <c r="U32" s="19"/>
      <c r="V32" s="19"/>
      <c r="W32" s="19"/>
      <c r="X32" s="19"/>
      <c r="Y32" s="19"/>
      <c r="Z32" s="19"/>
    </row>
    <row r="33" spans="1:26">
      <c r="A33" s="24" t="s">
        <v>29</v>
      </c>
      <c r="B33" s="23">
        <v>2080067</v>
      </c>
      <c r="C33" s="22">
        <v>656691</v>
      </c>
      <c r="D33" s="177">
        <f t="shared" si="0"/>
        <v>0.31570665752593546</v>
      </c>
      <c r="E33" s="28">
        <f t="shared" si="1"/>
        <v>2.0915938047813706E-2</v>
      </c>
      <c r="F33" s="57">
        <v>629171</v>
      </c>
      <c r="G33" s="164">
        <f t="shared" si="2"/>
        <v>4.3740096094702308E-2</v>
      </c>
      <c r="H33" s="26">
        <f t="shared" si="3"/>
        <v>4.3740096094702308E-2</v>
      </c>
      <c r="I33" s="20">
        <f t="shared" si="4"/>
        <v>4.2737235998602267E-3</v>
      </c>
      <c r="J33" s="25">
        <f t="shared" si="5"/>
        <v>2.8678123471804156E-4</v>
      </c>
      <c r="L33" s="24" t="s">
        <v>29</v>
      </c>
      <c r="M33" s="23">
        <f t="shared" si="6"/>
        <v>-51672.166095075256</v>
      </c>
      <c r="N33" s="22">
        <f t="shared" si="7"/>
        <v>-6334.8597186967763</v>
      </c>
      <c r="O33" s="21">
        <f t="shared" si="8"/>
        <v>-283.3936027048112</v>
      </c>
      <c r="P33" s="165">
        <f t="shared" si="10"/>
        <v>-58290.419416476841</v>
      </c>
      <c r="Q33" s="197">
        <f t="shared" si="9"/>
        <v>1.179744235080853E-2</v>
      </c>
      <c r="S33" s="19"/>
      <c r="T33" s="19"/>
      <c r="U33" s="19"/>
      <c r="V33" s="19"/>
      <c r="W33" s="19"/>
      <c r="X33" s="19"/>
      <c r="Y33" s="19"/>
      <c r="Z33" s="19"/>
    </row>
    <row r="34" spans="1:26">
      <c r="A34" s="24" t="s">
        <v>30</v>
      </c>
      <c r="B34" s="23">
        <v>619036</v>
      </c>
      <c r="C34" s="22">
        <v>129046</v>
      </c>
      <c r="D34" s="177">
        <f t="shared" si="0"/>
        <v>0.20846283576399435</v>
      </c>
      <c r="E34" s="28">
        <f t="shared" si="1"/>
        <v>1.3810908494234326E-2</v>
      </c>
      <c r="F34" s="57">
        <v>112915</v>
      </c>
      <c r="G34" s="164">
        <f t="shared" si="2"/>
        <v>0.14285967320550852</v>
      </c>
      <c r="H34" s="26">
        <f t="shared" si="3"/>
        <v>0.14285967320550852</v>
      </c>
      <c r="I34" s="20">
        <f t="shared" si="4"/>
        <v>1.3958422851308022E-2</v>
      </c>
      <c r="J34" s="25">
        <f t="shared" si="5"/>
        <v>5.6355228281527225E-5</v>
      </c>
      <c r="L34" s="24" t="s">
        <v>30</v>
      </c>
      <c r="M34" s="23">
        <f t="shared" si="6"/>
        <v>-34119.414391388331</v>
      </c>
      <c r="N34" s="22">
        <f t="shared" si="7"/>
        <v>-20690.30637830199</v>
      </c>
      <c r="O34" s="21">
        <f t="shared" si="8"/>
        <v>-55.689526511928861</v>
      </c>
      <c r="P34" s="165">
        <f t="shared" si="10"/>
        <v>-54865.410296202252</v>
      </c>
      <c r="Q34" s="197">
        <f t="shared" si="9"/>
        <v>1.1104252148165874E-2</v>
      </c>
      <c r="S34" s="19"/>
      <c r="T34" s="19"/>
      <c r="U34" s="19"/>
      <c r="V34" s="19"/>
      <c r="W34" s="19"/>
      <c r="X34" s="19"/>
      <c r="Y34" s="19"/>
      <c r="Z34" s="19"/>
    </row>
    <row r="35" spans="1:26">
      <c r="A35" s="24" t="s">
        <v>31</v>
      </c>
      <c r="B35" s="23">
        <v>0</v>
      </c>
      <c r="C35" s="22" t="s">
        <v>155</v>
      </c>
      <c r="D35" s="177">
        <f t="shared" si="0"/>
        <v>0</v>
      </c>
      <c r="E35" s="28">
        <f t="shared" si="1"/>
        <v>0</v>
      </c>
      <c r="F35" s="57">
        <v>0</v>
      </c>
      <c r="G35" s="164">
        <f t="shared" si="2"/>
        <v>0</v>
      </c>
      <c r="H35" s="26">
        <f t="shared" si="3"/>
        <v>0</v>
      </c>
      <c r="I35" s="20">
        <f t="shared" si="4"/>
        <v>0</v>
      </c>
      <c r="J35" s="25">
        <f t="shared" si="5"/>
        <v>0</v>
      </c>
      <c r="L35" s="24" t="s">
        <v>31</v>
      </c>
      <c r="M35" s="23">
        <f t="shared" si="6"/>
        <v>0</v>
      </c>
      <c r="N35" s="22">
        <f t="shared" si="7"/>
        <v>0</v>
      </c>
      <c r="O35" s="21">
        <f t="shared" si="8"/>
        <v>0</v>
      </c>
      <c r="P35" s="165">
        <f t="shared" si="10"/>
        <v>0</v>
      </c>
      <c r="Q35" s="197">
        <f t="shared" si="9"/>
        <v>0</v>
      </c>
      <c r="S35" s="19"/>
      <c r="T35" s="19"/>
      <c r="U35" s="19"/>
      <c r="V35" s="19"/>
      <c r="W35" s="19"/>
      <c r="X35" s="19"/>
      <c r="Y35" s="19"/>
      <c r="Z35" s="19"/>
    </row>
    <row r="36" spans="1:26">
      <c r="A36" s="24" t="s">
        <v>32</v>
      </c>
      <c r="B36" s="23">
        <v>3907034</v>
      </c>
      <c r="C36" s="22">
        <v>1176027</v>
      </c>
      <c r="D36" s="177">
        <f t="shared" si="0"/>
        <v>0.3010024995943214</v>
      </c>
      <c r="E36" s="28">
        <f t="shared" si="1"/>
        <v>1.9941770259420954E-2</v>
      </c>
      <c r="F36" s="57">
        <v>1194083</v>
      </c>
      <c r="G36" s="164">
        <f t="shared" si="2"/>
        <v>-1.5121226916386843E-2</v>
      </c>
      <c r="H36" s="26">
        <f t="shared" si="3"/>
        <v>0</v>
      </c>
      <c r="I36" s="20">
        <f t="shared" si="4"/>
        <v>0</v>
      </c>
      <c r="J36" s="25">
        <f t="shared" si="5"/>
        <v>5.1357864676347665E-4</v>
      </c>
      <c r="L36" s="24" t="s">
        <v>32</v>
      </c>
      <c r="M36" s="23">
        <f t="shared" si="6"/>
        <v>-49265.515260136293</v>
      </c>
      <c r="N36" s="22">
        <f t="shared" si="7"/>
        <v>0</v>
      </c>
      <c r="O36" s="21">
        <f t="shared" si="8"/>
        <v>-507.5119476407184</v>
      </c>
      <c r="P36" s="165">
        <f t="shared" si="10"/>
        <v>-49773.027207777013</v>
      </c>
      <c r="Q36" s="197">
        <f t="shared" si="9"/>
        <v>1.0073600859063172E-2</v>
      </c>
      <c r="S36" s="19"/>
      <c r="T36" s="19"/>
      <c r="U36" s="19"/>
      <c r="V36" s="19"/>
      <c r="W36" s="19"/>
      <c r="X36" s="19"/>
      <c r="Y36" s="19"/>
      <c r="Z36" s="19"/>
    </row>
    <row r="37" spans="1:26">
      <c r="A37" s="24" t="s">
        <v>33</v>
      </c>
      <c r="B37" s="23">
        <v>40511812</v>
      </c>
      <c r="C37" s="22">
        <v>12032960</v>
      </c>
      <c r="D37" s="177">
        <f t="shared" si="0"/>
        <v>0.2970234952709595</v>
      </c>
      <c r="E37" s="28">
        <f t="shared" si="1"/>
        <v>1.9678156534668943E-2</v>
      </c>
      <c r="F37" s="57">
        <v>10280239</v>
      </c>
      <c r="G37" s="164">
        <f t="shared" si="2"/>
        <v>0.17049418792695392</v>
      </c>
      <c r="H37" s="26">
        <f t="shared" si="3"/>
        <v>0.17049418792695392</v>
      </c>
      <c r="I37" s="20">
        <f t="shared" si="4"/>
        <v>1.665851471850514E-2</v>
      </c>
      <c r="J37" s="25">
        <f t="shared" si="5"/>
        <v>5.2548719658299043E-3</v>
      </c>
      <c r="L37" s="24" t="s">
        <v>33</v>
      </c>
      <c r="M37" s="23">
        <f t="shared" si="6"/>
        <v>-48614.265856968785</v>
      </c>
      <c r="N37" s="22">
        <f t="shared" si="7"/>
        <v>-24692.601521311986</v>
      </c>
      <c r="O37" s="21">
        <f t="shared" si="8"/>
        <v>-5192.7982652463425</v>
      </c>
      <c r="P37" s="165">
        <f t="shared" si="10"/>
        <v>-78499.665643527114</v>
      </c>
      <c r="Q37" s="197">
        <f t="shared" si="9"/>
        <v>1.5887607076051996E-2</v>
      </c>
      <c r="S37" s="19"/>
      <c r="T37" s="19"/>
      <c r="U37" s="19"/>
      <c r="V37" s="19"/>
      <c r="W37" s="19"/>
      <c r="X37" s="19"/>
      <c r="Y37" s="19"/>
      <c r="Z37" s="19"/>
    </row>
    <row r="38" spans="1:26">
      <c r="A38" s="24" t="s">
        <v>34</v>
      </c>
      <c r="B38" s="23">
        <v>2187206</v>
      </c>
      <c r="C38" s="22">
        <v>947940</v>
      </c>
      <c r="D38" s="177">
        <f t="shared" si="0"/>
        <v>0.43340224926230086</v>
      </c>
      <c r="E38" s="28">
        <f t="shared" si="1"/>
        <v>2.8713409677173826E-2</v>
      </c>
      <c r="F38" s="57">
        <v>940947</v>
      </c>
      <c r="G38" s="164">
        <f t="shared" si="2"/>
        <v>7.4318744838977047E-3</v>
      </c>
      <c r="H38" s="26">
        <f t="shared" si="3"/>
        <v>7.4318744838977047E-3</v>
      </c>
      <c r="I38" s="20">
        <f t="shared" si="4"/>
        <v>7.2614786451919962E-4</v>
      </c>
      <c r="J38" s="25">
        <f t="shared" si="5"/>
        <v>4.1397156903112778E-4</v>
      </c>
      <c r="L38" s="24" t="s">
        <v>34</v>
      </c>
      <c r="M38" s="23">
        <f t="shared" si="6"/>
        <v>-70935.574135053103</v>
      </c>
      <c r="N38" s="22">
        <f t="shared" si="7"/>
        <v>-1076.3552553821701</v>
      </c>
      <c r="O38" s="21">
        <f t="shared" si="8"/>
        <v>-409.08148847479072</v>
      </c>
      <c r="P38" s="165">
        <f t="shared" si="10"/>
        <v>-72421.010878910063</v>
      </c>
      <c r="Q38" s="197">
        <f t="shared" si="9"/>
        <v>1.4657343511748898E-2</v>
      </c>
      <c r="S38" s="19"/>
      <c r="T38" s="19"/>
      <c r="U38" s="19"/>
      <c r="V38" s="19"/>
      <c r="W38" s="19"/>
      <c r="X38" s="19"/>
      <c r="Y38" s="19"/>
      <c r="Z38" s="19"/>
    </row>
    <row r="39" spans="1:26">
      <c r="A39" s="24" t="s">
        <v>35</v>
      </c>
      <c r="B39" s="23">
        <v>769899</v>
      </c>
      <c r="C39" s="22">
        <v>296637</v>
      </c>
      <c r="D39" s="177">
        <f t="shared" si="0"/>
        <v>0.38529339562721865</v>
      </c>
      <c r="E39" s="28">
        <f t="shared" si="1"/>
        <v>2.5526141438777388E-2</v>
      </c>
      <c r="F39" s="57">
        <v>301669</v>
      </c>
      <c r="G39" s="164">
        <f t="shared" si="2"/>
        <v>-1.6680533962720734E-2</v>
      </c>
      <c r="H39" s="26">
        <f t="shared" si="3"/>
        <v>0</v>
      </c>
      <c r="I39" s="20">
        <f t="shared" si="4"/>
        <v>0</v>
      </c>
      <c r="J39" s="25">
        <f t="shared" si="5"/>
        <v>1.2954330898863497E-4</v>
      </c>
      <c r="L39" s="24" t="s">
        <v>35</v>
      </c>
      <c r="M39" s="23">
        <f t="shared" si="6"/>
        <v>-63061.528351044217</v>
      </c>
      <c r="N39" s="22">
        <f t="shared" si="7"/>
        <v>0</v>
      </c>
      <c r="O39" s="21">
        <f t="shared" si="8"/>
        <v>-128.01306569687583</v>
      </c>
      <c r="P39" s="165">
        <f t="shared" si="10"/>
        <v>-63189.541416741093</v>
      </c>
      <c r="Q39" s="197">
        <f t="shared" si="9"/>
        <v>1.2788979381186422E-2</v>
      </c>
      <c r="S39" s="19"/>
      <c r="T39" s="19"/>
      <c r="U39" s="19"/>
      <c r="V39" s="19"/>
      <c r="W39" s="19"/>
      <c r="X39" s="19"/>
      <c r="Y39" s="19"/>
      <c r="Z39" s="19"/>
    </row>
    <row r="40" spans="1:26">
      <c r="A40" s="24" t="s">
        <v>36</v>
      </c>
      <c r="B40" s="23">
        <v>847487</v>
      </c>
      <c r="C40" s="22">
        <v>101056</v>
      </c>
      <c r="D40" s="177">
        <f t="shared" si="0"/>
        <v>0.11924194707411441</v>
      </c>
      <c r="E40" s="28">
        <f t="shared" si="1"/>
        <v>7.8999194925053803E-3</v>
      </c>
      <c r="F40" s="57">
        <v>64774</v>
      </c>
      <c r="G40" s="164">
        <f t="shared" si="2"/>
        <v>0.56013215178929809</v>
      </c>
      <c r="H40" s="26">
        <f t="shared" si="3"/>
        <v>0.56013215178929809</v>
      </c>
      <c r="I40" s="20">
        <f t="shared" si="4"/>
        <v>5.4728960607664308E-2</v>
      </c>
      <c r="J40" s="25">
        <f t="shared" si="5"/>
        <v>4.4131813068347839E-5</v>
      </c>
      <c r="L40" s="24" t="s">
        <v>36</v>
      </c>
      <c r="M40" s="23">
        <f t="shared" si="6"/>
        <v>-19516.502258770528</v>
      </c>
      <c r="N40" s="22">
        <f t="shared" si="7"/>
        <v>-81123.703931385317</v>
      </c>
      <c r="O40" s="21">
        <f t="shared" si="8"/>
        <v>-43.610501613296677</v>
      </c>
      <c r="P40" s="165">
        <f t="shared" si="10"/>
        <v>-100683.81669176914</v>
      </c>
      <c r="Q40" s="197">
        <f t="shared" si="9"/>
        <v>2.037747429116565E-2</v>
      </c>
      <c r="S40" s="19"/>
      <c r="T40" s="19"/>
      <c r="U40" s="19"/>
      <c r="V40" s="19"/>
      <c r="W40" s="19"/>
      <c r="X40" s="19"/>
      <c r="Y40" s="19"/>
      <c r="Z40" s="19"/>
    </row>
    <row r="41" spans="1:26">
      <c r="A41" s="24" t="s">
        <v>37</v>
      </c>
      <c r="B41" s="23">
        <v>4772320</v>
      </c>
      <c r="C41" s="22">
        <v>933845.6</v>
      </c>
      <c r="D41" s="177">
        <f t="shared" si="0"/>
        <v>0.19567958561035304</v>
      </c>
      <c r="E41" s="28">
        <f t="shared" si="1"/>
        <v>1.2964003109474419E-2</v>
      </c>
      <c r="F41" s="57">
        <v>1105076</v>
      </c>
      <c r="G41" s="164">
        <f t="shared" si="2"/>
        <v>-0.15494898088457265</v>
      </c>
      <c r="H41" s="26">
        <f t="shared" si="3"/>
        <v>0</v>
      </c>
      <c r="I41" s="20">
        <f t="shared" si="4"/>
        <v>0</v>
      </c>
      <c r="J41" s="25">
        <f t="shared" si="5"/>
        <v>4.0781645279745017E-4</v>
      </c>
      <c r="L41" s="24" t="s">
        <v>37</v>
      </c>
      <c r="M41" s="23">
        <f t="shared" si="6"/>
        <v>-32027.161315858604</v>
      </c>
      <c r="N41" s="22">
        <f t="shared" si="7"/>
        <v>0</v>
      </c>
      <c r="O41" s="21">
        <f t="shared" si="8"/>
        <v>-402.99908016713499</v>
      </c>
      <c r="P41" s="165">
        <f t="shared" si="10"/>
        <v>-32430.160396025738</v>
      </c>
      <c r="Q41" s="197">
        <f t="shared" si="9"/>
        <v>6.563564845296699E-3</v>
      </c>
      <c r="S41" s="19"/>
      <c r="T41" s="19"/>
      <c r="U41" s="19"/>
      <c r="V41" s="19"/>
      <c r="W41" s="19"/>
      <c r="X41" s="19"/>
      <c r="Y41" s="19"/>
      <c r="Z41" s="19"/>
    </row>
    <row r="42" spans="1:26">
      <c r="A42" s="24" t="s">
        <v>38</v>
      </c>
      <c r="B42" s="23">
        <v>62554222</v>
      </c>
      <c r="C42" s="22">
        <v>20840679</v>
      </c>
      <c r="D42" s="177">
        <f t="shared" si="0"/>
        <v>0.33316182878911033</v>
      </c>
      <c r="E42" s="28">
        <f t="shared" si="1"/>
        <v>2.2072363710850449E-2</v>
      </c>
      <c r="F42" s="57">
        <v>16891683.199999999</v>
      </c>
      <c r="G42" s="164">
        <f t="shared" si="2"/>
        <v>0.23378343965153214</v>
      </c>
      <c r="H42" s="26">
        <f t="shared" si="3"/>
        <v>0.23378343965153214</v>
      </c>
      <c r="I42" s="20">
        <f t="shared" si="4"/>
        <v>2.2842332150620575E-2</v>
      </c>
      <c r="J42" s="25">
        <f t="shared" si="5"/>
        <v>9.1012601908391621E-3</v>
      </c>
      <c r="L42" s="24" t="s">
        <v>38</v>
      </c>
      <c r="M42" s="23">
        <f t="shared" si="6"/>
        <v>-54529.079268199144</v>
      </c>
      <c r="N42" s="22">
        <f t="shared" si="7"/>
        <v>-33858.757226787231</v>
      </c>
      <c r="O42" s="21">
        <f t="shared" si="8"/>
        <v>-8993.7506447088563</v>
      </c>
      <c r="P42" s="165">
        <f t="shared" si="10"/>
        <v>-97381.587139695228</v>
      </c>
      <c r="Q42" s="197">
        <f t="shared" si="9"/>
        <v>1.970913353877923E-2</v>
      </c>
      <c r="S42" s="19"/>
      <c r="T42" s="19"/>
      <c r="U42" s="19"/>
      <c r="V42" s="19"/>
      <c r="W42" s="19"/>
      <c r="X42" s="19"/>
      <c r="Y42" s="19"/>
      <c r="Z42" s="19"/>
    </row>
    <row r="43" spans="1:26">
      <c r="A43" s="24" t="s">
        <v>39</v>
      </c>
      <c r="B43" s="23"/>
      <c r="C43" s="22" t="s">
        <v>155</v>
      </c>
      <c r="D43" s="177">
        <f t="shared" si="0"/>
        <v>0</v>
      </c>
      <c r="E43" s="28">
        <f t="shared" si="1"/>
        <v>0</v>
      </c>
      <c r="F43" s="57"/>
      <c r="G43" s="164">
        <f t="shared" si="2"/>
        <v>0</v>
      </c>
      <c r="H43" s="26">
        <f t="shared" si="3"/>
        <v>0</v>
      </c>
      <c r="I43" s="20">
        <f t="shared" si="4"/>
        <v>0</v>
      </c>
      <c r="J43" s="25">
        <f t="shared" si="5"/>
        <v>0</v>
      </c>
      <c r="L43" s="24" t="s">
        <v>39</v>
      </c>
      <c r="M43" s="23">
        <f t="shared" si="6"/>
        <v>0</v>
      </c>
      <c r="N43" s="22">
        <f t="shared" si="7"/>
        <v>0</v>
      </c>
      <c r="O43" s="21">
        <f t="shared" si="8"/>
        <v>0</v>
      </c>
      <c r="P43" s="165">
        <f t="shared" si="10"/>
        <v>0</v>
      </c>
      <c r="Q43" s="197">
        <f t="shared" si="9"/>
        <v>0</v>
      </c>
      <c r="S43" s="19"/>
      <c r="T43" s="19"/>
      <c r="U43" s="19"/>
      <c r="V43" s="19"/>
      <c r="W43" s="19"/>
      <c r="X43" s="19"/>
      <c r="Y43" s="19"/>
      <c r="Z43" s="19"/>
    </row>
    <row r="44" spans="1:26">
      <c r="A44" s="24" t="s">
        <v>40</v>
      </c>
      <c r="B44" s="23">
        <v>1399134</v>
      </c>
      <c r="C44" s="22">
        <v>378540</v>
      </c>
      <c r="D44" s="177">
        <f t="shared" si="0"/>
        <v>0.27055307068515239</v>
      </c>
      <c r="E44" s="28">
        <f t="shared" si="1"/>
        <v>1.7924459716632778E-2</v>
      </c>
      <c r="F44" s="57">
        <v>451420</v>
      </c>
      <c r="G44" s="164">
        <f t="shared" si="2"/>
        <v>-0.1614461034070267</v>
      </c>
      <c r="H44" s="26">
        <f t="shared" si="3"/>
        <v>0</v>
      </c>
      <c r="I44" s="20">
        <f t="shared" si="4"/>
        <v>0</v>
      </c>
      <c r="J44" s="25">
        <f t="shared" si="5"/>
        <v>1.6531088227213022E-4</v>
      </c>
      <c r="L44" s="24" t="s">
        <v>40</v>
      </c>
      <c r="M44" s="23">
        <f t="shared" si="6"/>
        <v>-44281.813109460207</v>
      </c>
      <c r="N44" s="22">
        <f t="shared" si="7"/>
        <v>0</v>
      </c>
      <c r="O44" s="21">
        <f t="shared" si="8"/>
        <v>-163.35813094420246</v>
      </c>
      <c r="P44" s="165">
        <f t="shared" si="10"/>
        <v>-44445.171240404408</v>
      </c>
      <c r="Q44" s="197">
        <f t="shared" si="9"/>
        <v>8.9952920347708149E-3</v>
      </c>
      <c r="S44" s="19"/>
      <c r="T44" s="19"/>
      <c r="U44" s="19"/>
      <c r="V44" s="19"/>
      <c r="W44" s="19"/>
      <c r="X44" s="19"/>
      <c r="Y44" s="19"/>
      <c r="Z44" s="19"/>
    </row>
    <row r="45" spans="1:26">
      <c r="A45" s="24" t="s">
        <v>41</v>
      </c>
      <c r="B45" s="23">
        <v>110604359</v>
      </c>
      <c r="C45" s="22">
        <v>21534368.5</v>
      </c>
      <c r="D45" s="177">
        <f t="shared" si="0"/>
        <v>0.19469728584566906</v>
      </c>
      <c r="E45" s="28">
        <f t="shared" si="1"/>
        <v>1.2898924592652758E-2</v>
      </c>
      <c r="F45" s="57">
        <v>17252658</v>
      </c>
      <c r="G45" s="164">
        <f t="shared" si="2"/>
        <v>0.2481768606321415</v>
      </c>
      <c r="H45" s="26">
        <f t="shared" si="3"/>
        <v>0.2481768606321415</v>
      </c>
      <c r="I45" s="20">
        <f t="shared" si="4"/>
        <v>2.4248673435156617E-2</v>
      </c>
      <c r="J45" s="25">
        <f t="shared" si="5"/>
        <v>9.4041989113651647E-3</v>
      </c>
      <c r="L45" s="24" t="s">
        <v>41</v>
      </c>
      <c r="M45" s="23">
        <f t="shared" si="6"/>
        <v>-31866.386890023969</v>
      </c>
      <c r="N45" s="22">
        <f t="shared" si="7"/>
        <v>-35943.350333004724</v>
      </c>
      <c r="O45" s="21">
        <f t="shared" si="8"/>
        <v>-9293.1108713047724</v>
      </c>
      <c r="P45" s="165">
        <f t="shared" si="10"/>
        <v>-77102.848094333473</v>
      </c>
      <c r="Q45" s="197">
        <f t="shared" si="9"/>
        <v>1.5604904109146398E-2</v>
      </c>
      <c r="S45" s="19"/>
      <c r="T45" s="19"/>
      <c r="U45" s="19"/>
      <c r="V45" s="19"/>
      <c r="W45" s="19"/>
      <c r="X45" s="19"/>
      <c r="Y45" s="19"/>
      <c r="Z45" s="19"/>
    </row>
    <row r="46" spans="1:26">
      <c r="A46" s="24" t="s">
        <v>42</v>
      </c>
      <c r="B46" s="23">
        <v>8051951</v>
      </c>
      <c r="C46" s="22">
        <v>1244367</v>
      </c>
      <c r="D46" s="177">
        <f t="shared" si="0"/>
        <v>0.15454229664338495</v>
      </c>
      <c r="E46" s="28">
        <f t="shared" si="1"/>
        <v>1.0238609244704776E-2</v>
      </c>
      <c r="F46" s="57">
        <v>1075933</v>
      </c>
      <c r="G46" s="164">
        <f t="shared" si="2"/>
        <v>0.15654692253142155</v>
      </c>
      <c r="H46" s="26">
        <f t="shared" si="3"/>
        <v>0.15654692253142155</v>
      </c>
      <c r="I46" s="20">
        <f t="shared" si="4"/>
        <v>1.5295766060035227E-2</v>
      </c>
      <c r="J46" s="25">
        <f t="shared" si="5"/>
        <v>5.4342316965267571E-4</v>
      </c>
      <c r="L46" s="24" t="s">
        <v>42</v>
      </c>
      <c r="M46" s="23">
        <f t="shared" si="6"/>
        <v>-25294.161622851942</v>
      </c>
      <c r="N46" s="22">
        <f t="shared" si="7"/>
        <v>-22672.624940811682</v>
      </c>
      <c r="O46" s="21">
        <f t="shared" si="8"/>
        <v>-537.00392911883648</v>
      </c>
      <c r="P46" s="165">
        <f t="shared" si="10"/>
        <v>-48503.790492782464</v>
      </c>
      <c r="Q46" s="197">
        <f t="shared" si="9"/>
        <v>9.8167190742934913E-3</v>
      </c>
      <c r="S46" s="19"/>
      <c r="T46" s="19"/>
      <c r="U46" s="19"/>
      <c r="V46" s="19"/>
      <c r="W46" s="19"/>
      <c r="X46" s="19"/>
      <c r="Y46" s="19"/>
      <c r="Z46" s="19"/>
    </row>
    <row r="47" spans="1:26">
      <c r="A47" s="24" t="s">
        <v>43</v>
      </c>
      <c r="B47" s="23">
        <v>1112166</v>
      </c>
      <c r="C47" s="22">
        <v>290271</v>
      </c>
      <c r="D47" s="177">
        <f t="shared" si="0"/>
        <v>0.26099611029288794</v>
      </c>
      <c r="E47" s="28">
        <f t="shared" si="1"/>
        <v>1.7291299829994684E-2</v>
      </c>
      <c r="F47" s="57">
        <v>222448</v>
      </c>
      <c r="G47" s="164">
        <f t="shared" si="2"/>
        <v>0.30489372797238001</v>
      </c>
      <c r="H47" s="26">
        <f t="shared" si="3"/>
        <v>0.30489372797238001</v>
      </c>
      <c r="I47" s="20">
        <f t="shared" si="4"/>
        <v>2.9790321399013674E-2</v>
      </c>
      <c r="J47" s="25">
        <f t="shared" si="5"/>
        <v>1.2676323534636632E-4</v>
      </c>
      <c r="L47" s="24" t="s">
        <v>43</v>
      </c>
      <c r="M47" s="23">
        <f t="shared" si="6"/>
        <v>-42717.611554057221</v>
      </c>
      <c r="N47" s="22">
        <f t="shared" si="7"/>
        <v>-44157.630372683525</v>
      </c>
      <c r="O47" s="21">
        <f t="shared" si="8"/>
        <v>-125.26583195251384</v>
      </c>
      <c r="P47" s="165">
        <f t="shared" si="10"/>
        <v>-87000.507758693246</v>
      </c>
      <c r="Q47" s="197">
        <f t="shared" si="9"/>
        <v>1.7608098981770712E-2</v>
      </c>
      <c r="S47" s="19"/>
      <c r="T47" s="19"/>
      <c r="U47" s="19"/>
      <c r="V47" s="19"/>
      <c r="W47" s="19"/>
      <c r="X47" s="19"/>
      <c r="Y47" s="19"/>
      <c r="Z47" s="19"/>
    </row>
    <row r="48" spans="1:26">
      <c r="A48" s="24" t="s">
        <v>44</v>
      </c>
      <c r="B48" s="23">
        <v>18582885</v>
      </c>
      <c r="C48" s="22">
        <v>7908079.6500000004</v>
      </c>
      <c r="D48" s="177">
        <f t="shared" si="0"/>
        <v>0.42555715380039216</v>
      </c>
      <c r="E48" s="28">
        <f t="shared" si="1"/>
        <v>2.8193662859205673E-2</v>
      </c>
      <c r="F48" s="57">
        <v>7881801</v>
      </c>
      <c r="G48" s="164">
        <f t="shared" si="2"/>
        <v>3.3340920431765841E-3</v>
      </c>
      <c r="H48" s="26">
        <f t="shared" si="3"/>
        <v>3.3340920431765841E-3</v>
      </c>
      <c r="I48" s="20">
        <f t="shared" si="4"/>
        <v>3.2576489585617926E-4</v>
      </c>
      <c r="J48" s="25">
        <f t="shared" si="5"/>
        <v>3.4535098642673925E-3</v>
      </c>
      <c r="L48" s="24" t="s">
        <v>44</v>
      </c>
      <c r="M48" s="23">
        <f t="shared" si="6"/>
        <v>-69651.555993287548</v>
      </c>
      <c r="N48" s="22">
        <f t="shared" si="7"/>
        <v>-482.8751481710828</v>
      </c>
      <c r="O48" s="21">
        <f t="shared" si="8"/>
        <v>-3412.7149336447474</v>
      </c>
      <c r="P48" s="165">
        <f t="shared" si="10"/>
        <v>-73547.146075103374</v>
      </c>
      <c r="Q48" s="197">
        <f t="shared" si="9"/>
        <v>1.4885262871213167E-2</v>
      </c>
      <c r="S48" s="19"/>
      <c r="T48" s="19"/>
      <c r="U48" s="19"/>
      <c r="V48" s="19"/>
      <c r="W48" s="19"/>
      <c r="X48" s="19"/>
      <c r="Y48" s="19"/>
      <c r="Z48" s="19"/>
    </row>
    <row r="49" spans="1:26">
      <c r="A49" s="24" t="s">
        <v>45</v>
      </c>
      <c r="B49" s="23">
        <v>126915948</v>
      </c>
      <c r="C49" s="22">
        <v>23883804.280000001</v>
      </c>
      <c r="D49" s="177">
        <f t="shared" si="0"/>
        <v>0.18818599755485418</v>
      </c>
      <c r="E49" s="28">
        <f t="shared" si="1"/>
        <v>1.2467544071350476E-2</v>
      </c>
      <c r="F49" s="57">
        <v>19038713.890000001</v>
      </c>
      <c r="G49" s="164">
        <f t="shared" si="2"/>
        <v>0.25448622307123703</v>
      </c>
      <c r="H49" s="26">
        <f t="shared" si="3"/>
        <v>0.25448622307123703</v>
      </c>
      <c r="I49" s="20">
        <f t="shared" si="4"/>
        <v>2.4865143757893293E-2</v>
      </c>
      <c r="J49" s="25">
        <f t="shared" si="5"/>
        <v>1.0430212811173666E-2</v>
      </c>
      <c r="L49" s="24" t="s">
        <v>45</v>
      </c>
      <c r="M49" s="23">
        <f t="shared" si="6"/>
        <v>-30800.674900633105</v>
      </c>
      <c r="N49" s="22">
        <f t="shared" si="7"/>
        <v>-36857.132641108197</v>
      </c>
      <c r="O49" s="21">
        <f t="shared" si="8"/>
        <v>-10307.004879320397</v>
      </c>
      <c r="P49" s="165">
        <f t="shared" si="10"/>
        <v>-77964.81242106171</v>
      </c>
      <c r="Q49" s="197">
        <f t="shared" si="9"/>
        <v>1.577935772527796E-2</v>
      </c>
      <c r="S49" s="19"/>
      <c r="T49" s="19"/>
      <c r="U49" s="19"/>
      <c r="V49" s="19"/>
      <c r="W49" s="19"/>
      <c r="X49" s="19"/>
      <c r="Y49" s="19"/>
      <c r="Z49" s="19"/>
    </row>
    <row r="50" spans="1:26">
      <c r="A50" s="24" t="s">
        <v>46</v>
      </c>
      <c r="B50" s="23">
        <v>649205075</v>
      </c>
      <c r="C50" s="22">
        <v>330884619.5</v>
      </c>
      <c r="D50" s="177">
        <f t="shared" si="0"/>
        <v>0.50967657561826674</v>
      </c>
      <c r="E50" s="28">
        <f t="shared" si="1"/>
        <v>3.3766673669774448E-2</v>
      </c>
      <c r="F50" s="57">
        <v>306694612.58999997</v>
      </c>
      <c r="G50" s="164">
        <f t="shared" si="2"/>
        <v>7.8873269751034369E-2</v>
      </c>
      <c r="H50" s="26">
        <f t="shared" si="3"/>
        <v>7.8873269751034369E-2</v>
      </c>
      <c r="I50" s="20">
        <f t="shared" si="4"/>
        <v>7.7064886552447231E-3</v>
      </c>
      <c r="J50" s="25">
        <f t="shared" si="5"/>
        <v>0.14449946737418265</v>
      </c>
      <c r="L50" s="24" t="s">
        <v>46</v>
      </c>
      <c r="M50" s="23">
        <f t="shared" si="6"/>
        <v>-83419.50365095718</v>
      </c>
      <c r="N50" s="22">
        <f t="shared" si="7"/>
        <v>-11423.182481033668</v>
      </c>
      <c r="O50" s="21">
        <f t="shared" si="8"/>
        <v>-142792.55296587839</v>
      </c>
      <c r="P50" s="165">
        <f t="shared" si="10"/>
        <v>-237635.23909786926</v>
      </c>
      <c r="Q50" s="197">
        <f t="shared" si="9"/>
        <v>4.809517690629718E-2</v>
      </c>
      <c r="S50" s="19"/>
      <c r="T50" s="19"/>
      <c r="U50" s="19"/>
      <c r="V50" s="19"/>
      <c r="W50" s="19"/>
      <c r="X50" s="19"/>
      <c r="Y50" s="19"/>
      <c r="Z50" s="19"/>
    </row>
    <row r="51" spans="1:26">
      <c r="A51" s="24" t="s">
        <v>47</v>
      </c>
      <c r="B51" s="23">
        <v>1187612062</v>
      </c>
      <c r="C51" s="22">
        <v>722790593.90999997</v>
      </c>
      <c r="D51" s="177">
        <f t="shared" si="0"/>
        <v>0.60860833014173277</v>
      </c>
      <c r="E51" s="28">
        <f t="shared" si="1"/>
        <v>4.0321018974970743E-2</v>
      </c>
      <c r="F51" s="57">
        <v>671271036.40999997</v>
      </c>
      <c r="G51" s="164">
        <f t="shared" si="2"/>
        <v>7.6749263271554069E-2</v>
      </c>
      <c r="H51" s="26">
        <f t="shared" si="3"/>
        <v>7.6749263271554069E-2</v>
      </c>
      <c r="I51" s="20">
        <f t="shared" si="4"/>
        <v>7.4989578670645284E-3</v>
      </c>
      <c r="J51" s="25">
        <f t="shared" si="5"/>
        <v>0.31564735768283159</v>
      </c>
      <c r="L51" s="24" t="s">
        <v>47</v>
      </c>
      <c r="M51" s="23">
        <f t="shared" si="6"/>
        <v>-99611.807265567506</v>
      </c>
      <c r="N51" s="22">
        <f t="shared" si="7"/>
        <v>-11115.563516046062</v>
      </c>
      <c r="O51" s="21">
        <f t="shared" si="8"/>
        <v>-311918.7417054674</v>
      </c>
      <c r="P51" s="165">
        <f t="shared" si="10"/>
        <v>-422646.11248708097</v>
      </c>
      <c r="Q51" s="197">
        <f t="shared" si="9"/>
        <v>8.5539668384171055E-2</v>
      </c>
      <c r="S51" s="19"/>
      <c r="T51" s="19"/>
      <c r="U51" s="19"/>
      <c r="V51" s="19"/>
      <c r="W51" s="19"/>
      <c r="X51" s="19"/>
      <c r="Y51" s="19"/>
      <c r="Z51" s="19"/>
    </row>
    <row r="52" spans="1:26">
      <c r="A52" s="24" t="s">
        <v>48</v>
      </c>
      <c r="B52" s="23">
        <v>308328957</v>
      </c>
      <c r="C52" s="22">
        <v>126817695.59999999</v>
      </c>
      <c r="D52" s="177">
        <f t="shared" si="0"/>
        <v>0.41130647226235062</v>
      </c>
      <c r="E52" s="28">
        <f t="shared" si="1"/>
        <v>2.724953841620335E-2</v>
      </c>
      <c r="F52" s="57">
        <v>112141719.38</v>
      </c>
      <c r="G52" s="164">
        <f t="shared" si="2"/>
        <v>0.13086990551901057</v>
      </c>
      <c r="H52" s="26">
        <f t="shared" si="3"/>
        <v>0.13086990551901057</v>
      </c>
      <c r="I52" s="20">
        <f t="shared" si="4"/>
        <v>1.2786935870399582E-2</v>
      </c>
      <c r="J52" s="25">
        <f t="shared" si="5"/>
        <v>5.5382113243922552E-2</v>
      </c>
      <c r="L52" s="24" t="s">
        <v>48</v>
      </c>
      <c r="M52" s="23">
        <f t="shared" si="6"/>
        <v>-67319.126296770264</v>
      </c>
      <c r="N52" s="22">
        <f t="shared" si="7"/>
        <v>-18953.833367605348</v>
      </c>
      <c r="O52" s="21">
        <f t="shared" si="8"/>
        <v>-54727.906493017392</v>
      </c>
      <c r="P52" s="165">
        <f t="shared" si="10"/>
        <v>-141000.866157393</v>
      </c>
      <c r="Q52" s="197">
        <f t="shared" si="9"/>
        <v>2.8537272618006058E-2</v>
      </c>
      <c r="S52" s="19"/>
      <c r="T52" s="19"/>
      <c r="U52" s="19"/>
      <c r="V52" s="19"/>
      <c r="W52" s="19"/>
      <c r="X52" s="19"/>
      <c r="Y52" s="19"/>
      <c r="Z52" s="19"/>
    </row>
    <row r="53" spans="1:26">
      <c r="A53" s="24" t="s">
        <v>49</v>
      </c>
      <c r="B53" s="23">
        <v>208470911</v>
      </c>
      <c r="C53" s="22">
        <v>94615002.860000014</v>
      </c>
      <c r="D53" s="177">
        <f t="shared" si="0"/>
        <v>0.45385230201253363</v>
      </c>
      <c r="E53" s="28">
        <f t="shared" si="1"/>
        <v>3.0068249767498032E-2</v>
      </c>
      <c r="F53" s="57">
        <v>85362095.170000002</v>
      </c>
      <c r="G53" s="164">
        <f t="shared" si="2"/>
        <v>0.10839597682756841</v>
      </c>
      <c r="H53" s="26">
        <f t="shared" si="3"/>
        <v>0.10839597682756841</v>
      </c>
      <c r="I53" s="20">
        <f t="shared" si="4"/>
        <v>1.0591070565891821E-2</v>
      </c>
      <c r="J53" s="25">
        <f t="shared" si="5"/>
        <v>4.1318987686814405E-2</v>
      </c>
      <c r="L53" s="24" t="s">
        <v>49</v>
      </c>
      <c r="M53" s="23">
        <f t="shared" si="6"/>
        <v>-74282.66390073621</v>
      </c>
      <c r="N53" s="22">
        <f t="shared" si="7"/>
        <v>-15698.943728587748</v>
      </c>
      <c r="O53" s="21">
        <f t="shared" si="8"/>
        <v>-40830.903012865143</v>
      </c>
      <c r="P53" s="165">
        <f t="shared" si="10"/>
        <v>-130812.5106421891</v>
      </c>
      <c r="Q53" s="197">
        <f t="shared" si="9"/>
        <v>2.6475243590879442E-2</v>
      </c>
      <c r="S53" s="19"/>
      <c r="T53" s="19"/>
      <c r="U53" s="19"/>
      <c r="V53" s="19"/>
      <c r="W53" s="19"/>
      <c r="X53" s="19"/>
      <c r="Y53" s="19"/>
      <c r="Z53" s="19"/>
    </row>
    <row r="54" spans="1:26">
      <c r="A54" s="24" t="s">
        <v>50</v>
      </c>
      <c r="B54" s="23">
        <v>4538835</v>
      </c>
      <c r="C54" s="22">
        <v>1178778</v>
      </c>
      <c r="D54" s="177">
        <f t="shared" si="0"/>
        <v>0.25970937476246658</v>
      </c>
      <c r="E54" s="28">
        <f t="shared" si="1"/>
        <v>1.720605208498632E-2</v>
      </c>
      <c r="F54" s="57">
        <v>1456869</v>
      </c>
      <c r="G54" s="164">
        <f t="shared" si="2"/>
        <v>-0.19088263941370154</v>
      </c>
      <c r="H54" s="26">
        <f t="shared" si="3"/>
        <v>0</v>
      </c>
      <c r="I54" s="20">
        <f t="shared" si="4"/>
        <v>0</v>
      </c>
      <c r="J54" s="25">
        <f t="shared" si="5"/>
        <v>5.1478002637231758E-4</v>
      </c>
      <c r="L54" s="24" t="s">
        <v>50</v>
      </c>
      <c r="M54" s="23">
        <f t="shared" si="6"/>
        <v>-42507.009685318022</v>
      </c>
      <c r="N54" s="22">
        <f t="shared" si="7"/>
        <v>0</v>
      </c>
      <c r="O54" s="21">
        <f t="shared" si="8"/>
        <v>-508.69913583279197</v>
      </c>
      <c r="P54" s="165">
        <f t="shared" si="10"/>
        <v>-43015.708821150816</v>
      </c>
      <c r="Q54" s="197">
        <f t="shared" si="9"/>
        <v>8.7059820477676225E-3</v>
      </c>
      <c r="S54" s="19"/>
      <c r="T54" s="19"/>
      <c r="U54" s="19"/>
      <c r="V54" s="19"/>
      <c r="W54" s="19"/>
      <c r="X54" s="19"/>
      <c r="Y54" s="19"/>
      <c r="Z54" s="19"/>
    </row>
    <row r="55" spans="1:26">
      <c r="A55" s="24" t="s">
        <v>51</v>
      </c>
      <c r="B55" s="23">
        <v>3120510</v>
      </c>
      <c r="C55" s="22">
        <v>668727</v>
      </c>
      <c r="D55" s="177">
        <f t="shared" si="0"/>
        <v>0.2143005470259669</v>
      </c>
      <c r="E55" s="28">
        <f t="shared" si="1"/>
        <v>1.4197663743722251E-2</v>
      </c>
      <c r="F55" s="57">
        <v>668168</v>
      </c>
      <c r="G55" s="164">
        <f t="shared" si="2"/>
        <v>8.3661594090100877E-4</v>
      </c>
      <c r="H55" s="26">
        <f t="shared" si="3"/>
        <v>8.3661594090100877E-4</v>
      </c>
      <c r="I55" s="20">
        <f t="shared" si="4"/>
        <v>8.1743425595284905E-5</v>
      </c>
      <c r="J55" s="25">
        <f t="shared" si="5"/>
        <v>2.9203743427166169E-4</v>
      </c>
      <c r="L55" s="24" t="s">
        <v>51</v>
      </c>
      <c r="M55" s="23">
        <f t="shared" si="6"/>
        <v>-35074.881052457895</v>
      </c>
      <c r="N55" s="22">
        <f t="shared" si="7"/>
        <v>-121.16673480914706</v>
      </c>
      <c r="O55" s="21">
        <f t="shared" si="8"/>
        <v>-288.58771287558426</v>
      </c>
      <c r="P55" s="165">
        <f t="shared" si="10"/>
        <v>-35484.635500142627</v>
      </c>
      <c r="Q55" s="197">
        <f t="shared" si="9"/>
        <v>7.1817623863940439E-3</v>
      </c>
      <c r="S55" s="19"/>
      <c r="T55" s="19"/>
      <c r="U55" s="19"/>
      <c r="V55" s="19"/>
      <c r="W55" s="19"/>
      <c r="X55" s="19"/>
      <c r="Y55" s="19"/>
      <c r="Z55" s="19"/>
    </row>
    <row r="56" spans="1:26" ht="13.5" thickBot="1">
      <c r="A56" s="178" t="s">
        <v>52</v>
      </c>
      <c r="B56" s="179">
        <f>SUM(B5:B55)</f>
        <v>5256209157</v>
      </c>
      <c r="C56" s="180">
        <f>SUM(C5:C55)</f>
        <v>2289867398.9099998</v>
      </c>
      <c r="D56" s="181">
        <f>SUM(D5:D55)</f>
        <v>15.09407117214786</v>
      </c>
      <c r="E56" s="182">
        <f>SUM(E5:E55)</f>
        <v>0.99999999999999978</v>
      </c>
      <c r="F56" s="183">
        <f>SUM(F5:F55)</f>
        <v>2084369146.27</v>
      </c>
      <c r="G56" s="184"/>
      <c r="H56" s="185">
        <f>SUM(H5:H55)</f>
        <v>10.234657219323411</v>
      </c>
      <c r="I56" s="186">
        <f>SUM(I5:I55)</f>
        <v>1</v>
      </c>
      <c r="J56" s="187">
        <f>SUM(J5:J55)</f>
        <v>0.99999999999999989</v>
      </c>
      <c r="L56" s="178" t="s">
        <v>52</v>
      </c>
      <c r="M56" s="188">
        <f>SUM(M5:M55)</f>
        <v>-2470468.5000000005</v>
      </c>
      <c r="N56" s="183">
        <f>SUM(N5:N55)</f>
        <v>-1482281.1</v>
      </c>
      <c r="O56" s="189">
        <f>SUM(O5:O55)</f>
        <v>-988187.40000000014</v>
      </c>
      <c r="P56" s="190">
        <f>SUM(P5:P55)</f>
        <v>-4940937</v>
      </c>
      <c r="Q56" s="198">
        <f>SUM(Q5:Q55)</f>
        <v>0.99999999999999989</v>
      </c>
      <c r="S56" s="19"/>
      <c r="T56" s="19"/>
      <c r="U56" s="19"/>
      <c r="V56" s="19"/>
      <c r="W56" s="19"/>
      <c r="X56" s="19"/>
      <c r="Y56" s="19"/>
      <c r="Z56" s="19"/>
    </row>
    <row r="57" spans="1:26" ht="13.5" thickTop="1"/>
    <row r="59" spans="1:26">
      <c r="L59" s="435" t="s">
        <v>128</v>
      </c>
      <c r="M59" s="435"/>
      <c r="N59" s="435"/>
      <c r="O59" s="435"/>
      <c r="P59" s="435"/>
      <c r="Q59" s="435"/>
    </row>
    <row r="60" spans="1:26">
      <c r="L60" s="435"/>
      <c r="M60" s="435"/>
      <c r="N60" s="435"/>
      <c r="O60" s="435"/>
      <c r="P60" s="435"/>
      <c r="Q60" s="435"/>
    </row>
    <row r="61" spans="1:26">
      <c r="L61" s="435"/>
      <c r="M61" s="435"/>
      <c r="N61" s="435"/>
      <c r="O61" s="435"/>
      <c r="P61" s="435"/>
      <c r="Q61" s="435"/>
    </row>
    <row r="62" spans="1:26">
      <c r="L62" s="435"/>
      <c r="M62" s="435"/>
      <c r="N62" s="435"/>
      <c r="O62" s="435"/>
      <c r="P62" s="435"/>
      <c r="Q62" s="435"/>
    </row>
    <row r="63" spans="1:26">
      <c r="L63" s="435"/>
      <c r="M63" s="435"/>
      <c r="N63" s="435"/>
      <c r="O63" s="435"/>
      <c r="P63" s="435"/>
      <c r="Q63" s="435"/>
    </row>
    <row r="64" spans="1:26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</row>
    <row r="65" spans="1:2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</row>
    <row r="66" spans="1:2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</row>
    <row r="67" spans="1:2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</row>
    <row r="68" spans="1:22">
      <c r="A68" s="77"/>
      <c r="B68" s="436"/>
      <c r="C68" s="436"/>
      <c r="D68" s="436"/>
      <c r="E68" s="436"/>
      <c r="F68" s="436"/>
      <c r="G68" s="436"/>
      <c r="H68" s="436"/>
      <c r="I68" s="436"/>
      <c r="J68" s="78"/>
      <c r="K68" s="76"/>
      <c r="L68" s="437"/>
      <c r="M68" s="437"/>
      <c r="N68" s="437"/>
      <c r="O68" s="437"/>
      <c r="P68" s="437"/>
      <c r="Q68" s="437"/>
      <c r="R68" s="76"/>
      <c r="S68" s="76"/>
      <c r="T68" s="76"/>
      <c r="U68" s="76"/>
      <c r="V68" s="76"/>
    </row>
    <row r="69" spans="1:22">
      <c r="A69" s="389"/>
      <c r="B69" s="78"/>
      <c r="C69" s="78"/>
      <c r="D69" s="78"/>
      <c r="E69" s="78"/>
      <c r="F69" s="78"/>
      <c r="G69" s="78"/>
      <c r="H69" s="78"/>
      <c r="I69" s="78"/>
      <c r="J69" s="78"/>
      <c r="K69" s="76"/>
      <c r="L69" s="389"/>
      <c r="M69" s="78"/>
      <c r="N69" s="78"/>
      <c r="O69" s="78"/>
      <c r="P69" s="78"/>
      <c r="Q69" s="78"/>
      <c r="R69" s="76"/>
      <c r="S69" s="76"/>
      <c r="T69" s="76"/>
      <c r="U69" s="76"/>
      <c r="V69" s="76"/>
    </row>
    <row r="70" spans="1:22">
      <c r="A70" s="77"/>
      <c r="B70" s="79"/>
      <c r="C70" s="79"/>
      <c r="D70" s="79"/>
      <c r="E70" s="79"/>
      <c r="F70" s="79"/>
      <c r="G70" s="79"/>
      <c r="H70" s="79"/>
      <c r="I70" s="79"/>
      <c r="J70" s="79"/>
      <c r="K70" s="76"/>
      <c r="L70" s="76"/>
      <c r="M70" s="80"/>
      <c r="N70" s="80"/>
      <c r="O70" s="80"/>
      <c r="P70" s="80"/>
      <c r="Q70" s="76"/>
      <c r="R70" s="76"/>
      <c r="S70" s="76"/>
      <c r="T70" s="76"/>
      <c r="U70" s="76"/>
      <c r="V70" s="76"/>
    </row>
    <row r="71" spans="1:22">
      <c r="A71" s="76"/>
      <c r="B71" s="76"/>
      <c r="C71" s="76"/>
      <c r="D71" s="76"/>
      <c r="E71" s="76"/>
      <c r="F71" s="81"/>
      <c r="G71" s="77"/>
      <c r="H71" s="77"/>
      <c r="I71" s="77"/>
      <c r="J71" s="76"/>
      <c r="K71" s="76"/>
      <c r="L71" s="76"/>
      <c r="M71" s="191"/>
      <c r="N71" s="191"/>
      <c r="O71" s="191"/>
      <c r="P71" s="82"/>
      <c r="Q71" s="82"/>
      <c r="R71" s="76"/>
      <c r="S71" s="76"/>
      <c r="T71" s="76"/>
      <c r="U71" s="76"/>
      <c r="V71" s="76"/>
    </row>
    <row r="72" spans="1:22">
      <c r="A72" s="77"/>
      <c r="B72" s="22"/>
      <c r="C72" s="22"/>
      <c r="D72" s="177"/>
      <c r="E72" s="26"/>
      <c r="F72" s="22"/>
      <c r="G72" s="27"/>
      <c r="H72" s="26"/>
      <c r="I72" s="83"/>
      <c r="J72" s="84"/>
      <c r="K72" s="76"/>
      <c r="L72" s="77"/>
      <c r="M72" s="57"/>
      <c r="N72" s="57"/>
      <c r="O72" s="57"/>
      <c r="P72" s="57"/>
      <c r="Q72" s="85"/>
      <c r="R72" s="76"/>
      <c r="S72" s="76"/>
      <c r="T72" s="76"/>
      <c r="U72" s="76"/>
      <c r="V72" s="76"/>
    </row>
    <row r="73" spans="1:22">
      <c r="A73" s="77"/>
      <c r="B73" s="22"/>
      <c r="C73" s="22"/>
      <c r="D73" s="177"/>
      <c r="E73" s="26"/>
      <c r="F73" s="22"/>
      <c r="G73" s="27"/>
      <c r="H73" s="26"/>
      <c r="I73" s="83"/>
      <c r="J73" s="84"/>
      <c r="K73" s="76"/>
      <c r="L73" s="77"/>
      <c r="M73" s="57"/>
      <c r="N73" s="57"/>
      <c r="O73" s="57"/>
      <c r="P73" s="85"/>
      <c r="Q73" s="85"/>
      <c r="R73" s="76"/>
      <c r="S73" s="76"/>
      <c r="T73" s="76"/>
      <c r="U73" s="76"/>
      <c r="V73" s="76"/>
    </row>
    <row r="74" spans="1:22">
      <c r="A74" s="77"/>
      <c r="B74" s="22"/>
      <c r="C74" s="22"/>
      <c r="D74" s="177"/>
      <c r="E74" s="26"/>
      <c r="F74" s="22"/>
      <c r="G74" s="27"/>
      <c r="H74" s="26"/>
      <c r="I74" s="83"/>
      <c r="J74" s="84"/>
      <c r="K74" s="76"/>
      <c r="L74" s="77"/>
      <c r="M74" s="57"/>
      <c r="N74" s="57"/>
      <c r="O74" s="57"/>
      <c r="P74" s="85"/>
      <c r="Q74" s="85"/>
      <c r="R74" s="76"/>
      <c r="S74" s="76"/>
      <c r="T74" s="76"/>
      <c r="U74" s="76"/>
      <c r="V74" s="76"/>
    </row>
    <row r="75" spans="1:22">
      <c r="A75" s="77"/>
      <c r="B75" s="22"/>
      <c r="C75" s="22"/>
      <c r="D75" s="177"/>
      <c r="E75" s="26"/>
      <c r="F75" s="22"/>
      <c r="G75" s="27"/>
      <c r="H75" s="26"/>
      <c r="I75" s="83"/>
      <c r="J75" s="84"/>
      <c r="K75" s="76"/>
      <c r="L75" s="77"/>
      <c r="M75" s="57"/>
      <c r="N75" s="57"/>
      <c r="O75" s="57"/>
      <c r="P75" s="85"/>
      <c r="Q75" s="85"/>
      <c r="R75" s="76"/>
      <c r="S75" s="76"/>
      <c r="T75" s="76"/>
      <c r="U75" s="76"/>
      <c r="V75" s="76"/>
    </row>
    <row r="76" spans="1:22">
      <c r="A76" s="77"/>
      <c r="B76" s="22"/>
      <c r="C76" s="22"/>
      <c r="D76" s="177"/>
      <c r="E76" s="26"/>
      <c r="F76" s="22"/>
      <c r="G76" s="27"/>
      <c r="H76" s="26"/>
      <c r="I76" s="83"/>
      <c r="J76" s="84"/>
      <c r="K76" s="76"/>
      <c r="L76" s="77"/>
      <c r="M76" s="57"/>
      <c r="N76" s="57"/>
      <c r="O76" s="57"/>
      <c r="P76" s="85"/>
      <c r="Q76" s="85"/>
      <c r="R76" s="76"/>
      <c r="S76" s="76"/>
      <c r="T76" s="76"/>
      <c r="U76" s="76"/>
      <c r="V76" s="76"/>
    </row>
    <row r="77" spans="1:22">
      <c r="A77" s="77"/>
      <c r="B77" s="22"/>
      <c r="C77" s="22"/>
      <c r="D77" s="177"/>
      <c r="E77" s="26"/>
      <c r="F77" s="22"/>
      <c r="G77" s="27"/>
      <c r="H77" s="26"/>
      <c r="I77" s="83"/>
      <c r="J77" s="84"/>
      <c r="K77" s="76"/>
      <c r="L77" s="77"/>
      <c r="M77" s="57"/>
      <c r="N77" s="57"/>
      <c r="O77" s="57"/>
      <c r="P77" s="85"/>
      <c r="Q77" s="85"/>
      <c r="R77" s="76"/>
      <c r="S77" s="76"/>
      <c r="T77" s="76"/>
      <c r="U77" s="76"/>
      <c r="V77" s="76"/>
    </row>
    <row r="78" spans="1:22">
      <c r="A78" s="77"/>
      <c r="B78" s="22"/>
      <c r="C78" s="22"/>
      <c r="D78" s="177"/>
      <c r="E78" s="26"/>
      <c r="F78" s="22"/>
      <c r="G78" s="27"/>
      <c r="H78" s="26"/>
      <c r="I78" s="83"/>
      <c r="J78" s="84"/>
      <c r="K78" s="76"/>
      <c r="L78" s="77"/>
      <c r="M78" s="57"/>
      <c r="N78" s="57"/>
      <c r="O78" s="57"/>
      <c r="P78" s="85"/>
      <c r="Q78" s="85"/>
      <c r="R78" s="76"/>
      <c r="S78" s="76"/>
      <c r="T78" s="76"/>
      <c r="U78" s="76"/>
      <c r="V78" s="76"/>
    </row>
    <row r="79" spans="1:22">
      <c r="A79" s="77"/>
      <c r="B79" s="22"/>
      <c r="C79" s="22"/>
      <c r="D79" s="177"/>
      <c r="E79" s="26"/>
      <c r="F79" s="22"/>
      <c r="G79" s="27"/>
      <c r="H79" s="26"/>
      <c r="I79" s="83"/>
      <c r="J79" s="84"/>
      <c r="K79" s="76"/>
      <c r="L79" s="77"/>
      <c r="M79" s="57"/>
      <c r="N79" s="57"/>
      <c r="O79" s="57"/>
      <c r="P79" s="85"/>
      <c r="Q79" s="85"/>
      <c r="R79" s="76"/>
      <c r="S79" s="76"/>
      <c r="T79" s="76"/>
      <c r="U79" s="76"/>
      <c r="V79" s="76"/>
    </row>
    <row r="80" spans="1:22">
      <c r="A80" s="77"/>
      <c r="B80" s="22"/>
      <c r="C80" s="22"/>
      <c r="D80" s="177"/>
      <c r="E80" s="26"/>
      <c r="F80" s="22"/>
      <c r="G80" s="27"/>
      <c r="H80" s="26"/>
      <c r="I80" s="83"/>
      <c r="J80" s="84"/>
      <c r="K80" s="76"/>
      <c r="L80" s="77"/>
      <c r="M80" s="57"/>
      <c r="N80" s="57"/>
      <c r="O80" s="57"/>
      <c r="P80" s="85"/>
      <c r="Q80" s="85"/>
      <c r="R80" s="76"/>
      <c r="S80" s="76"/>
      <c r="T80" s="76"/>
      <c r="U80" s="76"/>
      <c r="V80" s="76"/>
    </row>
    <row r="81" spans="1:22">
      <c r="A81" s="77"/>
      <c r="B81" s="22"/>
      <c r="C81" s="22"/>
      <c r="D81" s="177"/>
      <c r="E81" s="26"/>
      <c r="F81" s="22"/>
      <c r="G81" s="27"/>
      <c r="H81" s="26"/>
      <c r="I81" s="83"/>
      <c r="J81" s="84"/>
      <c r="K81" s="76"/>
      <c r="L81" s="77"/>
      <c r="M81" s="57"/>
      <c r="N81" s="57"/>
      <c r="O81" s="57"/>
      <c r="P81" s="85"/>
      <c r="Q81" s="85"/>
      <c r="R81" s="76"/>
      <c r="S81" s="76"/>
      <c r="T81" s="76"/>
      <c r="U81" s="76"/>
      <c r="V81" s="76"/>
    </row>
    <row r="82" spans="1:22">
      <c r="A82" s="77"/>
      <c r="B82" s="22"/>
      <c r="C82" s="22"/>
      <c r="D82" s="177"/>
      <c r="E82" s="26"/>
      <c r="F82" s="22"/>
      <c r="G82" s="27"/>
      <c r="H82" s="26"/>
      <c r="I82" s="83"/>
      <c r="J82" s="84"/>
      <c r="K82" s="76"/>
      <c r="L82" s="77"/>
      <c r="M82" s="57"/>
      <c r="N82" s="57"/>
      <c r="O82" s="57"/>
      <c r="P82" s="85"/>
      <c r="Q82" s="85"/>
      <c r="R82" s="76"/>
      <c r="S82" s="76"/>
      <c r="T82" s="76"/>
      <c r="U82" s="76"/>
      <c r="V82" s="76"/>
    </row>
    <row r="83" spans="1:22">
      <c r="A83" s="77"/>
      <c r="B83" s="22"/>
      <c r="C83" s="22"/>
      <c r="D83" s="177"/>
      <c r="E83" s="26"/>
      <c r="F83" s="22"/>
      <c r="G83" s="27"/>
      <c r="H83" s="26"/>
      <c r="I83" s="83"/>
      <c r="J83" s="84"/>
      <c r="K83" s="76"/>
      <c r="L83" s="77"/>
      <c r="M83" s="57"/>
      <c r="N83" s="57"/>
      <c r="O83" s="57"/>
      <c r="P83" s="85"/>
      <c r="Q83" s="85"/>
      <c r="R83" s="76"/>
      <c r="S83" s="76"/>
      <c r="T83" s="76"/>
      <c r="U83" s="76"/>
      <c r="V83" s="76"/>
    </row>
    <row r="84" spans="1:22">
      <c r="A84" s="77"/>
      <c r="B84" s="22"/>
      <c r="C84" s="22"/>
      <c r="D84" s="177"/>
      <c r="E84" s="26"/>
      <c r="F84" s="22"/>
      <c r="G84" s="27"/>
      <c r="H84" s="26"/>
      <c r="I84" s="83"/>
      <c r="J84" s="84"/>
      <c r="K84" s="76"/>
      <c r="L84" s="77"/>
      <c r="M84" s="57"/>
      <c r="N84" s="57"/>
      <c r="O84" s="57"/>
      <c r="P84" s="85"/>
      <c r="Q84" s="85"/>
      <c r="R84" s="76"/>
      <c r="S84" s="76"/>
      <c r="T84" s="76"/>
      <c r="U84" s="76"/>
      <c r="V84" s="76"/>
    </row>
    <row r="85" spans="1:22">
      <c r="A85" s="77"/>
      <c r="B85" s="22"/>
      <c r="C85" s="22"/>
      <c r="D85" s="177"/>
      <c r="E85" s="26"/>
      <c r="F85" s="22"/>
      <c r="G85" s="27"/>
      <c r="H85" s="26"/>
      <c r="I85" s="83"/>
      <c r="J85" s="84"/>
      <c r="K85" s="76"/>
      <c r="L85" s="77"/>
      <c r="M85" s="57"/>
      <c r="N85" s="57"/>
      <c r="O85" s="57"/>
      <c r="P85" s="85"/>
      <c r="Q85" s="85"/>
      <c r="R85" s="76"/>
      <c r="S85" s="76"/>
      <c r="T85" s="76"/>
      <c r="U85" s="76"/>
      <c r="V85" s="76"/>
    </row>
    <row r="86" spans="1:22">
      <c r="A86" s="77"/>
      <c r="B86" s="22"/>
      <c r="C86" s="22"/>
      <c r="D86" s="177"/>
      <c r="E86" s="26"/>
      <c r="F86" s="22"/>
      <c r="G86" s="27"/>
      <c r="H86" s="26"/>
      <c r="I86" s="83"/>
      <c r="J86" s="84"/>
      <c r="K86" s="76"/>
      <c r="L86" s="77"/>
      <c r="M86" s="57"/>
      <c r="N86" s="57"/>
      <c r="O86" s="57"/>
      <c r="P86" s="85"/>
      <c r="Q86" s="85"/>
      <c r="R86" s="76"/>
      <c r="S86" s="76"/>
      <c r="T86" s="76"/>
      <c r="U86" s="76"/>
      <c r="V86" s="76"/>
    </row>
    <row r="87" spans="1:22">
      <c r="A87" s="77"/>
      <c r="B87" s="22"/>
      <c r="C87" s="22"/>
      <c r="D87" s="177"/>
      <c r="E87" s="26"/>
      <c r="F87" s="22"/>
      <c r="G87" s="27"/>
      <c r="H87" s="26"/>
      <c r="I87" s="83"/>
      <c r="J87" s="84"/>
      <c r="K87" s="76"/>
      <c r="L87" s="77"/>
      <c r="M87" s="57"/>
      <c r="N87" s="57"/>
      <c r="O87" s="57"/>
      <c r="P87" s="85"/>
      <c r="Q87" s="85"/>
      <c r="R87" s="76"/>
      <c r="S87" s="76"/>
      <c r="T87" s="76"/>
      <c r="U87" s="76"/>
      <c r="V87" s="76"/>
    </row>
    <row r="88" spans="1:22">
      <c r="A88" s="77"/>
      <c r="B88" s="22"/>
      <c r="C88" s="22"/>
      <c r="D88" s="177"/>
      <c r="E88" s="26"/>
      <c r="F88" s="22"/>
      <c r="G88" s="27"/>
      <c r="H88" s="26"/>
      <c r="I88" s="83"/>
      <c r="J88" s="84"/>
      <c r="K88" s="76"/>
      <c r="L88" s="77"/>
      <c r="M88" s="57"/>
      <c r="N88" s="57"/>
      <c r="O88" s="57"/>
      <c r="P88" s="85"/>
      <c r="Q88" s="85"/>
      <c r="R88" s="76"/>
      <c r="S88" s="76"/>
      <c r="T88" s="76"/>
      <c r="U88" s="76"/>
      <c r="V88" s="76"/>
    </row>
    <row r="89" spans="1:22">
      <c r="A89" s="77"/>
      <c r="B89" s="22"/>
      <c r="C89" s="22"/>
      <c r="D89" s="177"/>
      <c r="E89" s="26"/>
      <c r="F89" s="22"/>
      <c r="G89" s="27"/>
      <c r="H89" s="26"/>
      <c r="I89" s="83"/>
      <c r="J89" s="84"/>
      <c r="K89" s="76"/>
      <c r="L89" s="77"/>
      <c r="M89" s="57"/>
      <c r="N89" s="57"/>
      <c r="O89" s="57"/>
      <c r="P89" s="85"/>
      <c r="Q89" s="85"/>
      <c r="R89" s="76"/>
      <c r="S89" s="76"/>
      <c r="T89" s="76"/>
      <c r="U89" s="76"/>
      <c r="V89" s="76"/>
    </row>
    <row r="90" spans="1:22">
      <c r="A90" s="77"/>
      <c r="B90" s="22"/>
      <c r="C90" s="22"/>
      <c r="D90" s="177"/>
      <c r="E90" s="26"/>
      <c r="F90" s="22"/>
      <c r="G90" s="27"/>
      <c r="H90" s="26"/>
      <c r="I90" s="83"/>
      <c r="J90" s="84"/>
      <c r="K90" s="76"/>
      <c r="L90" s="77"/>
      <c r="M90" s="57"/>
      <c r="N90" s="57"/>
      <c r="O90" s="57"/>
      <c r="P90" s="85"/>
      <c r="Q90" s="85"/>
      <c r="R90" s="76"/>
      <c r="S90" s="76"/>
      <c r="T90" s="76"/>
      <c r="U90" s="76"/>
      <c r="V90" s="76"/>
    </row>
    <row r="91" spans="1:22">
      <c r="A91" s="77"/>
      <c r="B91" s="22"/>
      <c r="C91" s="22"/>
      <c r="D91" s="177"/>
      <c r="E91" s="26"/>
      <c r="F91" s="22"/>
      <c r="G91" s="27"/>
      <c r="H91" s="26"/>
      <c r="I91" s="83"/>
      <c r="J91" s="84"/>
      <c r="K91" s="76"/>
      <c r="L91" s="77"/>
      <c r="M91" s="57"/>
      <c r="N91" s="57"/>
      <c r="O91" s="57"/>
      <c r="P91" s="85"/>
      <c r="Q91" s="85"/>
      <c r="R91" s="76"/>
      <c r="S91" s="76"/>
      <c r="T91" s="76"/>
      <c r="U91" s="76"/>
      <c r="V91" s="76"/>
    </row>
    <row r="92" spans="1:22">
      <c r="A92" s="77"/>
      <c r="B92" s="22"/>
      <c r="C92" s="22"/>
      <c r="D92" s="177"/>
      <c r="E92" s="26"/>
      <c r="F92" s="22"/>
      <c r="G92" s="27"/>
      <c r="H92" s="26"/>
      <c r="I92" s="83"/>
      <c r="J92" s="84"/>
      <c r="K92" s="76"/>
      <c r="L92" s="77"/>
      <c r="M92" s="57"/>
      <c r="N92" s="57"/>
      <c r="O92" s="57"/>
      <c r="P92" s="85"/>
      <c r="Q92" s="85"/>
      <c r="R92" s="76"/>
      <c r="S92" s="76"/>
      <c r="T92" s="76"/>
      <c r="U92" s="76"/>
      <c r="V92" s="76"/>
    </row>
    <row r="93" spans="1:22">
      <c r="A93" s="77"/>
      <c r="B93" s="22"/>
      <c r="C93" s="22"/>
      <c r="D93" s="177"/>
      <c r="E93" s="26"/>
      <c r="F93" s="22"/>
      <c r="G93" s="27"/>
      <c r="H93" s="26"/>
      <c r="I93" s="83"/>
      <c r="J93" s="84"/>
      <c r="K93" s="76"/>
      <c r="L93" s="77"/>
      <c r="M93" s="57"/>
      <c r="N93" s="57"/>
      <c r="O93" s="57"/>
      <c r="P93" s="85"/>
      <c r="Q93" s="85"/>
      <c r="R93" s="76"/>
      <c r="S93" s="76"/>
      <c r="T93" s="76"/>
      <c r="U93" s="76"/>
      <c r="V93" s="76"/>
    </row>
    <row r="94" spans="1:22">
      <c r="A94" s="77"/>
      <c r="B94" s="22"/>
      <c r="C94" s="22"/>
      <c r="D94" s="177"/>
      <c r="E94" s="26"/>
      <c r="F94" s="22"/>
      <c r="G94" s="27"/>
      <c r="H94" s="26"/>
      <c r="I94" s="83"/>
      <c r="J94" s="84"/>
      <c r="K94" s="76"/>
      <c r="L94" s="77"/>
      <c r="M94" s="57"/>
      <c r="N94" s="57"/>
      <c r="O94" s="57"/>
      <c r="P94" s="85"/>
      <c r="Q94" s="85"/>
      <c r="R94" s="76"/>
      <c r="S94" s="76"/>
      <c r="T94" s="76"/>
      <c r="U94" s="76"/>
      <c r="V94" s="76"/>
    </row>
    <row r="95" spans="1:22">
      <c r="A95" s="77"/>
      <c r="B95" s="22"/>
      <c r="C95" s="22"/>
      <c r="D95" s="177"/>
      <c r="E95" s="26"/>
      <c r="F95" s="22"/>
      <c r="G95" s="27"/>
      <c r="H95" s="26"/>
      <c r="I95" s="83"/>
      <c r="J95" s="84"/>
      <c r="K95" s="76"/>
      <c r="L95" s="77"/>
      <c r="M95" s="57"/>
      <c r="N95" s="57"/>
      <c r="O95" s="57"/>
      <c r="P95" s="85"/>
      <c r="Q95" s="85"/>
      <c r="R95" s="76"/>
      <c r="S95" s="76"/>
      <c r="T95" s="76"/>
      <c r="U95" s="76"/>
      <c r="V95" s="76"/>
    </row>
    <row r="96" spans="1:22">
      <c r="A96" s="77"/>
      <c r="B96" s="22"/>
      <c r="C96" s="22"/>
      <c r="D96" s="177"/>
      <c r="E96" s="26"/>
      <c r="F96" s="22"/>
      <c r="G96" s="27"/>
      <c r="H96" s="26"/>
      <c r="I96" s="83"/>
      <c r="J96" s="84"/>
      <c r="K96" s="76"/>
      <c r="L96" s="77"/>
      <c r="M96" s="57"/>
      <c r="N96" s="57"/>
      <c r="O96" s="57"/>
      <c r="P96" s="85"/>
      <c r="Q96" s="85"/>
      <c r="R96" s="76"/>
      <c r="S96" s="76"/>
      <c r="T96" s="76"/>
      <c r="U96" s="76"/>
      <c r="V96" s="76"/>
    </row>
    <row r="97" spans="1:22">
      <c r="A97" s="77"/>
      <c r="B97" s="22"/>
      <c r="C97" s="22"/>
      <c r="D97" s="177"/>
      <c r="E97" s="26"/>
      <c r="F97" s="22"/>
      <c r="G97" s="27"/>
      <c r="H97" s="26"/>
      <c r="I97" s="83"/>
      <c r="J97" s="84"/>
      <c r="K97" s="76"/>
      <c r="L97" s="77"/>
      <c r="M97" s="57"/>
      <c r="N97" s="57"/>
      <c r="O97" s="57"/>
      <c r="P97" s="85"/>
      <c r="Q97" s="85"/>
      <c r="R97" s="76"/>
      <c r="S97" s="76"/>
      <c r="T97" s="76"/>
      <c r="U97" s="76"/>
      <c r="V97" s="76"/>
    </row>
    <row r="98" spans="1:22">
      <c r="A98" s="77"/>
      <c r="B98" s="22"/>
      <c r="C98" s="22"/>
      <c r="D98" s="177"/>
      <c r="E98" s="26"/>
      <c r="F98" s="22"/>
      <c r="G98" s="27"/>
      <c r="H98" s="26"/>
      <c r="I98" s="83"/>
      <c r="J98" s="84"/>
      <c r="K98" s="76"/>
      <c r="L98" s="77"/>
      <c r="M98" s="57"/>
      <c r="N98" s="57"/>
      <c r="O98" s="57"/>
      <c r="P98" s="85"/>
      <c r="Q98" s="85"/>
      <c r="R98" s="76"/>
      <c r="S98" s="76"/>
      <c r="T98" s="76"/>
      <c r="U98" s="76"/>
      <c r="V98" s="76"/>
    </row>
    <row r="99" spans="1:22">
      <c r="A99" s="77"/>
      <c r="B99" s="22"/>
      <c r="C99" s="22"/>
      <c r="D99" s="177"/>
      <c r="E99" s="26"/>
      <c r="F99" s="22"/>
      <c r="G99" s="27"/>
      <c r="H99" s="26"/>
      <c r="I99" s="83"/>
      <c r="J99" s="84"/>
      <c r="K99" s="76"/>
      <c r="L99" s="77"/>
      <c r="M99" s="57"/>
      <c r="N99" s="57"/>
      <c r="O99" s="57"/>
      <c r="P99" s="85"/>
      <c r="Q99" s="85"/>
      <c r="R99" s="76"/>
      <c r="S99" s="76"/>
      <c r="T99" s="76"/>
      <c r="U99" s="76"/>
      <c r="V99" s="76"/>
    </row>
    <row r="100" spans="1:22">
      <c r="A100" s="77"/>
      <c r="B100" s="22"/>
      <c r="C100" s="22"/>
      <c r="D100" s="177"/>
      <c r="E100" s="26"/>
      <c r="F100" s="22"/>
      <c r="G100" s="27"/>
      <c r="H100" s="26"/>
      <c r="I100" s="83"/>
      <c r="J100" s="84"/>
      <c r="K100" s="76"/>
      <c r="L100" s="77"/>
      <c r="M100" s="57"/>
      <c r="N100" s="57"/>
      <c r="O100" s="57"/>
      <c r="P100" s="85"/>
      <c r="Q100" s="85"/>
      <c r="R100" s="76"/>
      <c r="S100" s="76"/>
      <c r="T100" s="76"/>
      <c r="U100" s="76"/>
      <c r="V100" s="76"/>
    </row>
    <row r="101" spans="1:22">
      <c r="A101" s="77"/>
      <c r="B101" s="22"/>
      <c r="C101" s="22"/>
      <c r="D101" s="177"/>
      <c r="E101" s="26"/>
      <c r="F101" s="22"/>
      <c r="G101" s="27"/>
      <c r="H101" s="26"/>
      <c r="I101" s="83"/>
      <c r="J101" s="84"/>
      <c r="K101" s="76"/>
      <c r="L101" s="77"/>
      <c r="M101" s="57"/>
      <c r="N101" s="57"/>
      <c r="O101" s="57"/>
      <c r="P101" s="85"/>
      <c r="Q101" s="85"/>
      <c r="R101" s="76"/>
      <c r="S101" s="76"/>
      <c r="T101" s="76"/>
      <c r="U101" s="76"/>
      <c r="V101" s="76"/>
    </row>
    <row r="102" spans="1:22">
      <c r="A102" s="77"/>
      <c r="B102" s="22"/>
      <c r="C102" s="22"/>
      <c r="D102" s="177"/>
      <c r="E102" s="26"/>
      <c r="F102" s="22"/>
      <c r="G102" s="27"/>
      <c r="H102" s="26"/>
      <c r="I102" s="83"/>
      <c r="J102" s="84"/>
      <c r="K102" s="76"/>
      <c r="L102" s="77"/>
      <c r="M102" s="57"/>
      <c r="N102" s="57"/>
      <c r="O102" s="57"/>
      <c r="P102" s="85"/>
      <c r="Q102" s="85"/>
      <c r="R102" s="76"/>
      <c r="S102" s="76"/>
      <c r="T102" s="76"/>
      <c r="U102" s="76"/>
      <c r="V102" s="76"/>
    </row>
    <row r="103" spans="1:22">
      <c r="A103" s="77"/>
      <c r="B103" s="22"/>
      <c r="C103" s="22"/>
      <c r="D103" s="177"/>
      <c r="E103" s="26"/>
      <c r="F103" s="22"/>
      <c r="G103" s="27"/>
      <c r="H103" s="26"/>
      <c r="I103" s="83"/>
      <c r="J103" s="84"/>
      <c r="K103" s="76"/>
      <c r="L103" s="77"/>
      <c r="M103" s="57"/>
      <c r="N103" s="57"/>
      <c r="O103" s="57"/>
      <c r="P103" s="85"/>
      <c r="Q103" s="85"/>
      <c r="R103" s="76"/>
      <c r="S103" s="76"/>
      <c r="T103" s="76"/>
      <c r="U103" s="76"/>
      <c r="V103" s="76"/>
    </row>
    <row r="104" spans="1:22">
      <c r="A104" s="77"/>
      <c r="B104" s="22"/>
      <c r="C104" s="22"/>
      <c r="D104" s="177"/>
      <c r="E104" s="26"/>
      <c r="F104" s="22"/>
      <c r="G104" s="27"/>
      <c r="H104" s="26"/>
      <c r="I104" s="83"/>
      <c r="J104" s="84"/>
      <c r="K104" s="76"/>
      <c r="L104" s="77"/>
      <c r="M104" s="57"/>
      <c r="N104" s="57"/>
      <c r="O104" s="57"/>
      <c r="P104" s="85"/>
      <c r="Q104" s="85"/>
      <c r="R104" s="76"/>
      <c r="S104" s="76"/>
      <c r="T104" s="76"/>
      <c r="U104" s="76"/>
      <c r="V104" s="76"/>
    </row>
    <row r="105" spans="1:22">
      <c r="A105" s="77"/>
      <c r="B105" s="22"/>
      <c r="C105" s="22"/>
      <c r="D105" s="177"/>
      <c r="E105" s="26"/>
      <c r="F105" s="22"/>
      <c r="G105" s="27"/>
      <c r="H105" s="26"/>
      <c r="I105" s="83"/>
      <c r="J105" s="84"/>
      <c r="K105" s="76"/>
      <c r="L105" s="77"/>
      <c r="M105" s="57"/>
      <c r="N105" s="57"/>
      <c r="O105" s="57"/>
      <c r="P105" s="85"/>
      <c r="Q105" s="85"/>
      <c r="R105" s="76"/>
      <c r="S105" s="76"/>
      <c r="T105" s="76"/>
      <c r="U105" s="76"/>
      <c r="V105" s="76"/>
    </row>
    <row r="106" spans="1:22">
      <c r="A106" s="77"/>
      <c r="B106" s="22"/>
      <c r="C106" s="22"/>
      <c r="D106" s="177"/>
      <c r="E106" s="26"/>
      <c r="F106" s="22"/>
      <c r="G106" s="27"/>
      <c r="H106" s="26"/>
      <c r="I106" s="83"/>
      <c r="J106" s="84"/>
      <c r="K106" s="76"/>
      <c r="L106" s="77"/>
      <c r="M106" s="57"/>
      <c r="N106" s="57"/>
      <c r="O106" s="57"/>
      <c r="P106" s="85"/>
      <c r="Q106" s="85"/>
      <c r="R106" s="76"/>
      <c r="S106" s="76"/>
      <c r="T106" s="76"/>
      <c r="U106" s="76"/>
      <c r="V106" s="76"/>
    </row>
    <row r="107" spans="1:22">
      <c r="A107" s="77"/>
      <c r="B107" s="22"/>
      <c r="C107" s="22"/>
      <c r="D107" s="177"/>
      <c r="E107" s="26"/>
      <c r="F107" s="22"/>
      <c r="G107" s="27"/>
      <c r="H107" s="26"/>
      <c r="I107" s="83"/>
      <c r="J107" s="84"/>
      <c r="K107" s="76"/>
      <c r="L107" s="77"/>
      <c r="M107" s="57"/>
      <c r="N107" s="57"/>
      <c r="O107" s="57"/>
      <c r="P107" s="85"/>
      <c r="Q107" s="85"/>
      <c r="R107" s="76"/>
      <c r="S107" s="76"/>
      <c r="T107" s="76"/>
      <c r="U107" s="76"/>
      <c r="V107" s="76"/>
    </row>
    <row r="108" spans="1:22">
      <c r="A108" s="77"/>
      <c r="B108" s="22"/>
      <c r="C108" s="22"/>
      <c r="D108" s="177"/>
      <c r="E108" s="26"/>
      <c r="F108" s="22"/>
      <c r="G108" s="27"/>
      <c r="H108" s="26"/>
      <c r="I108" s="83"/>
      <c r="J108" s="84"/>
      <c r="K108" s="76"/>
      <c r="L108" s="77"/>
      <c r="M108" s="57"/>
      <c r="N108" s="57"/>
      <c r="O108" s="57"/>
      <c r="P108" s="85"/>
      <c r="Q108" s="85"/>
      <c r="R108" s="76"/>
      <c r="S108" s="76"/>
      <c r="T108" s="76"/>
      <c r="U108" s="76"/>
      <c r="V108" s="76"/>
    </row>
    <row r="109" spans="1:22">
      <c r="A109" s="77"/>
      <c r="B109" s="22"/>
      <c r="C109" s="22"/>
      <c r="D109" s="177"/>
      <c r="E109" s="26"/>
      <c r="F109" s="22"/>
      <c r="G109" s="27"/>
      <c r="H109" s="26"/>
      <c r="I109" s="83"/>
      <c r="J109" s="84"/>
      <c r="K109" s="76"/>
      <c r="L109" s="77"/>
      <c r="M109" s="57"/>
      <c r="N109" s="57"/>
      <c r="O109" s="57"/>
      <c r="P109" s="85"/>
      <c r="Q109" s="85"/>
      <c r="R109" s="76"/>
      <c r="S109" s="76"/>
      <c r="T109" s="76"/>
      <c r="U109" s="76"/>
      <c r="V109" s="76"/>
    </row>
    <row r="110" spans="1:22">
      <c r="A110" s="77"/>
      <c r="B110" s="22"/>
      <c r="C110" s="22"/>
      <c r="D110" s="177"/>
      <c r="E110" s="26"/>
      <c r="F110" s="22"/>
      <c r="G110" s="27"/>
      <c r="H110" s="26"/>
      <c r="I110" s="83"/>
      <c r="J110" s="84"/>
      <c r="K110" s="76"/>
      <c r="L110" s="77"/>
      <c r="M110" s="57"/>
      <c r="N110" s="57"/>
      <c r="O110" s="57"/>
      <c r="P110" s="85"/>
      <c r="Q110" s="85"/>
      <c r="R110" s="76"/>
      <c r="S110" s="76"/>
      <c r="T110" s="76"/>
      <c r="U110" s="76"/>
      <c r="V110" s="76"/>
    </row>
    <row r="111" spans="1:22">
      <c r="A111" s="77"/>
      <c r="B111" s="22"/>
      <c r="C111" s="22"/>
      <c r="D111" s="177"/>
      <c r="E111" s="26"/>
      <c r="F111" s="22"/>
      <c r="G111" s="27"/>
      <c r="H111" s="26"/>
      <c r="I111" s="83"/>
      <c r="J111" s="84"/>
      <c r="K111" s="76"/>
      <c r="L111" s="77"/>
      <c r="M111" s="57"/>
      <c r="N111" s="57"/>
      <c r="O111" s="57"/>
      <c r="P111" s="85"/>
      <c r="Q111" s="85"/>
      <c r="R111" s="76"/>
      <c r="S111" s="76"/>
      <c r="T111" s="76"/>
      <c r="U111" s="76"/>
      <c r="V111" s="76"/>
    </row>
    <row r="112" spans="1:22">
      <c r="A112" s="77"/>
      <c r="B112" s="22"/>
      <c r="C112" s="22"/>
      <c r="D112" s="177"/>
      <c r="E112" s="26"/>
      <c r="F112" s="22"/>
      <c r="G112" s="27"/>
      <c r="H112" s="26"/>
      <c r="I112" s="83"/>
      <c r="J112" s="84"/>
      <c r="K112" s="76"/>
      <c r="L112" s="77"/>
      <c r="M112" s="57"/>
      <c r="N112" s="57"/>
      <c r="O112" s="57"/>
      <c r="P112" s="85"/>
      <c r="Q112" s="85"/>
      <c r="R112" s="76"/>
      <c r="S112" s="76"/>
      <c r="T112" s="76"/>
      <c r="U112" s="76"/>
      <c r="V112" s="76"/>
    </row>
    <row r="113" spans="1:22">
      <c r="A113" s="77"/>
      <c r="B113" s="22"/>
      <c r="C113" s="22"/>
      <c r="D113" s="177"/>
      <c r="E113" s="26"/>
      <c r="F113" s="22"/>
      <c r="G113" s="27"/>
      <c r="H113" s="26"/>
      <c r="I113" s="83"/>
      <c r="J113" s="84"/>
      <c r="K113" s="76"/>
      <c r="L113" s="77"/>
      <c r="M113" s="57"/>
      <c r="N113" s="57"/>
      <c r="O113" s="57"/>
      <c r="P113" s="85"/>
      <c r="Q113" s="85"/>
      <c r="R113" s="76"/>
      <c r="S113" s="76"/>
      <c r="T113" s="76"/>
      <c r="U113" s="76"/>
      <c r="V113" s="76"/>
    </row>
    <row r="114" spans="1:22">
      <c r="A114" s="77"/>
      <c r="B114" s="22"/>
      <c r="C114" s="22"/>
      <c r="D114" s="177"/>
      <c r="E114" s="26"/>
      <c r="F114" s="22"/>
      <c r="G114" s="27"/>
      <c r="H114" s="26"/>
      <c r="I114" s="83"/>
      <c r="J114" s="84"/>
      <c r="K114" s="76"/>
      <c r="L114" s="77"/>
      <c r="M114" s="57"/>
      <c r="N114" s="57"/>
      <c r="O114" s="57"/>
      <c r="P114" s="85"/>
      <c r="Q114" s="85"/>
      <c r="R114" s="76"/>
      <c r="S114" s="76"/>
      <c r="T114" s="76"/>
      <c r="U114" s="76"/>
      <c r="V114" s="76"/>
    </row>
    <row r="115" spans="1:22">
      <c r="A115" s="77"/>
      <c r="B115" s="22"/>
      <c r="C115" s="22"/>
      <c r="D115" s="177"/>
      <c r="E115" s="26"/>
      <c r="F115" s="22"/>
      <c r="G115" s="27"/>
      <c r="H115" s="26"/>
      <c r="I115" s="83"/>
      <c r="J115" s="84"/>
      <c r="K115" s="76"/>
      <c r="L115" s="77"/>
      <c r="M115" s="57"/>
      <c r="N115" s="57"/>
      <c r="O115" s="57"/>
      <c r="P115" s="85"/>
      <c r="Q115" s="85"/>
      <c r="R115" s="76"/>
      <c r="S115" s="76"/>
      <c r="T115" s="76"/>
      <c r="U115" s="76"/>
      <c r="V115" s="76"/>
    </row>
    <row r="116" spans="1:22">
      <c r="A116" s="77"/>
      <c r="B116" s="22"/>
      <c r="C116" s="22"/>
      <c r="D116" s="177"/>
      <c r="E116" s="26"/>
      <c r="F116" s="22"/>
      <c r="G116" s="27"/>
      <c r="H116" s="26"/>
      <c r="I116" s="83"/>
      <c r="J116" s="84"/>
      <c r="K116" s="76"/>
      <c r="L116" s="77"/>
      <c r="M116" s="57"/>
      <c r="N116" s="57"/>
      <c r="O116" s="57"/>
      <c r="P116" s="85"/>
      <c r="Q116" s="85"/>
      <c r="R116" s="76"/>
      <c r="S116" s="76"/>
      <c r="T116" s="76"/>
      <c r="U116" s="76"/>
      <c r="V116" s="76"/>
    </row>
    <row r="117" spans="1:22">
      <c r="A117" s="77"/>
      <c r="B117" s="22"/>
      <c r="C117" s="22"/>
      <c r="D117" s="177"/>
      <c r="E117" s="26"/>
      <c r="F117" s="22"/>
      <c r="G117" s="27"/>
      <c r="H117" s="26"/>
      <c r="I117" s="83"/>
      <c r="J117" s="84"/>
      <c r="K117" s="76"/>
      <c r="L117" s="77"/>
      <c r="M117" s="57"/>
      <c r="N117" s="57"/>
      <c r="O117" s="57"/>
      <c r="P117" s="85"/>
      <c r="Q117" s="85"/>
      <c r="R117" s="76"/>
      <c r="S117" s="76"/>
      <c r="T117" s="76"/>
      <c r="U117" s="76"/>
      <c r="V117" s="76"/>
    </row>
    <row r="118" spans="1:22">
      <c r="A118" s="77"/>
      <c r="B118" s="22"/>
      <c r="C118" s="22"/>
      <c r="D118" s="177"/>
      <c r="E118" s="26"/>
      <c r="F118" s="22"/>
      <c r="G118" s="27"/>
      <c r="H118" s="26"/>
      <c r="I118" s="83"/>
      <c r="J118" s="84"/>
      <c r="K118" s="76"/>
      <c r="L118" s="77"/>
      <c r="M118" s="57"/>
      <c r="N118" s="57"/>
      <c r="O118" s="57"/>
      <c r="P118" s="85"/>
      <c r="Q118" s="85"/>
      <c r="R118" s="76"/>
      <c r="S118" s="76"/>
      <c r="T118" s="76"/>
      <c r="U118" s="76"/>
      <c r="V118" s="76"/>
    </row>
    <row r="119" spans="1:22">
      <c r="A119" s="77"/>
      <c r="B119" s="22"/>
      <c r="C119" s="22"/>
      <c r="D119" s="177"/>
      <c r="E119" s="26"/>
      <c r="F119" s="22"/>
      <c r="G119" s="27"/>
      <c r="H119" s="26"/>
      <c r="I119" s="83"/>
      <c r="J119" s="84"/>
      <c r="K119" s="76"/>
      <c r="L119" s="77"/>
      <c r="M119" s="57"/>
      <c r="N119" s="57"/>
      <c r="O119" s="57"/>
      <c r="P119" s="85"/>
      <c r="Q119" s="85"/>
      <c r="R119" s="76"/>
      <c r="S119" s="76"/>
      <c r="T119" s="76"/>
      <c r="U119" s="76"/>
      <c r="V119" s="76"/>
    </row>
    <row r="120" spans="1:22">
      <c r="A120" s="77"/>
      <c r="B120" s="22"/>
      <c r="C120" s="22"/>
      <c r="D120" s="177"/>
      <c r="E120" s="26"/>
      <c r="F120" s="22"/>
      <c r="G120" s="27"/>
      <c r="H120" s="26"/>
      <c r="I120" s="83"/>
      <c r="J120" s="84"/>
      <c r="K120" s="76"/>
      <c r="L120" s="77"/>
      <c r="M120" s="57"/>
      <c r="N120" s="57"/>
      <c r="O120" s="57"/>
      <c r="P120" s="85"/>
      <c r="Q120" s="85"/>
      <c r="R120" s="76"/>
      <c r="S120" s="76"/>
      <c r="T120" s="76"/>
      <c r="U120" s="76"/>
      <c r="V120" s="76"/>
    </row>
    <row r="121" spans="1:22">
      <c r="A121" s="77"/>
      <c r="B121" s="22"/>
      <c r="C121" s="22"/>
      <c r="D121" s="177"/>
      <c r="E121" s="26"/>
      <c r="F121" s="22"/>
      <c r="G121" s="27"/>
      <c r="H121" s="26"/>
      <c r="I121" s="83"/>
      <c r="J121" s="84"/>
      <c r="K121" s="76"/>
      <c r="L121" s="77"/>
      <c r="M121" s="57"/>
      <c r="N121" s="57"/>
      <c r="O121" s="57"/>
      <c r="P121" s="85"/>
      <c r="Q121" s="85"/>
      <c r="R121" s="76"/>
      <c r="S121" s="76"/>
      <c r="T121" s="76"/>
      <c r="U121" s="76"/>
      <c r="V121" s="76"/>
    </row>
    <row r="122" spans="1:22">
      <c r="A122" s="77"/>
      <c r="B122" s="22"/>
      <c r="C122" s="22"/>
      <c r="D122" s="177"/>
      <c r="E122" s="26"/>
      <c r="F122" s="22"/>
      <c r="G122" s="27"/>
      <c r="H122" s="26"/>
      <c r="I122" s="83"/>
      <c r="J122" s="84"/>
      <c r="K122" s="76"/>
      <c r="L122" s="77"/>
      <c r="M122" s="57"/>
      <c r="N122" s="57"/>
      <c r="O122" s="57"/>
      <c r="P122" s="85"/>
      <c r="Q122" s="85"/>
      <c r="R122" s="76"/>
      <c r="S122" s="76"/>
      <c r="T122" s="76"/>
      <c r="U122" s="76"/>
      <c r="V122" s="76"/>
    </row>
    <row r="123" spans="1:22">
      <c r="A123" s="77"/>
      <c r="B123" s="86"/>
      <c r="C123" s="86"/>
      <c r="D123" s="192"/>
      <c r="E123" s="87"/>
      <c r="F123" s="88"/>
      <c r="G123" s="89"/>
      <c r="H123" s="87"/>
      <c r="I123" s="90"/>
      <c r="J123" s="91"/>
      <c r="K123" s="76"/>
      <c r="L123" s="77"/>
      <c r="M123" s="92"/>
      <c r="N123" s="92"/>
      <c r="O123" s="92"/>
      <c r="P123" s="93"/>
      <c r="Q123" s="92"/>
      <c r="R123" s="76"/>
      <c r="S123" s="76"/>
      <c r="T123" s="76"/>
      <c r="U123" s="76"/>
      <c r="V123" s="76"/>
    </row>
    <row r="124" spans="1:22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</row>
    <row r="125" spans="1:2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</row>
    <row r="126" spans="1:22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432"/>
      <c r="M126" s="432"/>
      <c r="N126" s="432"/>
      <c r="O126" s="432"/>
      <c r="P126" s="432"/>
      <c r="Q126" s="432"/>
      <c r="R126" s="76"/>
      <c r="S126" s="76"/>
      <c r="T126" s="76"/>
      <c r="U126" s="76"/>
      <c r="V126" s="76"/>
    </row>
    <row r="127" spans="1:2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432"/>
      <c r="M127" s="432"/>
      <c r="N127" s="432"/>
      <c r="O127" s="432"/>
      <c r="P127" s="432"/>
      <c r="Q127" s="432"/>
      <c r="R127" s="76"/>
      <c r="S127" s="76"/>
      <c r="T127" s="76"/>
      <c r="U127" s="76"/>
      <c r="V127" s="76"/>
    </row>
    <row r="128" spans="1:2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432"/>
      <c r="M128" s="432"/>
      <c r="N128" s="432"/>
      <c r="O128" s="432"/>
      <c r="P128" s="432"/>
      <c r="Q128" s="432"/>
      <c r="R128" s="76"/>
      <c r="S128" s="76"/>
      <c r="T128" s="76"/>
      <c r="U128" s="76"/>
      <c r="V128" s="76"/>
    </row>
    <row r="129" spans="1:22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432"/>
      <c r="M129" s="432"/>
      <c r="N129" s="432"/>
      <c r="O129" s="432"/>
      <c r="P129" s="432"/>
      <c r="Q129" s="432"/>
      <c r="R129" s="76"/>
      <c r="S129" s="76"/>
      <c r="T129" s="76"/>
      <c r="U129" s="76"/>
      <c r="V129" s="76"/>
    </row>
    <row r="130" spans="1:22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432"/>
      <c r="M130" s="432"/>
      <c r="N130" s="432"/>
      <c r="O130" s="432"/>
      <c r="P130" s="432"/>
      <c r="Q130" s="432"/>
      <c r="R130" s="76"/>
      <c r="S130" s="76"/>
      <c r="T130" s="76"/>
      <c r="U130" s="76"/>
      <c r="V130" s="76"/>
    </row>
    <row r="131" spans="1:22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389"/>
      <c r="M131" s="78"/>
      <c r="N131" s="78"/>
      <c r="O131" s="78"/>
      <c r="P131" s="78"/>
      <c r="Q131" s="78"/>
      <c r="R131" s="76"/>
      <c r="S131" s="76"/>
      <c r="T131" s="76"/>
      <c r="U131" s="76"/>
      <c r="V131" s="76"/>
    </row>
    <row r="132" spans="1:2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0"/>
      <c r="N132" s="80"/>
      <c r="O132" s="80"/>
      <c r="P132" s="80"/>
      <c r="Q132" s="76"/>
      <c r="R132" s="76"/>
      <c r="S132" s="76"/>
      <c r="T132" s="76"/>
      <c r="U132" s="76"/>
      <c r="V132" s="76"/>
    </row>
    <row r="133" spans="1:22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191"/>
      <c r="N133" s="191"/>
      <c r="O133" s="191"/>
      <c r="P133" s="82"/>
      <c r="Q133" s="82"/>
      <c r="R133" s="76"/>
      <c r="S133" s="76"/>
      <c r="T133" s="76"/>
      <c r="U133" s="76"/>
      <c r="V133" s="76"/>
    </row>
    <row r="134" spans="1:22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7"/>
      <c r="M134" s="57"/>
      <c r="N134" s="57"/>
      <c r="O134" s="57"/>
      <c r="P134" s="94"/>
      <c r="Q134" s="85"/>
      <c r="R134" s="76"/>
      <c r="S134" s="76"/>
      <c r="T134" s="76"/>
      <c r="U134" s="76"/>
      <c r="V134" s="76"/>
    </row>
    <row r="135" spans="1:22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7"/>
      <c r="M135" s="57"/>
      <c r="N135" s="57"/>
      <c r="O135" s="57"/>
      <c r="P135" s="94"/>
      <c r="Q135" s="85"/>
      <c r="R135" s="76"/>
      <c r="S135" s="76"/>
      <c r="T135" s="76"/>
      <c r="U135" s="76"/>
      <c r="V135" s="76"/>
    </row>
    <row r="136" spans="1:2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7"/>
      <c r="M136" s="57"/>
      <c r="N136" s="57"/>
      <c r="O136" s="57"/>
      <c r="P136" s="94"/>
      <c r="Q136" s="85"/>
      <c r="R136" s="76"/>
      <c r="S136" s="76"/>
      <c r="T136" s="76"/>
      <c r="U136" s="76"/>
      <c r="V136" s="76"/>
    </row>
    <row r="137" spans="1:22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7"/>
      <c r="M137" s="57"/>
      <c r="N137" s="57"/>
      <c r="O137" s="57"/>
      <c r="P137" s="94"/>
      <c r="Q137" s="85"/>
      <c r="R137" s="76"/>
      <c r="S137" s="76"/>
      <c r="T137" s="76"/>
      <c r="U137" s="76"/>
      <c r="V137" s="76"/>
    </row>
    <row r="138" spans="1:22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7"/>
      <c r="M138" s="57"/>
      <c r="N138" s="57"/>
      <c r="O138" s="57"/>
      <c r="P138" s="94"/>
      <c r="Q138" s="85"/>
      <c r="R138" s="76"/>
      <c r="S138" s="76"/>
      <c r="T138" s="76"/>
      <c r="U138" s="76"/>
      <c r="V138" s="76"/>
    </row>
    <row r="139" spans="1:22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7"/>
      <c r="M139" s="57"/>
      <c r="N139" s="57"/>
      <c r="O139" s="57"/>
      <c r="P139" s="94"/>
      <c r="Q139" s="85"/>
      <c r="R139" s="76"/>
      <c r="S139" s="76"/>
      <c r="T139" s="76"/>
      <c r="U139" s="76"/>
      <c r="V139" s="76"/>
    </row>
    <row r="140" spans="1:2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7"/>
      <c r="M140" s="57"/>
      <c r="N140" s="57"/>
      <c r="O140" s="57"/>
      <c r="P140" s="94"/>
      <c r="Q140" s="85"/>
      <c r="R140" s="76"/>
      <c r="S140" s="76"/>
      <c r="T140" s="76"/>
      <c r="U140" s="76"/>
      <c r="V140" s="76"/>
    </row>
    <row r="141" spans="1:22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7"/>
      <c r="M141" s="57"/>
      <c r="N141" s="57"/>
      <c r="O141" s="57"/>
      <c r="P141" s="94"/>
      <c r="Q141" s="85"/>
      <c r="R141" s="76"/>
      <c r="S141" s="76"/>
      <c r="T141" s="76"/>
      <c r="U141" s="76"/>
      <c r="V141" s="76"/>
    </row>
    <row r="142" spans="1:2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7"/>
      <c r="M142" s="57"/>
      <c r="N142" s="57"/>
      <c r="O142" s="57"/>
      <c r="P142" s="94"/>
      <c r="Q142" s="85"/>
      <c r="R142" s="76"/>
      <c r="S142" s="76"/>
      <c r="T142" s="76"/>
      <c r="U142" s="76"/>
      <c r="V142" s="76"/>
    </row>
    <row r="143" spans="1:22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7"/>
      <c r="M143" s="57"/>
      <c r="N143" s="57"/>
      <c r="O143" s="57"/>
      <c r="P143" s="94"/>
      <c r="Q143" s="85"/>
      <c r="R143" s="76"/>
      <c r="S143" s="76"/>
      <c r="T143" s="76"/>
      <c r="U143" s="76"/>
      <c r="V143" s="76"/>
    </row>
    <row r="144" spans="1:22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7"/>
      <c r="M144" s="57"/>
      <c r="N144" s="57"/>
      <c r="O144" s="57"/>
      <c r="P144" s="94"/>
      <c r="Q144" s="85"/>
      <c r="R144" s="76"/>
      <c r="S144" s="76"/>
      <c r="T144" s="76"/>
      <c r="U144" s="76"/>
      <c r="V144" s="76"/>
    </row>
    <row r="145" spans="1:22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7"/>
      <c r="M145" s="57"/>
      <c r="N145" s="57"/>
      <c r="O145" s="57"/>
      <c r="P145" s="94"/>
      <c r="Q145" s="85"/>
      <c r="R145" s="76"/>
      <c r="S145" s="76"/>
      <c r="T145" s="76"/>
      <c r="U145" s="76"/>
      <c r="V145" s="76"/>
    </row>
    <row r="146" spans="1:2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7"/>
      <c r="M146" s="57"/>
      <c r="N146" s="57"/>
      <c r="O146" s="57"/>
      <c r="P146" s="94"/>
      <c r="Q146" s="85"/>
      <c r="R146" s="76"/>
      <c r="S146" s="76"/>
      <c r="T146" s="76"/>
      <c r="U146" s="76"/>
      <c r="V146" s="76"/>
    </row>
    <row r="147" spans="1:2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7"/>
      <c r="M147" s="57"/>
      <c r="N147" s="57"/>
      <c r="O147" s="57"/>
      <c r="P147" s="94"/>
      <c r="Q147" s="85"/>
      <c r="R147" s="76"/>
      <c r="S147" s="76"/>
      <c r="T147" s="76"/>
      <c r="U147" s="76"/>
      <c r="V147" s="76"/>
    </row>
    <row r="148" spans="1:22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7"/>
      <c r="M148" s="57"/>
      <c r="N148" s="57"/>
      <c r="O148" s="57"/>
      <c r="P148" s="94"/>
      <c r="Q148" s="85"/>
      <c r="R148" s="76"/>
      <c r="S148" s="76"/>
      <c r="T148" s="76"/>
      <c r="U148" s="76"/>
      <c r="V148" s="76"/>
    </row>
    <row r="149" spans="1:22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7"/>
      <c r="M149" s="57"/>
      <c r="N149" s="57"/>
      <c r="O149" s="57"/>
      <c r="P149" s="94"/>
      <c r="Q149" s="85"/>
      <c r="R149" s="76"/>
      <c r="S149" s="76"/>
      <c r="T149" s="76"/>
      <c r="U149" s="76"/>
      <c r="V149" s="76"/>
    </row>
    <row r="150" spans="1:22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7"/>
      <c r="M150" s="57"/>
      <c r="N150" s="57"/>
      <c r="O150" s="57"/>
      <c r="P150" s="94"/>
      <c r="Q150" s="85"/>
      <c r="R150" s="76"/>
      <c r="S150" s="76"/>
      <c r="T150" s="76"/>
      <c r="U150" s="76"/>
      <c r="V150" s="76"/>
    </row>
    <row r="151" spans="1:22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7"/>
      <c r="M151" s="57"/>
      <c r="N151" s="57"/>
      <c r="O151" s="57"/>
      <c r="P151" s="94"/>
      <c r="Q151" s="85"/>
      <c r="R151" s="76"/>
      <c r="S151" s="76"/>
      <c r="T151" s="76"/>
      <c r="U151" s="76"/>
      <c r="V151" s="76"/>
    </row>
    <row r="152" spans="1:2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7"/>
      <c r="M152" s="57"/>
      <c r="N152" s="57"/>
      <c r="O152" s="57"/>
      <c r="P152" s="94"/>
      <c r="Q152" s="85"/>
      <c r="R152" s="76"/>
      <c r="S152" s="76"/>
      <c r="T152" s="76"/>
      <c r="U152" s="76"/>
      <c r="V152" s="76"/>
    </row>
    <row r="153" spans="1:2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7"/>
      <c r="M153" s="57"/>
      <c r="N153" s="57"/>
      <c r="O153" s="57"/>
      <c r="P153" s="94"/>
      <c r="Q153" s="85"/>
      <c r="R153" s="76"/>
      <c r="S153" s="76"/>
      <c r="T153" s="76"/>
      <c r="U153" s="76"/>
      <c r="V153" s="76"/>
    </row>
    <row r="154" spans="1:22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7"/>
      <c r="M154" s="57"/>
      <c r="N154" s="57"/>
      <c r="O154" s="57"/>
      <c r="P154" s="94"/>
      <c r="Q154" s="85"/>
      <c r="R154" s="76"/>
      <c r="S154" s="76"/>
      <c r="T154" s="76"/>
      <c r="U154" s="76"/>
      <c r="V154" s="76"/>
    </row>
    <row r="155" spans="1:22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7"/>
      <c r="M155" s="57"/>
      <c r="N155" s="57"/>
      <c r="O155" s="57"/>
      <c r="P155" s="94"/>
      <c r="Q155" s="85"/>
      <c r="R155" s="76"/>
      <c r="S155" s="76"/>
      <c r="T155" s="76"/>
      <c r="U155" s="76"/>
      <c r="V155" s="76"/>
    </row>
    <row r="156" spans="1:22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7"/>
      <c r="M156" s="57"/>
      <c r="N156" s="57"/>
      <c r="O156" s="57"/>
      <c r="P156" s="94"/>
      <c r="Q156" s="85"/>
      <c r="R156" s="76"/>
      <c r="S156" s="76"/>
      <c r="T156" s="76"/>
      <c r="U156" s="76"/>
      <c r="V156" s="76"/>
    </row>
    <row r="157" spans="1:2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7"/>
      <c r="M157" s="57"/>
      <c r="N157" s="57"/>
      <c r="O157" s="57"/>
      <c r="P157" s="94"/>
      <c r="Q157" s="85"/>
      <c r="R157" s="76"/>
      <c r="S157" s="76"/>
      <c r="T157" s="76"/>
      <c r="U157" s="76"/>
      <c r="V157" s="76"/>
    </row>
    <row r="158" spans="1:2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7"/>
      <c r="M158" s="57"/>
      <c r="N158" s="57"/>
      <c r="O158" s="57"/>
      <c r="P158" s="94"/>
      <c r="Q158" s="85"/>
      <c r="R158" s="76"/>
      <c r="S158" s="76"/>
      <c r="T158" s="76"/>
      <c r="U158" s="76"/>
      <c r="V158" s="76"/>
    </row>
    <row r="159" spans="1:22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7"/>
      <c r="M159" s="57"/>
      <c r="N159" s="57"/>
      <c r="O159" s="57"/>
      <c r="P159" s="94"/>
      <c r="Q159" s="85"/>
      <c r="R159" s="76"/>
      <c r="S159" s="76"/>
      <c r="T159" s="76"/>
      <c r="U159" s="76"/>
      <c r="V159" s="76"/>
    </row>
    <row r="160" spans="1:22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7"/>
      <c r="M160" s="57"/>
      <c r="N160" s="57"/>
      <c r="O160" s="57"/>
      <c r="P160" s="94"/>
      <c r="Q160" s="85"/>
      <c r="R160" s="76"/>
      <c r="S160" s="76"/>
      <c r="T160" s="76"/>
      <c r="U160" s="76"/>
      <c r="V160" s="76"/>
    </row>
    <row r="161" spans="1:22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7"/>
      <c r="M161" s="57"/>
      <c r="N161" s="57"/>
      <c r="O161" s="57"/>
      <c r="P161" s="94"/>
      <c r="Q161" s="85"/>
      <c r="R161" s="76"/>
      <c r="S161" s="76"/>
      <c r="T161" s="76"/>
      <c r="U161" s="76"/>
      <c r="V161" s="76"/>
    </row>
    <row r="162" spans="1:2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7"/>
      <c r="M162" s="57"/>
      <c r="N162" s="57"/>
      <c r="O162" s="57"/>
      <c r="P162" s="94"/>
      <c r="Q162" s="85"/>
      <c r="R162" s="76"/>
      <c r="S162" s="76"/>
      <c r="T162" s="76"/>
      <c r="U162" s="76"/>
      <c r="V162" s="76"/>
    </row>
    <row r="163" spans="1:2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7"/>
      <c r="M163" s="57"/>
      <c r="N163" s="57"/>
      <c r="O163" s="57"/>
      <c r="P163" s="94"/>
      <c r="Q163" s="85"/>
      <c r="R163" s="76"/>
      <c r="S163" s="76"/>
      <c r="T163" s="76"/>
      <c r="U163" s="76"/>
      <c r="V163" s="76"/>
    </row>
    <row r="164" spans="1:22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7"/>
      <c r="M164" s="57"/>
      <c r="N164" s="57"/>
      <c r="O164" s="57"/>
      <c r="P164" s="94"/>
      <c r="Q164" s="85"/>
      <c r="R164" s="76"/>
      <c r="S164" s="76"/>
      <c r="T164" s="76"/>
      <c r="U164" s="76"/>
      <c r="V164" s="76"/>
    </row>
    <row r="165" spans="1:22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7"/>
      <c r="M165" s="57"/>
      <c r="N165" s="57"/>
      <c r="O165" s="57"/>
      <c r="P165" s="94"/>
      <c r="Q165" s="85"/>
      <c r="R165" s="76"/>
      <c r="S165" s="76"/>
      <c r="T165" s="76"/>
      <c r="U165" s="76"/>
      <c r="V165" s="76"/>
    </row>
    <row r="166" spans="1:22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7"/>
      <c r="M166" s="57"/>
      <c r="N166" s="57"/>
      <c r="O166" s="57"/>
      <c r="P166" s="94"/>
      <c r="Q166" s="85"/>
      <c r="R166" s="76"/>
      <c r="S166" s="76"/>
      <c r="T166" s="76"/>
      <c r="U166" s="76"/>
      <c r="V166" s="76"/>
    </row>
    <row r="167" spans="1:22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7"/>
      <c r="M167" s="57"/>
      <c r="N167" s="57"/>
      <c r="O167" s="57"/>
      <c r="P167" s="94"/>
      <c r="Q167" s="85"/>
      <c r="R167" s="76"/>
      <c r="S167" s="76"/>
      <c r="T167" s="76"/>
      <c r="U167" s="76"/>
      <c r="V167" s="76"/>
    </row>
    <row r="168" spans="1:22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7"/>
      <c r="M168" s="57"/>
      <c r="N168" s="57"/>
      <c r="O168" s="57"/>
      <c r="P168" s="94"/>
      <c r="Q168" s="85"/>
      <c r="R168" s="76"/>
      <c r="S168" s="76"/>
      <c r="T168" s="76"/>
      <c r="U168" s="76"/>
      <c r="V168" s="76"/>
    </row>
    <row r="169" spans="1:22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7"/>
      <c r="M169" s="57"/>
      <c r="N169" s="57"/>
      <c r="O169" s="57"/>
      <c r="P169" s="94"/>
      <c r="Q169" s="85"/>
      <c r="R169" s="76"/>
      <c r="S169" s="76"/>
      <c r="T169" s="76"/>
      <c r="U169" s="76"/>
      <c r="V169" s="76"/>
    </row>
    <row r="170" spans="1:2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7"/>
      <c r="M170" s="57"/>
      <c r="N170" s="57"/>
      <c r="O170" s="57"/>
      <c r="P170" s="94"/>
      <c r="Q170" s="85"/>
      <c r="R170" s="76"/>
      <c r="S170" s="76"/>
      <c r="T170" s="76"/>
      <c r="U170" s="76"/>
      <c r="V170" s="76"/>
    </row>
    <row r="171" spans="1:22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7"/>
      <c r="M171" s="57"/>
      <c r="N171" s="57"/>
      <c r="O171" s="57"/>
      <c r="P171" s="94"/>
      <c r="Q171" s="85"/>
      <c r="R171" s="76"/>
      <c r="S171" s="76"/>
      <c r="T171" s="76"/>
      <c r="U171" s="76"/>
      <c r="V171" s="76"/>
    </row>
    <row r="172" spans="1:2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7"/>
      <c r="M172" s="57"/>
      <c r="N172" s="57"/>
      <c r="O172" s="57"/>
      <c r="P172" s="94"/>
      <c r="Q172" s="85"/>
      <c r="R172" s="76"/>
      <c r="S172" s="76"/>
      <c r="T172" s="76"/>
      <c r="U172" s="76"/>
      <c r="V172" s="76"/>
    </row>
    <row r="173" spans="1:22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7"/>
      <c r="M173" s="57"/>
      <c r="N173" s="57"/>
      <c r="O173" s="57"/>
      <c r="P173" s="94"/>
      <c r="Q173" s="85"/>
      <c r="R173" s="76"/>
      <c r="S173" s="76"/>
      <c r="T173" s="76"/>
      <c r="U173" s="76"/>
      <c r="V173" s="76"/>
    </row>
    <row r="174" spans="1:22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7"/>
      <c r="M174" s="57"/>
      <c r="N174" s="57"/>
      <c r="O174" s="57"/>
      <c r="P174" s="94"/>
      <c r="Q174" s="85"/>
      <c r="R174" s="76"/>
      <c r="S174" s="76"/>
      <c r="T174" s="76"/>
      <c r="U174" s="76"/>
      <c r="V174" s="76"/>
    </row>
    <row r="175" spans="1:22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7"/>
      <c r="M175" s="57"/>
      <c r="N175" s="57"/>
      <c r="O175" s="57"/>
      <c r="P175" s="94"/>
      <c r="Q175" s="85"/>
      <c r="R175" s="76"/>
      <c r="S175" s="76"/>
      <c r="T175" s="76"/>
      <c r="U175" s="76"/>
      <c r="V175" s="76"/>
    </row>
    <row r="176" spans="1:22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7"/>
      <c r="M176" s="57"/>
      <c r="N176" s="57"/>
      <c r="O176" s="57"/>
      <c r="P176" s="94"/>
      <c r="Q176" s="85"/>
      <c r="R176" s="76"/>
      <c r="S176" s="76"/>
      <c r="T176" s="76"/>
      <c r="U176" s="76"/>
      <c r="V176" s="76"/>
    </row>
    <row r="177" spans="1:22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7"/>
      <c r="M177" s="57"/>
      <c r="N177" s="57"/>
      <c r="O177" s="57"/>
      <c r="P177" s="94"/>
      <c r="Q177" s="85"/>
      <c r="R177" s="76"/>
      <c r="S177" s="76"/>
      <c r="T177" s="76"/>
      <c r="U177" s="76"/>
      <c r="V177" s="76"/>
    </row>
    <row r="178" spans="1:22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7"/>
      <c r="M178" s="57"/>
      <c r="N178" s="57"/>
      <c r="O178" s="57"/>
      <c r="P178" s="94"/>
      <c r="Q178" s="85"/>
      <c r="R178" s="76"/>
      <c r="S178" s="76"/>
      <c r="T178" s="76"/>
      <c r="U178" s="76"/>
      <c r="V178" s="76"/>
    </row>
    <row r="179" spans="1:22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7"/>
      <c r="M179" s="57"/>
      <c r="N179" s="57"/>
      <c r="O179" s="57"/>
      <c r="P179" s="94"/>
      <c r="Q179" s="85"/>
      <c r="R179" s="76"/>
      <c r="S179" s="76"/>
      <c r="T179" s="76"/>
      <c r="U179" s="76"/>
      <c r="V179" s="76"/>
    </row>
    <row r="180" spans="1:22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7"/>
      <c r="M180" s="57"/>
      <c r="N180" s="57"/>
      <c r="O180" s="57"/>
      <c r="P180" s="94"/>
      <c r="Q180" s="85"/>
      <c r="R180" s="76"/>
      <c r="S180" s="76"/>
      <c r="T180" s="76"/>
      <c r="U180" s="76"/>
      <c r="V180" s="76"/>
    </row>
    <row r="181" spans="1:22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7"/>
      <c r="M181" s="57"/>
      <c r="N181" s="57"/>
      <c r="O181" s="57"/>
      <c r="P181" s="94"/>
      <c r="Q181" s="85"/>
      <c r="R181" s="76"/>
      <c r="S181" s="76"/>
      <c r="T181" s="76"/>
      <c r="U181" s="76"/>
      <c r="V181" s="76"/>
    </row>
    <row r="182" spans="1:2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7"/>
      <c r="M182" s="57"/>
      <c r="N182" s="57"/>
      <c r="O182" s="57"/>
      <c r="P182" s="94"/>
      <c r="Q182" s="85"/>
      <c r="R182" s="76"/>
      <c r="S182" s="76"/>
      <c r="T182" s="76"/>
      <c r="U182" s="76"/>
      <c r="V182" s="76"/>
    </row>
    <row r="183" spans="1:22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7"/>
      <c r="M183" s="57"/>
      <c r="N183" s="57"/>
      <c r="O183" s="57"/>
      <c r="P183" s="94"/>
      <c r="Q183" s="85"/>
      <c r="R183" s="76"/>
      <c r="S183" s="76"/>
      <c r="T183" s="76"/>
      <c r="U183" s="76"/>
      <c r="V183" s="76"/>
    </row>
    <row r="184" spans="1:22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7"/>
      <c r="M184" s="57"/>
      <c r="N184" s="57"/>
      <c r="O184" s="57"/>
      <c r="P184" s="94"/>
      <c r="Q184" s="85"/>
      <c r="R184" s="76"/>
      <c r="S184" s="76"/>
      <c r="T184" s="76"/>
      <c r="U184" s="76"/>
      <c r="V184" s="76"/>
    </row>
    <row r="185" spans="1:2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7"/>
      <c r="M185" s="92"/>
      <c r="N185" s="92"/>
      <c r="O185" s="92"/>
      <c r="P185" s="93"/>
      <c r="Q185" s="92"/>
      <c r="R185" s="76"/>
      <c r="S185" s="76"/>
      <c r="T185" s="76"/>
      <c r="U185" s="76"/>
      <c r="V185" s="76"/>
    </row>
    <row r="186" spans="1:22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</row>
    <row r="187" spans="1:22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</row>
    <row r="188" spans="1:22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</row>
    <row r="189" spans="1:22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</row>
    <row r="190" spans="1:2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</row>
    <row r="191" spans="1:22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</row>
    <row r="192" spans="1:2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</row>
    <row r="193" spans="1:22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</row>
    <row r="194" spans="1:22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</row>
    <row r="195" spans="1:2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</row>
    <row r="196" spans="1:22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</row>
    <row r="197" spans="1:22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</row>
    <row r="198" spans="1:22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</row>
    <row r="199" spans="1:22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</row>
    <row r="200" spans="1:22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</row>
    <row r="201" spans="1:22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</row>
    <row r="202" spans="1:2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</row>
    <row r="203" spans="1:22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</row>
    <row r="204" spans="1:22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</row>
    <row r="205" spans="1:22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</row>
    <row r="206" spans="1:22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</row>
    <row r="207" spans="1:22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</row>
    <row r="208" spans="1:22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</row>
    <row r="209" spans="1:2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</row>
    <row r="210" spans="1:22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</row>
    <row r="211" spans="1:22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</row>
    <row r="212" spans="1:2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</row>
    <row r="213" spans="1:22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</row>
    <row r="214" spans="1:2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</row>
    <row r="215" spans="1:22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</row>
    <row r="216" spans="1:22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</row>
    <row r="217" spans="1:22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</row>
    <row r="218" spans="1:2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</row>
    <row r="219" spans="1:22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</row>
    <row r="220" spans="1:22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</row>
    <row r="221" spans="1:22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</row>
    <row r="222" spans="1: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topLeftCell="A28" zoomScaleNormal="100" workbookViewId="0">
      <selection activeCell="D4" sqref="D4"/>
    </sheetView>
  </sheetViews>
  <sheetFormatPr baseColWidth="10" defaultRowHeight="12.75"/>
  <cols>
    <col min="1" max="1" width="48.140625" style="54" customWidth="1"/>
    <col min="2" max="2" width="20" style="55" customWidth="1"/>
    <col min="3" max="3" width="15.42578125" style="54" customWidth="1"/>
    <col min="4" max="4" width="29.28515625" style="54" customWidth="1"/>
    <col min="5" max="16384" width="11.42578125" style="54"/>
  </cols>
  <sheetData>
    <row r="1" spans="1:4" ht="15.75">
      <c r="A1" s="439" t="s">
        <v>217</v>
      </c>
      <c r="B1" s="440"/>
      <c r="C1" s="440"/>
      <c r="D1" s="440"/>
    </row>
    <row r="2" spans="1:4" ht="15.75">
      <c r="A2" s="438" t="s">
        <v>341</v>
      </c>
      <c r="B2" s="438"/>
      <c r="C2" s="438"/>
      <c r="D2" s="438"/>
    </row>
    <row r="3" spans="1:4" ht="15.75">
      <c r="A3" s="124" t="s">
        <v>156</v>
      </c>
      <c r="B3" s="125" t="s">
        <v>335</v>
      </c>
      <c r="C3" s="126" t="s">
        <v>157</v>
      </c>
      <c r="D3" s="126" t="s">
        <v>343</v>
      </c>
    </row>
    <row r="4" spans="1:4" ht="15.75">
      <c r="A4" s="127" t="s">
        <v>158</v>
      </c>
      <c r="B4" s="128">
        <v>532855.17000000004</v>
      </c>
      <c r="C4" s="129">
        <f>+B4/$B$55</f>
        <v>1.6375614570886518E-4</v>
      </c>
      <c r="D4" s="130">
        <f t="shared" ref="D4:D54" si="0">+B$58*C4</f>
        <v>269.29321522687746</v>
      </c>
    </row>
    <row r="5" spans="1:4" ht="15.75">
      <c r="A5" s="131" t="s">
        <v>159</v>
      </c>
      <c r="B5" s="132">
        <v>500859.67</v>
      </c>
      <c r="C5" s="133">
        <f t="shared" ref="C5:C54" si="1">+B5/$B$55</f>
        <v>1.539233429980873E-4</v>
      </c>
      <c r="D5" s="134">
        <f t="shared" si="0"/>
        <v>253.12339732346561</v>
      </c>
    </row>
    <row r="6" spans="1:4" ht="15.75">
      <c r="A6" s="131" t="s">
        <v>160</v>
      </c>
      <c r="B6" s="132">
        <v>28654</v>
      </c>
      <c r="C6" s="133">
        <f t="shared" si="1"/>
        <v>8.805898606823732E-6</v>
      </c>
      <c r="D6" s="134">
        <f t="shared" si="0"/>
        <v>14.48109772325367</v>
      </c>
    </row>
    <row r="7" spans="1:4" ht="15.75">
      <c r="A7" s="131" t="s">
        <v>161</v>
      </c>
      <c r="B7" s="132">
        <v>37159802.159999996</v>
      </c>
      <c r="C7" s="133">
        <f t="shared" si="1"/>
        <v>1.1419887278236528E-2</v>
      </c>
      <c r="D7" s="134">
        <f t="shared" si="0"/>
        <v>18779.741971652569</v>
      </c>
    </row>
    <row r="8" spans="1:4" ht="15.75">
      <c r="A8" s="131" t="s">
        <v>162</v>
      </c>
      <c r="B8" s="132">
        <v>5443891</v>
      </c>
      <c r="C8" s="133">
        <f t="shared" si="1"/>
        <v>1.6730073348433115E-3</v>
      </c>
      <c r="D8" s="134">
        <f t="shared" si="0"/>
        <v>2751.2220829811245</v>
      </c>
    </row>
    <row r="9" spans="1:4" ht="15.75">
      <c r="A9" s="135" t="s">
        <v>163</v>
      </c>
      <c r="B9" s="132">
        <v>437216011.37</v>
      </c>
      <c r="C9" s="133">
        <f t="shared" si="1"/>
        <v>0.13436448193634787</v>
      </c>
      <c r="D9" s="134">
        <f t="shared" si="0"/>
        <v>220959.30016123955</v>
      </c>
    </row>
    <row r="10" spans="1:4" ht="15.75">
      <c r="A10" s="131" t="s">
        <v>164</v>
      </c>
      <c r="B10" s="132">
        <v>1643390.2000000002</v>
      </c>
      <c r="C10" s="133">
        <f t="shared" si="1"/>
        <v>5.0504388471584339E-4</v>
      </c>
      <c r="D10" s="134">
        <f t="shared" si="0"/>
        <v>830.53305240585598</v>
      </c>
    </row>
    <row r="11" spans="1:4" ht="15.75">
      <c r="A11" s="131" t="s">
        <v>165</v>
      </c>
      <c r="B11" s="132">
        <v>262296.23</v>
      </c>
      <c r="C11" s="133">
        <f t="shared" si="1"/>
        <v>8.0608431853567282E-5</v>
      </c>
      <c r="D11" s="134">
        <f t="shared" si="0"/>
        <v>132.55871218925876</v>
      </c>
    </row>
    <row r="12" spans="1:4" ht="15.75">
      <c r="A12" s="131" t="s">
        <v>166</v>
      </c>
      <c r="B12" s="132">
        <v>27973312.5</v>
      </c>
      <c r="C12" s="133">
        <f t="shared" si="1"/>
        <v>8.5967108805749589E-3</v>
      </c>
      <c r="D12" s="134">
        <f t="shared" si="0"/>
        <v>14137.093318755267</v>
      </c>
    </row>
    <row r="13" spans="1:4" ht="15.75">
      <c r="A13" s="131" t="s">
        <v>167</v>
      </c>
      <c r="B13" s="132">
        <v>11926844</v>
      </c>
      <c r="C13" s="133">
        <f t="shared" si="1"/>
        <v>3.6653374385218112E-3</v>
      </c>
      <c r="D13" s="134">
        <f t="shared" si="0"/>
        <v>6027.563114888032</v>
      </c>
    </row>
    <row r="14" spans="1:4" ht="15.75">
      <c r="A14" s="131" t="s">
        <v>168</v>
      </c>
      <c r="B14" s="132">
        <v>1083458.81</v>
      </c>
      <c r="C14" s="133">
        <f t="shared" si="1"/>
        <v>3.3296672106965513E-4</v>
      </c>
      <c r="D14" s="134">
        <f t="shared" si="0"/>
        <v>547.5561145644632</v>
      </c>
    </row>
    <row r="15" spans="1:4" ht="15.75">
      <c r="A15" s="131" t="s">
        <v>169</v>
      </c>
      <c r="B15" s="136">
        <v>1158032.3600000001</v>
      </c>
      <c r="C15" s="133">
        <f t="shared" si="1"/>
        <v>3.5588453778114047E-4</v>
      </c>
      <c r="D15" s="134">
        <f t="shared" si="0"/>
        <v>585.24393703671649</v>
      </c>
    </row>
    <row r="16" spans="1:4" ht="15.75">
      <c r="A16" s="131" t="s">
        <v>170</v>
      </c>
      <c r="B16" s="132">
        <v>70814518</v>
      </c>
      <c r="C16" s="133">
        <f t="shared" si="1"/>
        <v>2.1762597382532771E-2</v>
      </c>
      <c r="D16" s="134">
        <f t="shared" si="0"/>
        <v>35788.09085583534</v>
      </c>
    </row>
    <row r="17" spans="1:7" ht="15.75">
      <c r="A17" s="131" t="s">
        <v>171</v>
      </c>
      <c r="B17" s="132">
        <v>242570</v>
      </c>
      <c r="C17" s="133">
        <f t="shared" si="1"/>
        <v>7.4546200357968607E-5</v>
      </c>
      <c r="D17" s="134">
        <f t="shared" si="0"/>
        <v>122.58951192607114</v>
      </c>
    </row>
    <row r="18" spans="1:7" ht="15.75">
      <c r="A18" s="131" t="s">
        <v>172</v>
      </c>
      <c r="B18" s="132">
        <v>50402.16</v>
      </c>
      <c r="C18" s="133">
        <f t="shared" si="1"/>
        <v>1.548950619546684E-5</v>
      </c>
      <c r="D18" s="134">
        <f t="shared" si="0"/>
        <v>25.472136679802723</v>
      </c>
    </row>
    <row r="19" spans="1:7" ht="15.75">
      <c r="A19" s="131" t="s">
        <v>173</v>
      </c>
      <c r="B19" s="137">
        <v>934148.74</v>
      </c>
      <c r="C19" s="133">
        <f t="shared" si="1"/>
        <v>2.8708100398311387E-4</v>
      </c>
      <c r="D19" s="134">
        <f t="shared" si="0"/>
        <v>472.09810818713913</v>
      </c>
    </row>
    <row r="20" spans="1:7" ht="15.75">
      <c r="A20" s="131" t="s">
        <v>174</v>
      </c>
      <c r="B20" s="132">
        <v>1427519</v>
      </c>
      <c r="C20" s="133">
        <f t="shared" si="1"/>
        <v>4.3870271422190294E-4</v>
      </c>
      <c r="D20" s="134">
        <f t="shared" si="0"/>
        <v>721.43652337549224</v>
      </c>
      <c r="G20" s="54" t="s">
        <v>155</v>
      </c>
    </row>
    <row r="21" spans="1:7" ht="15.75">
      <c r="A21" s="131" t="s">
        <v>175</v>
      </c>
      <c r="B21" s="132">
        <v>302546029.12</v>
      </c>
      <c r="C21" s="133">
        <f t="shared" si="1"/>
        <v>9.2977931748721307E-2</v>
      </c>
      <c r="D21" s="134">
        <f t="shared" si="0"/>
        <v>152900.07026834198</v>
      </c>
    </row>
    <row r="22" spans="1:7" ht="15.75">
      <c r="A22" s="131" t="s">
        <v>176</v>
      </c>
      <c r="B22" s="132">
        <v>569006</v>
      </c>
      <c r="C22" s="133">
        <f t="shared" si="1"/>
        <v>1.7486595737678314E-4</v>
      </c>
      <c r="D22" s="134">
        <f t="shared" si="0"/>
        <v>287.56304498910021</v>
      </c>
    </row>
    <row r="23" spans="1:7" ht="15.75">
      <c r="A23" s="131" t="s">
        <v>177</v>
      </c>
      <c r="B23" s="132">
        <v>154080926.87</v>
      </c>
      <c r="C23" s="133">
        <f t="shared" si="1"/>
        <v>4.7351888715803807E-2</v>
      </c>
      <c r="D23" s="134">
        <f t="shared" si="0"/>
        <v>77869.091899698891</v>
      </c>
    </row>
    <row r="24" spans="1:7" ht="15.75">
      <c r="A24" s="131" t="s">
        <v>178</v>
      </c>
      <c r="B24" s="132">
        <v>4946509.51</v>
      </c>
      <c r="C24" s="133">
        <f t="shared" si="1"/>
        <v>1.5201529002146065E-3</v>
      </c>
      <c r="D24" s="134">
        <f t="shared" si="0"/>
        <v>2499.8564808862156</v>
      </c>
    </row>
    <row r="25" spans="1:7" ht="15.75">
      <c r="A25" s="131" t="s">
        <v>179</v>
      </c>
      <c r="B25" s="132">
        <v>47700</v>
      </c>
      <c r="C25" s="133">
        <f t="shared" si="1"/>
        <v>1.4659082974296502E-5</v>
      </c>
      <c r="D25" s="134">
        <f t="shared" si="0"/>
        <v>24.10652479232219</v>
      </c>
    </row>
    <row r="26" spans="1:7" ht="15.75">
      <c r="A26" s="131" t="s">
        <v>180</v>
      </c>
      <c r="B26" s="132">
        <v>4418</v>
      </c>
      <c r="C26" s="133">
        <f t="shared" si="1"/>
        <v>1.3577322553551772E-6</v>
      </c>
      <c r="D26" s="134">
        <f t="shared" si="0"/>
        <v>2.2327594660897159</v>
      </c>
    </row>
    <row r="27" spans="1:7" ht="15.75">
      <c r="A27" s="131" t="s">
        <v>181</v>
      </c>
      <c r="B27" s="132">
        <v>6963081.0699999994</v>
      </c>
      <c r="C27" s="133">
        <f t="shared" si="1"/>
        <v>2.1398822465803621E-3</v>
      </c>
      <c r="D27" s="134">
        <f t="shared" si="0"/>
        <v>3518.9871372097341</v>
      </c>
    </row>
    <row r="28" spans="1:7" ht="15.75">
      <c r="A28" s="131" t="s">
        <v>182</v>
      </c>
      <c r="B28" s="132">
        <v>183395793.04000002</v>
      </c>
      <c r="C28" s="133">
        <f t="shared" si="1"/>
        <v>5.6360883591410262E-2</v>
      </c>
      <c r="D28" s="134">
        <f t="shared" si="0"/>
        <v>92684.176765751574</v>
      </c>
    </row>
    <row r="29" spans="1:7" ht="15.75">
      <c r="A29" s="131" t="s">
        <v>183</v>
      </c>
      <c r="B29" s="132">
        <v>35168</v>
      </c>
      <c r="C29" s="133">
        <f t="shared" si="1"/>
        <v>1.0807770021804181E-5</v>
      </c>
      <c r="D29" s="134">
        <f t="shared" si="0"/>
        <v>17.773129222146476</v>
      </c>
    </row>
    <row r="30" spans="1:7" ht="15.75">
      <c r="A30" s="131" t="s">
        <v>184</v>
      </c>
      <c r="B30" s="132">
        <v>204866.33</v>
      </c>
      <c r="C30" s="133">
        <f t="shared" si="1"/>
        <v>6.2959172538985505E-5</v>
      </c>
      <c r="D30" s="134">
        <f t="shared" si="0"/>
        <v>103.53491117939326</v>
      </c>
    </row>
    <row r="31" spans="1:7" ht="15.75">
      <c r="A31" s="131" t="s">
        <v>185</v>
      </c>
      <c r="B31" s="132">
        <v>276953.89999999997</v>
      </c>
      <c r="C31" s="133">
        <f t="shared" si="1"/>
        <v>8.5113002099685859E-5</v>
      </c>
      <c r="D31" s="134">
        <f t="shared" si="0"/>
        <v>139.9663743538851</v>
      </c>
    </row>
    <row r="32" spans="1:7" ht="15.75">
      <c r="A32" s="138" t="s">
        <v>186</v>
      </c>
      <c r="B32" s="132">
        <v>1253398.98</v>
      </c>
      <c r="C32" s="133">
        <f t="shared" si="1"/>
        <v>3.8519244544483441E-4</v>
      </c>
      <c r="D32" s="134">
        <f t="shared" si="0"/>
        <v>633.440117107785</v>
      </c>
    </row>
    <row r="33" spans="1:4" ht="15.75">
      <c r="A33" s="131" t="s">
        <v>187</v>
      </c>
      <c r="B33" s="132">
        <v>24273</v>
      </c>
      <c r="C33" s="133">
        <f t="shared" si="1"/>
        <v>7.4595371286184284E-6</v>
      </c>
      <c r="D33" s="134">
        <f t="shared" si="0"/>
        <v>12.267037238659046</v>
      </c>
    </row>
    <row r="34" spans="1:4" ht="15.75">
      <c r="A34" s="131" t="s">
        <v>188</v>
      </c>
      <c r="B34" s="139">
        <v>96713324.799999997</v>
      </c>
      <c r="C34" s="133">
        <f t="shared" si="1"/>
        <v>2.9721774695247123E-2</v>
      </c>
      <c r="D34" s="134">
        <f t="shared" si="0"/>
        <v>48876.774885515901</v>
      </c>
    </row>
    <row r="35" spans="1:4" ht="15.75">
      <c r="A35" s="131" t="s">
        <v>189</v>
      </c>
      <c r="B35" s="137">
        <v>2624214.0099999998</v>
      </c>
      <c r="C35" s="133">
        <f t="shared" si="1"/>
        <v>8.0646899192665308E-4</v>
      </c>
      <c r="D35" s="134">
        <f t="shared" si="0"/>
        <v>1326.2197084365666</v>
      </c>
    </row>
    <row r="36" spans="1:4" ht="15.75">
      <c r="A36" s="138" t="s">
        <v>190</v>
      </c>
      <c r="B36" s="132">
        <v>10174486.800000001</v>
      </c>
      <c r="C36" s="133">
        <f t="shared" si="1"/>
        <v>3.1268060004629879E-3</v>
      </c>
      <c r="D36" s="134">
        <f t="shared" si="0"/>
        <v>5141.9605512233729</v>
      </c>
    </row>
    <row r="37" spans="1:4" ht="15.75">
      <c r="A37" s="131" t="s">
        <v>191</v>
      </c>
      <c r="B37" s="132">
        <v>2990927.88</v>
      </c>
      <c r="C37" s="133">
        <f t="shared" si="1"/>
        <v>9.191668755357805E-4</v>
      </c>
      <c r="D37" s="134">
        <f t="shared" si="0"/>
        <v>1511.5487859804537</v>
      </c>
    </row>
    <row r="38" spans="1:4" ht="15.75">
      <c r="A38" s="131" t="s">
        <v>192</v>
      </c>
      <c r="B38" s="132">
        <v>105901.43</v>
      </c>
      <c r="C38" s="133">
        <f t="shared" si="1"/>
        <v>3.2545447577917248E-5</v>
      </c>
      <c r="D38" s="134">
        <f t="shared" si="0"/>
        <v>53.520239996590625</v>
      </c>
    </row>
    <row r="39" spans="1:4" ht="15.75">
      <c r="A39" s="131" t="s">
        <v>193</v>
      </c>
      <c r="B39" s="132">
        <v>1884</v>
      </c>
      <c r="C39" s="133">
        <f t="shared" si="1"/>
        <v>5.7898767973950971E-7</v>
      </c>
      <c r="D39" s="134">
        <f t="shared" si="0"/>
        <v>0.95213192261498969</v>
      </c>
    </row>
    <row r="40" spans="1:4" ht="15.75">
      <c r="A40" s="131" t="s">
        <v>194</v>
      </c>
      <c r="B40" s="132">
        <v>788755</v>
      </c>
      <c r="C40" s="133">
        <f t="shared" si="1"/>
        <v>2.4239884677969053E-4</v>
      </c>
      <c r="D40" s="134">
        <f t="shared" si="0"/>
        <v>398.61932835572514</v>
      </c>
    </row>
    <row r="41" spans="1:4" ht="15.75">
      <c r="A41" s="131" t="s">
        <v>195</v>
      </c>
      <c r="B41" s="132">
        <v>40444725</v>
      </c>
      <c r="C41" s="133">
        <f t="shared" si="1"/>
        <v>1.2429404185484364E-2</v>
      </c>
      <c r="D41" s="134">
        <f t="shared" si="0"/>
        <v>20439.869306732769</v>
      </c>
    </row>
    <row r="42" spans="1:4" ht="15.75">
      <c r="A42" s="138" t="s">
        <v>196</v>
      </c>
      <c r="B42" s="132">
        <v>838189118</v>
      </c>
      <c r="C42" s="133">
        <f t="shared" si="1"/>
        <v>0.25759085595208392</v>
      </c>
      <c r="D42" s="134">
        <f t="shared" si="0"/>
        <v>423602.23802351509</v>
      </c>
    </row>
    <row r="43" spans="1:4" ht="15.75">
      <c r="A43" s="131" t="s">
        <v>197</v>
      </c>
      <c r="B43" s="132">
        <v>166956</v>
      </c>
      <c r="C43" s="133">
        <f t="shared" si="1"/>
        <v>5.1308634319845846E-5</v>
      </c>
      <c r="D43" s="134">
        <f t="shared" si="0"/>
        <v>84.375869040397134</v>
      </c>
    </row>
    <row r="44" spans="1:4" ht="15.75">
      <c r="A44" s="131" t="s">
        <v>198</v>
      </c>
      <c r="B44" s="132">
        <v>31107299.859999999</v>
      </c>
      <c r="C44" s="133">
        <f t="shared" si="1"/>
        <v>9.5598425524960583E-3</v>
      </c>
      <c r="D44" s="134">
        <f t="shared" si="0"/>
        <v>15720.94120120106</v>
      </c>
    </row>
    <row r="45" spans="1:4" ht="15.75">
      <c r="A45" s="131" t="s">
        <v>199</v>
      </c>
      <c r="B45" s="132">
        <v>2720907.64</v>
      </c>
      <c r="C45" s="133">
        <f t="shared" si="1"/>
        <v>8.3618471404941889E-4</v>
      </c>
      <c r="D45" s="134">
        <f t="shared" si="0"/>
        <v>1375.0865300058463</v>
      </c>
    </row>
    <row r="46" spans="1:4" ht="15.75">
      <c r="A46" s="131" t="s">
        <v>200</v>
      </c>
      <c r="B46" s="132">
        <v>126794.61</v>
      </c>
      <c r="C46" s="133">
        <f t="shared" si="1"/>
        <v>3.89663041652739E-5</v>
      </c>
      <c r="D46" s="134">
        <f t="shared" si="0"/>
        <v>64.079190974797129</v>
      </c>
    </row>
    <row r="47" spans="1:4" ht="15.75">
      <c r="A47" s="131" t="s">
        <v>201</v>
      </c>
      <c r="B47" s="132">
        <v>3898012.83</v>
      </c>
      <c r="C47" s="133">
        <f t="shared" si="1"/>
        <v>1.1979306815480572E-3</v>
      </c>
      <c r="D47" s="134">
        <f t="shared" si="0"/>
        <v>1969.9694534001044</v>
      </c>
    </row>
    <row r="48" spans="1:4" ht="15.75">
      <c r="A48" s="131" t="s">
        <v>202</v>
      </c>
      <c r="B48" s="132">
        <v>44901466.049999997</v>
      </c>
      <c r="C48" s="133">
        <f t="shared" si="1"/>
        <v>1.3799042274517975E-2</v>
      </c>
      <c r="D48" s="134">
        <f t="shared" si="0"/>
        <v>22692.207642472495</v>
      </c>
    </row>
    <row r="49" spans="1:4" ht="15.75">
      <c r="A49" s="131" t="s">
        <v>203</v>
      </c>
      <c r="B49" s="140">
        <v>113461498</v>
      </c>
      <c r="C49" s="133">
        <f t="shared" si="1"/>
        <v>3.4868794833752131E-2</v>
      </c>
      <c r="D49" s="134">
        <f t="shared" si="0"/>
        <v>57340.931121824207</v>
      </c>
    </row>
    <row r="50" spans="1:4" ht="15.75">
      <c r="A50" s="141" t="s">
        <v>204</v>
      </c>
      <c r="B50" s="132">
        <v>476069452.07999998</v>
      </c>
      <c r="C50" s="133">
        <f t="shared" si="1"/>
        <v>0.14630485533686777</v>
      </c>
      <c r="D50" s="134">
        <f t="shared" si="0"/>
        <v>240594.96958980631</v>
      </c>
    </row>
    <row r="51" spans="1:4" ht="15.75">
      <c r="A51" s="131" t="s">
        <v>205</v>
      </c>
      <c r="B51" s="132">
        <v>171024852.19</v>
      </c>
      <c r="C51" s="133">
        <f t="shared" si="1"/>
        <v>5.2559067063312474E-2</v>
      </c>
      <c r="D51" s="134">
        <f t="shared" si="0"/>
        <v>86432.176927074906</v>
      </c>
    </row>
    <row r="52" spans="1:4" ht="15.75">
      <c r="A52" s="131" t="s">
        <v>206</v>
      </c>
      <c r="B52" s="132">
        <v>164398080.58000001</v>
      </c>
      <c r="C52" s="133">
        <f t="shared" si="1"/>
        <v>5.0522538868706557E-2</v>
      </c>
      <c r="D52" s="134">
        <f t="shared" si="0"/>
        <v>83083.153151193954</v>
      </c>
    </row>
    <row r="53" spans="1:4" ht="15.75">
      <c r="A53" s="131" t="s">
        <v>207</v>
      </c>
      <c r="B53" s="132">
        <v>724463.75</v>
      </c>
      <c r="C53" s="133">
        <f t="shared" si="1"/>
        <v>2.2264096903815511E-4</v>
      </c>
      <c r="D53" s="134">
        <f t="shared" si="0"/>
        <v>366.12795284095819</v>
      </c>
    </row>
    <row r="54" spans="1:4" ht="15.75">
      <c r="A54" s="142" t="s">
        <v>208</v>
      </c>
      <c r="B54" s="143">
        <v>575440</v>
      </c>
      <c r="C54" s="133">
        <f t="shared" si="1"/>
        <v>1.7684324332765575E-4</v>
      </c>
      <c r="D54" s="144">
        <f t="shared" si="0"/>
        <v>290.81464625773333</v>
      </c>
    </row>
    <row r="55" spans="1:4" ht="16.5" thickBot="1">
      <c r="A55" s="145" t="s">
        <v>209</v>
      </c>
      <c r="B55" s="352">
        <f>+SUM(B4:B54)</f>
        <v>3253955249.7000003</v>
      </c>
      <c r="C55" s="146">
        <f>SUM(C4:C54)</f>
        <v>1</v>
      </c>
      <c r="D55" s="147">
        <f>SUM(D4:D54)</f>
        <v>1644476.9999999998</v>
      </c>
    </row>
    <row r="56" spans="1:4" ht="16.5" thickBot="1">
      <c r="A56" s="148"/>
      <c r="B56" s="149"/>
      <c r="C56" s="148"/>
      <c r="D56" s="148"/>
    </row>
    <row r="57" spans="1:4" ht="15.75">
      <c r="A57" s="150" t="s">
        <v>210</v>
      </c>
      <c r="B57" s="151">
        <f>+'PART MES'!B13</f>
        <v>8222385</v>
      </c>
      <c r="C57" s="148"/>
      <c r="D57" s="148"/>
    </row>
    <row r="58" spans="1:4" ht="16.5" thickBot="1">
      <c r="A58" s="152" t="s">
        <v>211</v>
      </c>
      <c r="B58" s="153">
        <f>+B57*0.2</f>
        <v>1644477</v>
      </c>
      <c r="C58" s="148"/>
      <c r="D58" s="148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11</vt:i4>
      </vt:variant>
    </vt:vector>
  </HeadingPairs>
  <TitlesOfParts>
    <vt:vector size="21" baseType="lpstr">
      <vt:lpstr>PART MES</vt:lpstr>
      <vt:lpstr>DIST MAYO</vt:lpstr>
      <vt:lpstr>COEF Art 14 F I </vt:lpstr>
      <vt:lpstr>CALCULO GARANTIA</vt:lpstr>
      <vt:lpstr>PART PEF2022 </vt:lpstr>
      <vt:lpstr>COEF Art 14 F II ieps</vt:lpstr>
      <vt:lpstr>Art.14 Frac.III</vt:lpstr>
      <vt:lpstr>Art.14 Frac.III AJUSTE DEF</vt:lpstr>
      <vt:lpstr>ISAI</vt:lpstr>
      <vt:lpstr>ISR MÁYO </vt:lpstr>
      <vt:lpstr>'Art.14 Frac.III'!Área_de_impresión</vt:lpstr>
      <vt:lpstr>'Art.14 Frac.III AJUSTE DEF'!Área_de_impresión</vt:lpstr>
      <vt:lpstr>'CALCULO GARANTIA'!Área_de_impresión</vt:lpstr>
      <vt:lpstr>'COEF Art 14 F I '!Área_de_impresión</vt:lpstr>
      <vt:lpstr>'COEF Art 14 F II ieps'!Área_de_impresión</vt:lpstr>
      <vt:lpstr>'DIST MAYO'!Área_de_impresión</vt:lpstr>
      <vt:lpstr>ISAI!Área_de_impresión</vt:lpstr>
      <vt:lpstr>'PART MES'!Área_de_impresión</vt:lpstr>
      <vt:lpstr>'PART PEF2022 '!Área_de_impresión</vt:lpstr>
      <vt:lpstr>'COEF Art 14 F I '!Títulos_a_imprimir</vt:lpstr>
      <vt:lpstr>'DIST MAYO'!Títulos_a_imprimir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2022-01-31T21:37:01Z</cp:lastPrinted>
  <dcterms:created xsi:type="dcterms:W3CDTF">2009-12-17T23:31:03Z</dcterms:created>
  <dcterms:modified xsi:type="dcterms:W3CDTF">2022-06-07T14:20:11Z</dcterms:modified>
</cp:coreProperties>
</file>