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0" yWindow="60" windowWidth="28800" windowHeight="12375" tabRatio="273" activeTab="1"/>
  </bookViews>
  <sheets>
    <sheet name="Было" sheetId="1" r:id="rId1"/>
    <sheet name="Сало" sheetId="4" r:id="rId2"/>
  </sheets>
  <definedNames>
    <definedName name="_xlnm.Print_Titles" localSheetId="0">Было!$6:$6</definedName>
  </definedNames>
  <calcPr calcId="145621"/>
</workbook>
</file>

<file path=xl/calcChain.xml><?xml version="1.0" encoding="utf-8"?>
<calcChain xmlns="http://schemas.openxmlformats.org/spreadsheetml/2006/main">
  <c r="V29" i="4" l="1"/>
  <c r="V51" i="4"/>
  <c r="V56" i="4"/>
  <c r="V55" i="4"/>
  <c r="V47" i="4"/>
  <c r="V43" i="4"/>
  <c r="V53" i="4" l="1"/>
  <c r="V42" i="4"/>
  <c r="V38" i="4"/>
  <c r="V31" i="4"/>
  <c r="V30" i="4"/>
  <c r="V27" i="4"/>
  <c r="V23" i="4"/>
  <c r="V19" i="4"/>
  <c r="U49" i="4" l="1"/>
  <c r="U56" i="4"/>
  <c r="U55" i="4"/>
  <c r="U54" i="4"/>
  <c r="U46" i="4"/>
  <c r="U53" i="4"/>
  <c r="U36" i="4"/>
  <c r="U28" i="4"/>
  <c r="U25" i="4"/>
  <c r="U19" i="4"/>
  <c r="U9" i="4" l="1"/>
  <c r="U7" i="4"/>
  <c r="S56" i="4" l="1"/>
  <c r="E61" i="4" l="1"/>
  <c r="S55" i="4" l="1"/>
  <c r="S54" i="4"/>
  <c r="S53" i="4"/>
  <c r="S29" i="4"/>
  <c r="S17" i="4" l="1"/>
  <c r="R10" i="4" l="1"/>
  <c r="R55" i="4" l="1"/>
  <c r="R54" i="4"/>
  <c r="R53" i="4"/>
  <c r="R33" i="4"/>
  <c r="R31" i="4"/>
  <c r="R28" i="4"/>
  <c r="R20" i="4"/>
  <c r="R19" i="4"/>
  <c r="R17" i="4" l="1"/>
  <c r="R16" i="4"/>
  <c r="R15" i="4"/>
  <c r="R14" i="4"/>
  <c r="R44" i="4"/>
  <c r="R45" i="4"/>
  <c r="R39" i="4" l="1"/>
  <c r="R9" i="4"/>
  <c r="R50" i="4" l="1"/>
  <c r="R13" i="4"/>
  <c r="R11" i="4"/>
  <c r="R24" i="4"/>
  <c r="Q18" i="4" l="1"/>
  <c r="Q17" i="4"/>
  <c r="Q50" i="4"/>
  <c r="Q16" i="4"/>
  <c r="Q13" i="4"/>
  <c r="Q12" i="4"/>
  <c r="Q11" i="4"/>
  <c r="Q10" i="4"/>
  <c r="Q37" i="4"/>
  <c r="Q8" i="4"/>
  <c r="Q24" i="4"/>
  <c r="Q54" i="4" l="1"/>
  <c r="Q55" i="4"/>
  <c r="Q48" i="4"/>
  <c r="Q53" i="4"/>
  <c r="Q41" i="4"/>
  <c r="Q33" i="4"/>
  <c r="Q31" i="4"/>
  <c r="W64" i="4" l="1"/>
  <c r="V64" i="4"/>
  <c r="U64" i="4"/>
  <c r="S64" i="4"/>
  <c r="R64" i="4"/>
  <c r="Q64" i="4"/>
  <c r="M64" i="4"/>
  <c r="K64" i="4"/>
  <c r="J64" i="4"/>
  <c r="I64" i="4"/>
  <c r="W61" i="4"/>
  <c r="W65" i="4" s="1"/>
  <c r="V61" i="4"/>
  <c r="V65" i="4" s="1"/>
  <c r="U61" i="4"/>
  <c r="S61" i="4"/>
  <c r="R61" i="4"/>
  <c r="Q61" i="4"/>
  <c r="I61" i="4"/>
  <c r="I65" i="4" s="1"/>
  <c r="T57" i="4"/>
  <c r="P57" i="4"/>
  <c r="L57" i="4"/>
  <c r="H57" i="4"/>
  <c r="U65" i="4" l="1"/>
  <c r="S65" i="4"/>
  <c r="R65" i="4"/>
  <c r="Q65" i="4"/>
  <c r="F57" i="4"/>
  <c r="G57" i="4" s="1"/>
  <c r="O55" i="4" l="1"/>
  <c r="O54" i="4"/>
  <c r="O53" i="4"/>
  <c r="O33" i="4"/>
  <c r="O31" i="4"/>
  <c r="O50" i="4"/>
  <c r="O37" i="4"/>
  <c r="O24" i="4"/>
  <c r="O44" i="4" l="1"/>
  <c r="O11" i="4"/>
  <c r="O8" i="4"/>
  <c r="O22" i="4"/>
  <c r="O61" i="4" l="1"/>
  <c r="O64" i="4"/>
  <c r="O65" i="4" s="1"/>
  <c r="E64" i="4"/>
  <c r="E65" i="4" s="1"/>
  <c r="N50" i="4"/>
  <c r="N55" i="4"/>
  <c r="N54" i="4"/>
  <c r="N45" i="4"/>
  <c r="N53" i="4"/>
  <c r="N24" i="4"/>
  <c r="N22" i="4"/>
  <c r="N64" i="4" l="1"/>
  <c r="N61" i="4"/>
  <c r="M55" i="4"/>
  <c r="M54" i="4"/>
  <c r="N65" i="4" l="1"/>
  <c r="M53" i="4"/>
  <c r="M61" i="4" s="1"/>
  <c r="M65" i="4" s="1"/>
  <c r="K55" i="4" l="1"/>
  <c r="K54" i="4"/>
  <c r="K53" i="4"/>
  <c r="K61" i="4" l="1"/>
  <c r="K65" i="4" s="1"/>
  <c r="J55" i="4"/>
  <c r="J54" i="4"/>
  <c r="J53" i="4"/>
  <c r="J61" i="4" l="1"/>
  <c r="J65" i="4" s="1"/>
  <c r="W62" i="4"/>
  <c r="V62" i="4"/>
  <c r="U62" i="4"/>
  <c r="S62" i="4"/>
  <c r="R62" i="4"/>
  <c r="Q62" i="4"/>
  <c r="O62" i="4"/>
  <c r="N62" i="4"/>
  <c r="M62" i="4"/>
  <c r="K62" i="4"/>
  <c r="J62" i="4"/>
  <c r="I62" i="4"/>
  <c r="E62" i="4"/>
  <c r="T55" i="4"/>
  <c r="P55" i="4"/>
  <c r="L55" i="4"/>
  <c r="H55" i="4"/>
  <c r="T54" i="4"/>
  <c r="P54" i="4"/>
  <c r="L54" i="4"/>
  <c r="H54" i="4"/>
  <c r="H62" i="4" l="1"/>
  <c r="L62" i="4"/>
  <c r="T62" i="4"/>
  <c r="T61" i="4"/>
  <c r="T64" i="4"/>
  <c r="P64" i="4"/>
  <c r="L64" i="4"/>
  <c r="H64" i="4"/>
  <c r="P61" i="4"/>
  <c r="L61" i="4"/>
  <c r="H61" i="4"/>
  <c r="P62" i="4"/>
  <c r="F54" i="4"/>
  <c r="G54" i="4" s="1"/>
  <c r="F55" i="4"/>
  <c r="G55" i="4" s="1"/>
  <c r="T56" i="4" l="1"/>
  <c r="P56" i="4"/>
  <c r="L56" i="4"/>
  <c r="H56" i="4"/>
  <c r="F56" i="4" l="1"/>
  <c r="G56" i="4" s="1"/>
  <c r="W59" i="4" l="1"/>
  <c r="V59" i="4"/>
  <c r="U59" i="4"/>
  <c r="S59" i="4"/>
  <c r="R59" i="4"/>
  <c r="Q59" i="4"/>
  <c r="O59" i="4"/>
  <c r="N59" i="4"/>
  <c r="M59" i="4"/>
  <c r="J59" i="4"/>
  <c r="K59" i="4"/>
  <c r="I59" i="4"/>
  <c r="T53" i="4" l="1"/>
  <c r="P53" i="4"/>
  <c r="L53" i="4"/>
  <c r="H53" i="4"/>
  <c r="T65" i="4" l="1"/>
  <c r="F53" i="4"/>
  <c r="G53" i="4" s="1"/>
  <c r="P65" i="4" l="1"/>
  <c r="F64" i="4" l="1"/>
  <c r="H65" i="4"/>
  <c r="H8" i="4"/>
  <c r="L8" i="4"/>
  <c r="P8" i="4"/>
  <c r="T8" i="4"/>
  <c r="H9" i="4"/>
  <c r="L9" i="4"/>
  <c r="P9" i="4"/>
  <c r="T9" i="4"/>
  <c r="H10" i="4"/>
  <c r="L10" i="4"/>
  <c r="P10" i="4"/>
  <c r="T10" i="4"/>
  <c r="H11" i="4"/>
  <c r="L11" i="4"/>
  <c r="P11" i="4"/>
  <c r="T11" i="4"/>
  <c r="H12" i="4"/>
  <c r="L12" i="4"/>
  <c r="P12" i="4"/>
  <c r="T12" i="4"/>
  <c r="H13" i="4"/>
  <c r="L13" i="4"/>
  <c r="P13" i="4"/>
  <c r="T13" i="4"/>
  <c r="H14" i="4"/>
  <c r="L14" i="4"/>
  <c r="P14" i="4"/>
  <c r="T14" i="4"/>
  <c r="H15" i="4"/>
  <c r="L15" i="4"/>
  <c r="P15" i="4"/>
  <c r="T15" i="4"/>
  <c r="H16" i="4"/>
  <c r="L16" i="4"/>
  <c r="P16" i="4"/>
  <c r="T16" i="4"/>
  <c r="H17" i="4"/>
  <c r="L17" i="4"/>
  <c r="P17" i="4"/>
  <c r="T17" i="4"/>
  <c r="H18" i="4"/>
  <c r="L18" i="4"/>
  <c r="P18" i="4"/>
  <c r="T18" i="4"/>
  <c r="H19" i="4"/>
  <c r="L19" i="4"/>
  <c r="P19" i="4"/>
  <c r="T19" i="4"/>
  <c r="H20" i="4"/>
  <c r="L20" i="4"/>
  <c r="P20" i="4"/>
  <c r="T20" i="4"/>
  <c r="H21" i="4"/>
  <c r="L21" i="4"/>
  <c r="P21" i="4"/>
  <c r="T21" i="4"/>
  <c r="H22" i="4"/>
  <c r="L22" i="4"/>
  <c r="P22" i="4"/>
  <c r="T22" i="4"/>
  <c r="H23" i="4"/>
  <c r="L23" i="4"/>
  <c r="P23" i="4"/>
  <c r="T23" i="4"/>
  <c r="H24" i="4"/>
  <c r="L24" i="4"/>
  <c r="P24" i="4"/>
  <c r="T24" i="4"/>
  <c r="H25" i="4"/>
  <c r="L25" i="4"/>
  <c r="P25" i="4"/>
  <c r="T25" i="4"/>
  <c r="H26" i="4"/>
  <c r="L26" i="4"/>
  <c r="P26" i="4"/>
  <c r="T26" i="4"/>
  <c r="H27" i="4"/>
  <c r="L27" i="4"/>
  <c r="P27" i="4"/>
  <c r="T27" i="4"/>
  <c r="H28" i="4"/>
  <c r="L28" i="4"/>
  <c r="P28" i="4"/>
  <c r="T28" i="4"/>
  <c r="H29" i="4"/>
  <c r="L29" i="4"/>
  <c r="P29" i="4"/>
  <c r="T29" i="4"/>
  <c r="H30" i="4"/>
  <c r="L30" i="4"/>
  <c r="P30" i="4"/>
  <c r="T30" i="4"/>
  <c r="H31" i="4"/>
  <c r="L31" i="4"/>
  <c r="P31" i="4"/>
  <c r="T31" i="4"/>
  <c r="H32" i="4"/>
  <c r="L32" i="4"/>
  <c r="P32" i="4"/>
  <c r="T32" i="4"/>
  <c r="H33" i="4"/>
  <c r="L33" i="4"/>
  <c r="P33" i="4"/>
  <c r="T33" i="4"/>
  <c r="H34" i="4"/>
  <c r="L34" i="4"/>
  <c r="P34" i="4"/>
  <c r="T34" i="4"/>
  <c r="H35" i="4"/>
  <c r="L35" i="4"/>
  <c r="P35" i="4"/>
  <c r="T35" i="4"/>
  <c r="H36" i="4"/>
  <c r="L36" i="4"/>
  <c r="P36" i="4"/>
  <c r="T36" i="4"/>
  <c r="H37" i="4"/>
  <c r="L37" i="4"/>
  <c r="P37" i="4"/>
  <c r="T37" i="4"/>
  <c r="H38" i="4"/>
  <c r="L38" i="4"/>
  <c r="P38" i="4"/>
  <c r="T38" i="4"/>
  <c r="H39" i="4"/>
  <c r="L39" i="4"/>
  <c r="P39" i="4"/>
  <c r="T39" i="4"/>
  <c r="H40" i="4"/>
  <c r="L40" i="4"/>
  <c r="P40" i="4"/>
  <c r="T40" i="4"/>
  <c r="H41" i="4"/>
  <c r="L41" i="4"/>
  <c r="P41" i="4"/>
  <c r="T41" i="4"/>
  <c r="H42" i="4"/>
  <c r="L42" i="4"/>
  <c r="P42" i="4"/>
  <c r="T42" i="4"/>
  <c r="H43" i="4"/>
  <c r="L43" i="4"/>
  <c r="P43" i="4"/>
  <c r="T43" i="4"/>
  <c r="H44" i="4"/>
  <c r="L44" i="4"/>
  <c r="P44" i="4"/>
  <c r="T44" i="4"/>
  <c r="H45" i="4"/>
  <c r="L45" i="4"/>
  <c r="P45" i="4"/>
  <c r="T45" i="4"/>
  <c r="H46" i="4"/>
  <c r="L46" i="4"/>
  <c r="P46" i="4"/>
  <c r="T46" i="4"/>
  <c r="H47" i="4"/>
  <c r="L47" i="4"/>
  <c r="P47" i="4"/>
  <c r="T47" i="4"/>
  <c r="H48" i="4"/>
  <c r="L48" i="4"/>
  <c r="P48" i="4"/>
  <c r="T48" i="4"/>
  <c r="H49" i="4"/>
  <c r="L49" i="4"/>
  <c r="P49" i="4"/>
  <c r="T49" i="4"/>
  <c r="H50" i="4"/>
  <c r="L50" i="4"/>
  <c r="P50" i="4"/>
  <c r="T50" i="4"/>
  <c r="H51" i="4"/>
  <c r="L51" i="4"/>
  <c r="P51" i="4"/>
  <c r="T51" i="4"/>
  <c r="H52" i="4"/>
  <c r="L52" i="4"/>
  <c r="P52" i="4"/>
  <c r="T52" i="4"/>
  <c r="H58" i="4"/>
  <c r="L58" i="4"/>
  <c r="P58" i="4"/>
  <c r="T58" i="4"/>
  <c r="T7" i="4"/>
  <c r="P7" i="4"/>
  <c r="L7" i="4"/>
  <c r="H7" i="4"/>
  <c r="F8" i="4" l="1"/>
  <c r="G8" i="4" s="1"/>
  <c r="F62" i="4"/>
  <c r="H59" i="4"/>
  <c r="L59" i="4"/>
  <c r="P59" i="4"/>
  <c r="T59" i="4"/>
  <c r="F50" i="4"/>
  <c r="G50" i="4" s="1"/>
  <c r="F46" i="4"/>
  <c r="G46" i="4" s="1"/>
  <c r="F38" i="4"/>
  <c r="G38" i="4" s="1"/>
  <c r="F34" i="4"/>
  <c r="G34" i="4" s="1"/>
  <c r="F23" i="4"/>
  <c r="G23" i="4" s="1"/>
  <c r="F21" i="4"/>
  <c r="G21" i="4" s="1"/>
  <c r="F19" i="4"/>
  <c r="G19" i="4" s="1"/>
  <c r="F15" i="4"/>
  <c r="G15" i="4" s="1"/>
  <c r="F13" i="4"/>
  <c r="G13" i="4" s="1"/>
  <c r="F11" i="4"/>
  <c r="G11" i="4" s="1"/>
  <c r="F30" i="4"/>
  <c r="G30" i="4" s="1"/>
  <c r="F17" i="4"/>
  <c r="G17" i="4" s="1"/>
  <c r="F48" i="4"/>
  <c r="G48" i="4" s="1"/>
  <c r="F44" i="4"/>
  <c r="G44" i="4" s="1"/>
  <c r="F42" i="4"/>
  <c r="G42" i="4" s="1"/>
  <c r="F40" i="4"/>
  <c r="G40" i="4" s="1"/>
  <c r="F36" i="4"/>
  <c r="G36" i="4" s="1"/>
  <c r="F32" i="4"/>
  <c r="G32" i="4" s="1"/>
  <c r="F28" i="4"/>
  <c r="G28" i="4" s="1"/>
  <c r="F27" i="4"/>
  <c r="G27" i="4" s="1"/>
  <c r="F25" i="4"/>
  <c r="G25" i="4" s="1"/>
  <c r="F52" i="4"/>
  <c r="G52" i="4" s="1"/>
  <c r="F9" i="4"/>
  <c r="G9" i="4" s="1"/>
  <c r="F51" i="4"/>
  <c r="G51" i="4" s="1"/>
  <c r="F49" i="4"/>
  <c r="G49" i="4" s="1"/>
  <c r="F47" i="4"/>
  <c r="G47" i="4" s="1"/>
  <c r="F45" i="4"/>
  <c r="G45" i="4" s="1"/>
  <c r="F43" i="4"/>
  <c r="G43" i="4" s="1"/>
  <c r="F41" i="4"/>
  <c r="G41" i="4" s="1"/>
  <c r="F39" i="4"/>
  <c r="G39" i="4" s="1"/>
  <c r="F37" i="4"/>
  <c r="G37" i="4" s="1"/>
  <c r="F35" i="4"/>
  <c r="G35" i="4" s="1"/>
  <c r="F33" i="4"/>
  <c r="G33" i="4" s="1"/>
  <c r="F31" i="4"/>
  <c r="G31" i="4" s="1"/>
  <c r="F26" i="4"/>
  <c r="G26" i="4" s="1"/>
  <c r="F22" i="4"/>
  <c r="G22" i="4" s="1"/>
  <c r="F20" i="4"/>
  <c r="G20" i="4" s="1"/>
  <c r="F18" i="4"/>
  <c r="G18" i="4" s="1"/>
  <c r="F16" i="4"/>
  <c r="G16" i="4" s="1"/>
  <c r="F12" i="4"/>
  <c r="G12" i="4" s="1"/>
  <c r="F10" i="4"/>
  <c r="G10" i="4" s="1"/>
  <c r="F24" i="4"/>
  <c r="G24" i="4" s="1"/>
  <c r="F14" i="4"/>
  <c r="G14" i="4" s="1"/>
  <c r="F58" i="4"/>
  <c r="G58" i="4" s="1"/>
  <c r="F29" i="4"/>
  <c r="G29" i="4" s="1"/>
  <c r="F7" i="4"/>
  <c r="L65" i="4" l="1"/>
  <c r="F65" i="4" s="1"/>
  <c r="F61" i="4"/>
  <c r="F59" i="4"/>
  <c r="G64" i="4"/>
  <c r="G7" i="4"/>
  <c r="N9" i="1"/>
  <c r="O9" i="1"/>
  <c r="J9" i="1"/>
  <c r="K9" i="1"/>
  <c r="I9" i="1"/>
  <c r="M8" i="1"/>
  <c r="M7" i="1"/>
  <c r="T8" i="1"/>
  <c r="P8" i="1"/>
  <c r="H8" i="1"/>
  <c r="G65" i="4" l="1"/>
  <c r="G61" i="4"/>
  <c r="M9" i="1"/>
  <c r="L8" i="1"/>
  <c r="F8" i="1" s="1"/>
  <c r="G8" i="1" s="1"/>
  <c r="W9" i="1" l="1"/>
  <c r="U9" i="1" l="1"/>
  <c r="P7" i="1"/>
  <c r="Q9" i="1" l="1"/>
  <c r="V9" i="1" l="1"/>
  <c r="S9" i="1" l="1"/>
  <c r="R9" i="1" l="1"/>
  <c r="T7" i="1" l="1"/>
  <c r="L7" i="1"/>
  <c r="L9" i="1" s="1"/>
  <c r="H7" i="1"/>
  <c r="H9" i="1" s="1"/>
  <c r="F7" i="1" l="1"/>
  <c r="F9" i="1" s="1"/>
  <c r="P9" i="1"/>
  <c r="T9" i="1"/>
  <c r="G7" i="1" l="1"/>
</calcChain>
</file>

<file path=xl/sharedStrings.xml><?xml version="1.0" encoding="utf-8"?>
<sst xmlns="http://schemas.openxmlformats.org/spreadsheetml/2006/main" count="169" uniqueCount="95">
  <si>
    <t>№, дата контракта, подрядчик</t>
  </si>
  <si>
    <t>ВЫПОЛНЕНИЕ, всего, тыс. руб.</t>
  </si>
  <si>
    <t>% выполнения</t>
  </si>
  <si>
    <t>1-ый квартал</t>
  </si>
  <si>
    <t>январь</t>
  </si>
  <si>
    <t>февраль</t>
  </si>
  <si>
    <t>март</t>
  </si>
  <si>
    <t>2-ой квратал</t>
  </si>
  <si>
    <t>апрель</t>
  </si>
  <si>
    <t>май</t>
  </si>
  <si>
    <t>июнь</t>
  </si>
  <si>
    <t>3-ий квартал</t>
  </si>
  <si>
    <t>июль</t>
  </si>
  <si>
    <t>август</t>
  </si>
  <si>
    <t>сентябрь</t>
  </si>
  <si>
    <t>4-ый квартал</t>
  </si>
  <si>
    <t>октябрь</t>
  </si>
  <si>
    <t>ноябрь</t>
  </si>
  <si>
    <t>декабрь</t>
  </si>
  <si>
    <t>ВСЕГО</t>
  </si>
  <si>
    <t xml:space="preserve">ГУ ТО "Тулаавтодор", ГЗ </t>
  </si>
  <si>
    <t>Сумма по гос. заданию/ контракту, тыс. рублей</t>
  </si>
  <si>
    <t>в том числе гос. задание
ГУ ТО "Тулаавтодор"</t>
  </si>
  <si>
    <t>в том числе гос. задание
ГАУ ТО "Проектная контора"</t>
  </si>
  <si>
    <t>Тулаавтодор - БиКД</t>
  </si>
  <si>
    <t>Тулаавтодор - не БиКД</t>
  </si>
  <si>
    <t>Км/пог.м</t>
  </si>
  <si>
    <t>Начальник экономико-аналитического отдела                                                                  Т.В. Силаева</t>
  </si>
  <si>
    <t xml:space="preserve">Выполнение по ремонту за 2018 год </t>
  </si>
  <si>
    <t>Ремонт моста через р. Упа на км 73+344 автомобильной дороги Тула-Белев в Одоевском районе Тульской области</t>
  </si>
  <si>
    <t>Ремонт автомобильной дороги Богородицк-Товарковский-Куркино - пдъезд к населенному пункту Папоротка км 2+170 - км 4+190 в Богородицком районе Тульской области</t>
  </si>
  <si>
    <t>Разработка проектной и рабочей документации на ремонт</t>
  </si>
  <si>
    <t>ГАУ ТО "Пректная контора"</t>
  </si>
  <si>
    <t>ВСЕГО:</t>
  </si>
  <si>
    <t>В том числе гос. задание ГАУ ТО "Проектная контора"</t>
  </si>
  <si>
    <t>БКАД</t>
  </si>
  <si>
    <t>Не БКАД</t>
  </si>
  <si>
    <t>Силаева Т.В.</t>
  </si>
  <si>
    <t>Начальник экономико-аналитического отдела</t>
  </si>
  <si>
    <t>В том числе гос. задание ГУ ТО "Тулаавтодор"</t>
  </si>
  <si>
    <t>Мероприятия</t>
  </si>
  <si>
    <t xml:space="preserve">Выполнение по ремонту за 2021 год </t>
  </si>
  <si>
    <t>Ремонт участка автомобильной дороги Новое Клейменово - Ясногорск - Мордвес км 47+835 - км 50+335 в Веневском районе</t>
  </si>
  <si>
    <t>Ремонт участка автомобильной дороги Дубна - Лобжа           км 0+925 - км 4+690; км 4+710 - км 4+970 в Дубенском районе</t>
  </si>
  <si>
    <t>Ремонт автомобильной дороги «Щекино - Липки - Киреевск» - автоподъезд к населенному пункту Бородино км 0+000 -       км 3+675 в Киреевском районе</t>
  </si>
  <si>
    <t>Ремонт участка автомобильной дороги Тула - Алешня                         км 13+285 - км 22+155 в Ленинском районе</t>
  </si>
  <si>
    <t>Ремонт автомобильной дороги М-2 «Крым» - Ревякино         км 0+000 - км 4+500 в Ленинском районе</t>
  </si>
  <si>
    <t>Ремонт автомобильной дороги «Донской - Богородицк» - автоподъезд к населенному пункту Романцево км 0+000 -     км 6+591 в Узловском районе</t>
  </si>
  <si>
    <t>Ремонт участка автомобильной дороги Щекино - Одоев - Арсеньево км 4+398 - км 5+160 в Щекинском районе</t>
  </si>
  <si>
    <t>Ремонт участка автомобильной дороги Егорьевск - Коломна - Кашира - Ненашево км 137+695 - км 148+020 в Ясногорском районе</t>
  </si>
  <si>
    <t>Ремонт автомобильной дороги М-2 «Крым» - Ревякино         км 4+500 - км 9+160 в Ясногорском районе</t>
  </si>
  <si>
    <t>Ремонт участков автомобильной дороги «Алексин - Першино - Авангард» - подъезд к населенному пункту Бизюкино-Скороварово км 11+845 - км 15+050, км 15+400 - км 20+900 в Алексинском районе</t>
  </si>
  <si>
    <t>Ремонт автомобильной дороги «Арсеньево - Араны» - Прилепы - Хлопово - Стрикино км 0+000 - км 7+071 в Арсеньевском районе</t>
  </si>
  <si>
    <t>Ремонт автомобильной дороги Автоподъезд к населенному пункту Мишенское от автодороги Белев - Ровно - Слобода - Зайцево км 0+000 - км 2+702 в Белевском районе</t>
  </si>
  <si>
    <t>Ремонт участка автомобильной дороги «Белев - Чернь» - Мценск км 21+700 - км 25+150 в Белевском районе</t>
  </si>
  <si>
    <t>Ремонт автомобильной дороги Автоподъезд к населенному пункту Зайцево от автодороги Калуга - Белев - Орел км 0+000 - км 9+126 в Белевском районе</t>
  </si>
  <si>
    <t>Ремонт участка автомобильной дороги «Дон» - Иевлево - Черняевка - Мшищи - Ломовка км 15+750 - км 27+415 в Богородицком районе</t>
  </si>
  <si>
    <t>Ремонт участка автомобильной дороги Иевлево - Горки   км 0+000 - км 2+000 в Богородицком районе</t>
  </si>
  <si>
    <t>Ремонт автомобильной дороги Богородицк - Епифань - поселок Дачный км 0+000 - км 2+047 в Богородицком районе</t>
  </si>
  <si>
    <t>Ремонт автомобильной дороги «Венев - Серебряные Пруды» - Большие Заломы  км 0+000 - км 2+800 в Веневском районе</t>
  </si>
  <si>
    <t>Ремонт участка автомобильной дороги Венев – Матвеевка в районе железнодорожного переезда на км 5+550 (перегон Ожерелье – Елец 170 км ПК 5) в Веневском районе Тульской области</t>
  </si>
  <si>
    <t>Ремонт участка автомобильной дороги Турдей - Кресты  км 4+070 - км 5+070 в Воловском районе</t>
  </si>
  <si>
    <t>Ремонт автомобильной дороги «Дон» -  подъезд к населенному пункту Борятино км 0+100 - км 0+930 в Воловском районе</t>
  </si>
  <si>
    <t>Ремонт участка автомобильной дороги «Орел - Ефремов» - Кочкино км 6+310 - км 15+380 в Ефремовском районе</t>
  </si>
  <si>
    <t>Ремонт участка автомобильной дороги «Дон» - Куркино - Тормасово км 2+500 - км 8+655 в Ефремовском районе</t>
  </si>
  <si>
    <t>Ремонт автомобильной дороги «Лапотково - Ефремов» - Поддолгое км 0+000 - км 5+082 в Ефремовском районе</t>
  </si>
  <si>
    <t>Ремонт автомобильной дороги «Чернь - Медведки» - поселок Дачный км 0+000 - км 0+710 в Каменском районе</t>
  </si>
  <si>
    <t>Ремонт автомобильной дороги «Архангельское - Галица» - Долгие Лески км 0+007 - км 2+411 в Каменском районе</t>
  </si>
  <si>
    <t>Ремонт автомобильной дороги «Кашира - Серебряные пруды - Кимовск - Узловая» - автоподъезд к населенному пункту Зубовка км 0+000 - км 1+767 в Кимовском районе</t>
  </si>
  <si>
    <t>Ремонт участка автомобильной дороги Епифань - Барановка - Саломатовка км 0+650 - км 5+950 в Кимовском районе</t>
  </si>
  <si>
    <t>Ремонт автомобильной дороги «Дон» - Куркино км 13+800 - км 36+475 в Куркинском районе</t>
  </si>
  <si>
    <t>Ремонт автомобильной дороги Автоподъезд к населенному пункту Самохваловка км 0+019 - км 5+085 в Куркинском районе</t>
  </si>
  <si>
    <t>Ремонт участков автомобильной дороги «Тула - Алексин» - Обидимо - «Калуга - Тула - Михайлов - Рязань» км  13+250 - км 14+750, км 14+895 - км 16+455 в Ленинском районе</t>
  </si>
  <si>
    <t>Ремонт автомобильной дороги Подъезд к населенному пункту Тетяковка км 0+000 - км 3+407 в Новомосковском районе</t>
  </si>
  <si>
    <t>Ремонт участка автомобильной дороги Плавск - Мещерино - п. Диктатура км 14+230 - км 23+750 в Плавском районе</t>
  </si>
  <si>
    <t>Ремонт участка автомобильной дороги Щекино - Одоев - Арсеньево км 65+967 - км 71+000 в Одоевском районе</t>
  </si>
  <si>
    <t>Ремонт участка автомобильной дороги Одоев - Петровское - Горбачево км 6+700 - км 13+030 в Одоевском районе</t>
  </si>
  <si>
    <t>Ремонт автомобильной дороги «Тула - Белев» - подъезд к населенному пункту Татьево км 0+000 - км 3+200 в Одоевском районе</t>
  </si>
  <si>
    <t>Ремонт автомобильной дороги «Чекалин - Суворов - Ханино» - автоподъезд к населенному пункту Гущино       км 0+000 - км 4+300 в Суворовском районе</t>
  </si>
  <si>
    <t>Ремонт участка автомобильной дороги «Тула - Новомосковск» - Малая Россошка км 0+150 - км 2+885 в Узловском районе</t>
  </si>
  <si>
    <t>Ремонт участков автомобильной дороги Автоподъезд к населенному пункту Лужны от автодороги «Чернь - Медведки» - Ержино км 0+000 - км 0+180, км 2+800 -       км 5+600 в Чернском районе</t>
  </si>
  <si>
    <t>Ремонт участка автомобильной дороги «Спицино - Иваньково - Есуково» - автоподъезд к населенному пункту Григорьевское км 0+000 - км 3+400 в Ясногорском районе</t>
  </si>
  <si>
    <t>Ремонт участка автомобильной дороги «Богородицк - Товарковский - Куркино» - Бахметьево - Гагарино - Каменка км 0+000 -  км 9+300 в Богородицком районе</t>
  </si>
  <si>
    <t>Ремонт моста через р. Упа на автомобильной дороге «Тула - Алексин» - Обидимо - «Калуга - Тула - Михайлов - Рязань»               км 13+200 в Ленинском районе МО г. Тула</t>
  </si>
  <si>
    <t>Ремонт моста через р. Тресна на км 23+838 автомобильной дороги Чекалин - Суворов - Ханино в Суворовском районе Тульской области</t>
  </si>
  <si>
    <t>Ремонт моста через р. Черепеть на км 24+550 автомобильной дороги Чекалин - Суворов - Ханино в Суворовском районе Тульской области</t>
  </si>
  <si>
    <t>Ремонт моста через р. Черепеть на км 0+230 автомобильной дороги Черепеть - Доброе - Северо-Агеевский в Суворовском районе Тульской области</t>
  </si>
  <si>
    <t>Ремонт моста через р. Шиворона на км 2+195 автомобильной дороги «Быковка - Богородицк» - Дедилово - Хрущевка в Киреевском районе Тульской области</t>
  </si>
  <si>
    <t>номер последнего акта</t>
  </si>
  <si>
    <t>Ремонт участка автомобильной дороги Кимовск - Епифань - Куликово поле - Кресты км 4+380 - км 5+170, км 26+794 - км 29+350 в Кимовском районе</t>
  </si>
  <si>
    <t>Восстановление остановочного пункта на км 37+330,5 (слева) автомобильной дороги III технической категории Тула - Белев в н.п. Воскресенское в Дубенском районе Тульской области</t>
  </si>
  <si>
    <t>Ремонт участков автомобильной дороги Новомосковское кольцо км 8+000 - км 8+829, км 9+344 - км 11+287, км 11+869 - км 15+600 в МО г. Донской</t>
  </si>
  <si>
    <t>Ремонт участков автомобильной дороги Лапотково - Пирогово км 0+000 - км 5+163, км 5+231 - км 20+420 в Щекинском районе</t>
  </si>
  <si>
    <t>Ремонт участка автомобильной дороги «Алексин - Першино» - подъезд к населенному пункту Сенево км 6+989 - км 9+745 в Алексинском районе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</si>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</sst>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000"/>
    <numFmt numFmtId="165" formatCode="0.00000"/>
    <numFmt numFmtId="166" formatCode="_-* #,##0.00000_р_._-;\-* #,##0.00000_р_._-;_-* \-?????_р_._-;_-@_-"/>
    <numFmt numFmtId="167" formatCode="0.000"/>
    <numFmt numFmtId="168" formatCode="[$-419]General"/>
    <numFmt numFmtId="169" formatCode="#,##0.00&quot; &quot;[$руб.-419];[Red]&quot;-&quot;#,##0.00&quot; &quot;[$руб.-419]"/>
    <numFmt numFmtId="170" formatCode="#,##0.0"/>
  </numFmts>
  <fonts count="18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3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b/>
      <sz val="18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3"/>
      <name val="Times New Roman"/>
      <family val="1"/>
      <charset val="204"/>
    </font>
    <font>
      <sz val="12"/>
      <color rgb="FF000000"/>
      <name val="Arial"/>
      <family val="2"/>
      <charset val="204"/>
    </font>
    <font>
      <sz val="10"/>
      <color rgb="FF000000"/>
      <name val="Arial Cyr"/>
      <charset val="204"/>
    </font>
    <font>
      <sz val="12"/>
      <color rgb="FF000000"/>
      <name val="Calibri"/>
      <family val="2"/>
      <charset val="204"/>
    </font>
    <font>
      <b/>
      <i/>
      <sz val="16"/>
      <color rgb="FF000000"/>
      <name val="Arial"/>
      <family val="2"/>
      <charset val="204"/>
    </font>
    <font>
      <b/>
      <i/>
      <u/>
      <sz val="12"/>
      <color rgb="FF000000"/>
      <name val="Arial"/>
      <family val="2"/>
      <charset val="204"/>
    </font>
    <font>
      <sz val="12"/>
      <color rgb="FF000000"/>
      <name val="PT Astra Serif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00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1" fillId="0" borderId="0"/>
    <xf numFmtId="0" fontId="12" fillId="0" borderId="0"/>
    <xf numFmtId="0" fontId="13" fillId="0" borderId="0" applyNumberFormat="0" applyBorder="0" applyProtection="0"/>
    <xf numFmtId="168" fontId="14" fillId="0" borderId="0" applyBorder="0" applyProtection="0"/>
    <xf numFmtId="0" fontId="15" fillId="0" borderId="0" applyNumberFormat="0" applyBorder="0" applyProtection="0">
      <alignment horizontal="center"/>
    </xf>
    <xf numFmtId="0" fontId="15" fillId="0" borderId="0" applyNumberFormat="0" applyBorder="0" applyProtection="0">
      <alignment horizontal="center" textRotation="90"/>
    </xf>
    <xf numFmtId="0" fontId="16" fillId="0" borderId="0" applyNumberFormat="0" applyBorder="0" applyProtection="0"/>
    <xf numFmtId="169" fontId="16" fillId="0" borderId="0" applyBorder="0" applyProtection="0"/>
    <xf numFmtId="0" fontId="12" fillId="0" borderId="0"/>
    <xf numFmtId="0" fontId="12" fillId="0" borderId="0"/>
  </cellStyleXfs>
  <cellXfs count="80">
    <xf numFmtId="0" fontId="0" fillId="0" borderId="0" xfId="0"/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65" fontId="3" fillId="0" borderId="0" xfId="0" applyNumberFormat="1" applyFont="1" applyBorder="1" applyAlignment="1">
      <alignment horizontal="center" wrapText="1"/>
    </xf>
    <xf numFmtId="2" fontId="3" fillId="0" borderId="0" xfId="0" applyNumberFormat="1" applyFont="1" applyBorder="1" applyAlignment="1">
      <alignment horizontal="center" wrapText="1"/>
    </xf>
    <xf numFmtId="165" fontId="4" fillId="0" borderId="0" xfId="0" applyNumberFormat="1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 wrapText="1"/>
    </xf>
    <xf numFmtId="2" fontId="0" fillId="0" borderId="0" xfId="0" applyNumberFormat="1"/>
    <xf numFmtId="0" fontId="2" fillId="0" borderId="1" xfId="0" applyFont="1" applyFill="1" applyBorder="1"/>
    <xf numFmtId="0" fontId="0" fillId="0" borderId="0" xfId="0" applyFill="1"/>
    <xf numFmtId="0" fontId="5" fillId="0" borderId="1" xfId="0" applyFont="1" applyFill="1" applyBorder="1" applyAlignment="1">
      <alignment horizontal="justify" vertical="center"/>
    </xf>
    <xf numFmtId="0" fontId="2" fillId="0" borderId="0" xfId="0" applyFont="1" applyFill="1"/>
    <xf numFmtId="0" fontId="2" fillId="0" borderId="1" xfId="0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7" fontId="5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/>
    <xf numFmtId="0" fontId="0" fillId="0" borderId="0" xfId="0" applyAlignment="1"/>
    <xf numFmtId="0" fontId="3" fillId="0" borderId="1" xfId="0" applyFont="1" applyFill="1" applyBorder="1" applyAlignment="1">
      <alignment horizontal="center" wrapText="1"/>
    </xf>
    <xf numFmtId="165" fontId="3" fillId="0" borderId="1" xfId="0" applyNumberFormat="1" applyFont="1" applyFill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/>
    <xf numFmtId="165" fontId="3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 applyAlignment="1"/>
    <xf numFmtId="164" fontId="3" fillId="0" borderId="2" xfId="0" applyNumberFormat="1" applyFont="1" applyFill="1" applyBorder="1" applyAlignment="1">
      <alignment horizontal="center" wrapText="1"/>
    </xf>
    <xf numFmtId="1" fontId="3" fillId="0" borderId="2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 wrapText="1"/>
    </xf>
    <xf numFmtId="165" fontId="2" fillId="0" borderId="1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6" fillId="0" borderId="0" xfId="0" applyFont="1" applyFill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applyFont="1" applyBorder="1" applyAlignment="1"/>
    <xf numFmtId="0" fontId="8" fillId="0" borderId="0" xfId="0" applyFont="1"/>
    <xf numFmtId="0" fontId="9" fillId="0" borderId="0" xfId="0" applyFont="1" applyFill="1" applyBorder="1"/>
    <xf numFmtId="0" fontId="10" fillId="0" borderId="0" xfId="0" applyFont="1"/>
    <xf numFmtId="164" fontId="10" fillId="0" borderId="0" xfId="0" applyNumberFormat="1" applyFont="1" applyAlignment="1"/>
    <xf numFmtId="167" fontId="2" fillId="0" borderId="1" xfId="0" applyNumberFormat="1" applyFont="1" applyFill="1" applyBorder="1" applyAlignment="1">
      <alignment wrapText="1"/>
    </xf>
    <xf numFmtId="164" fontId="2" fillId="0" borderId="1" xfId="0" applyNumberFormat="1" applyFont="1" applyFill="1" applyBorder="1" applyAlignment="1"/>
    <xf numFmtId="0" fontId="3" fillId="0" borderId="1" xfId="0" applyFont="1" applyFill="1" applyBorder="1"/>
    <xf numFmtId="166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165" fontId="3" fillId="4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justify" vertical="center"/>
    </xf>
    <xf numFmtId="0" fontId="5" fillId="0" borderId="1" xfId="0" applyFont="1" applyFill="1" applyBorder="1" applyAlignment="1">
      <alignment horizontal="justify" vertical="center" wrapText="1"/>
    </xf>
    <xf numFmtId="0" fontId="5" fillId="5" borderId="1" xfId="0" applyFont="1" applyFill="1" applyBorder="1" applyAlignment="1">
      <alignment horizontal="justify" vertical="center" wrapText="1"/>
    </xf>
    <xf numFmtId="0" fontId="0" fillId="5" borderId="0" xfId="0" applyFill="1"/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65" fontId="0" fillId="0" borderId="0" xfId="0" applyNumberFormat="1"/>
    <xf numFmtId="164" fontId="0" fillId="0" borderId="0" xfId="0" applyNumberFormat="1"/>
    <xf numFmtId="170" fontId="17" fillId="0" borderId="1" xfId="2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166" fontId="2" fillId="6" borderId="1" xfId="0" applyNumberFormat="1" applyFont="1" applyFill="1" applyBorder="1" applyAlignment="1">
      <alignment horizontal="center" vertical="center" wrapText="1"/>
    </xf>
    <xf numFmtId="167" fontId="5" fillId="0" borderId="1" xfId="0" applyNumberFormat="1" applyFont="1" applyFill="1" applyBorder="1" applyAlignment="1">
      <alignment horizontal="center" vertical="center" wrapText="1"/>
    </xf>
  </cellXfs>
  <cellStyles count="11">
    <cellStyle name="Excel Built-in Explanatory Text" xfId="3"/>
    <cellStyle name="Excel Built-in Normal" xfId="4"/>
    <cellStyle name="Heading" xfId="5"/>
    <cellStyle name="Heading1" xfId="6"/>
    <cellStyle name="Result" xfId="7"/>
    <cellStyle name="Result2" xfId="8"/>
    <cellStyle name="Обычный" xfId="0" builtinId="0"/>
    <cellStyle name="Обычный 2" xfId="2"/>
    <cellStyle name="Обычный 3" xfId="9"/>
    <cellStyle name="Обычный 4" xfId="10"/>
    <cellStyle name="Обычный 5" xfId="1"/>
  </cellStyles>
  <dxfs count="4"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00CC99"/>
      <color rgb="FF00FFCC"/>
      <color rgb="FFFF9999"/>
      <color rgb="FF009999"/>
      <color rgb="FF339933"/>
      <color rgb="FF00FF00"/>
      <color rgb="FF99FFCC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4:W2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M8" sqref="M8"/>
    </sheetView>
  </sheetViews>
  <sheetFormatPr defaultRowHeight="15" x14ac:dyDescent="0.25"/>
  <cols>
    <col min="1" max="1" width="3.85546875" customWidth="1"/>
    <col min="2" max="2" width="64.28515625" style="11"/>
    <col min="3" max="3" width="14.5703125" style="11" customWidth="1"/>
    <col min="4" max="4" width="25.42578125" customWidth="1"/>
    <col min="5" max="5" width="16.85546875" style="19" customWidth="1"/>
    <col min="6" max="6" width="18" customWidth="1"/>
    <col min="7" max="7" width="10.7109375" customWidth="1"/>
    <col min="8" max="8" width="14" customWidth="1"/>
    <col min="9" max="9" width="13.140625" bestFit="1" customWidth="1"/>
    <col min="10" max="10" width="14.85546875" bestFit="1" customWidth="1"/>
    <col min="11" max="11" width="13.140625" bestFit="1" customWidth="1"/>
    <col min="12" max="12" width="17.5703125" customWidth="1"/>
    <col min="13" max="13" width="14.85546875" bestFit="1" customWidth="1"/>
    <col min="14" max="14" width="15.140625" customWidth="1"/>
    <col min="15" max="15" width="16.140625" bestFit="1" customWidth="1"/>
    <col min="16" max="16" width="16.28515625" customWidth="1"/>
    <col min="17" max="17" width="16.5703125" customWidth="1"/>
    <col min="18" max="18" width="15.5703125" customWidth="1"/>
    <col min="19" max="19" width="16.85546875" customWidth="1"/>
    <col min="20" max="20" width="17" bestFit="1" customWidth="1"/>
    <col min="21" max="23" width="16" bestFit="1" customWidth="1"/>
    <col min="24" max="1023" width="8.7109375"/>
  </cols>
  <sheetData>
    <row r="4" spans="1:23" ht="23.25" x14ac:dyDescent="0.35">
      <c r="B4" s="44" t="s">
        <v>28</v>
      </c>
      <c r="C4" s="44"/>
      <c r="D4" s="45"/>
      <c r="E4" s="46"/>
      <c r="F4" s="47"/>
    </row>
    <row r="6" spans="1:23" ht="69.75" customHeight="1" x14ac:dyDescent="0.25">
      <c r="C6" s="14" t="s">
        <v>26</v>
      </c>
      <c r="D6" s="14" t="s">
        <v>0</v>
      </c>
      <c r="E6" s="14" t="s">
        <v>21</v>
      </c>
      <c r="F6" s="20" t="s">
        <v>1</v>
      </c>
      <c r="G6" s="20" t="s">
        <v>2</v>
      </c>
      <c r="H6" s="42" t="s">
        <v>3</v>
      </c>
      <c r="I6" s="2" t="s">
        <v>4</v>
      </c>
      <c r="J6" s="2" t="s">
        <v>5</v>
      </c>
      <c r="K6" s="2" t="s">
        <v>6</v>
      </c>
      <c r="L6" s="42" t="s">
        <v>7</v>
      </c>
      <c r="M6" s="2" t="s">
        <v>8</v>
      </c>
      <c r="N6" s="2" t="s">
        <v>9</v>
      </c>
      <c r="O6" s="2" t="s">
        <v>10</v>
      </c>
      <c r="P6" s="42" t="s">
        <v>11</v>
      </c>
      <c r="Q6" s="2" t="s">
        <v>12</v>
      </c>
      <c r="R6" s="2" t="s">
        <v>13</v>
      </c>
      <c r="S6" s="2" t="s">
        <v>14</v>
      </c>
      <c r="T6" s="42" t="s">
        <v>15</v>
      </c>
      <c r="U6" s="2" t="s">
        <v>16</v>
      </c>
      <c r="V6" s="2" t="s">
        <v>17</v>
      </c>
      <c r="W6" s="2" t="s">
        <v>18</v>
      </c>
    </row>
    <row r="7" spans="1:23" ht="74.25" customHeight="1" x14ac:dyDescent="0.25">
      <c r="A7" s="3">
        <v>1</v>
      </c>
      <c r="B7" s="12" t="s">
        <v>29</v>
      </c>
      <c r="C7" s="17"/>
      <c r="D7" s="37" t="s">
        <v>20</v>
      </c>
      <c r="E7" s="38"/>
      <c r="F7" s="35">
        <f>H7+L7+P7+T7</f>
        <v>5783.978000000001</v>
      </c>
      <c r="G7" s="36" t="e">
        <f t="shared" ref="G7:G8" si="0">F7/E7*100</f>
        <v>#DIV/0!</v>
      </c>
      <c r="H7" s="39">
        <f t="shared" ref="H7:H8" si="1">SUM(I7:K7)</f>
        <v>0</v>
      </c>
      <c r="I7" s="40">
        <v>0</v>
      </c>
      <c r="J7" s="40">
        <v>0</v>
      </c>
      <c r="K7" s="40">
        <v>0</v>
      </c>
      <c r="L7" s="39">
        <f t="shared" ref="L7:L8" si="2">SUM(M7:O7)</f>
        <v>5783.978000000001</v>
      </c>
      <c r="M7" s="41">
        <f>1445.266+3333.962+72.68+515.041+417.029</f>
        <v>5783.978000000001</v>
      </c>
      <c r="N7" s="40"/>
      <c r="O7" s="40"/>
      <c r="P7" s="39">
        <f t="shared" ref="P7:P8" si="3">SUM(Q7:S7)</f>
        <v>0</v>
      </c>
      <c r="Q7" s="40"/>
      <c r="R7" s="40"/>
      <c r="S7" s="40"/>
      <c r="T7" s="39">
        <f t="shared" ref="T7:T8" si="4">SUM(U7:W7)</f>
        <v>0</v>
      </c>
      <c r="U7" s="40"/>
      <c r="V7" s="41"/>
      <c r="W7" s="40"/>
    </row>
    <row r="8" spans="1:23" ht="74.25" customHeight="1" x14ac:dyDescent="0.25">
      <c r="A8" s="1">
        <v>2</v>
      </c>
      <c r="B8" s="12" t="s">
        <v>30</v>
      </c>
      <c r="C8" s="17"/>
      <c r="D8" s="37" t="s">
        <v>20</v>
      </c>
      <c r="E8" s="38"/>
      <c r="F8" s="35">
        <f>H8+L8+P8+T8</f>
        <v>2341.2148299999999</v>
      </c>
      <c r="G8" s="36" t="e">
        <f t="shared" si="0"/>
        <v>#DIV/0!</v>
      </c>
      <c r="H8" s="39">
        <f t="shared" si="1"/>
        <v>0</v>
      </c>
      <c r="I8" s="54">
        <v>0</v>
      </c>
      <c r="J8" s="54">
        <v>0</v>
      </c>
      <c r="K8" s="54">
        <v>0</v>
      </c>
      <c r="L8" s="39">
        <f t="shared" si="2"/>
        <v>2341.2148299999999</v>
      </c>
      <c r="M8" s="55">
        <f>2341.21483</f>
        <v>2341.2148299999999</v>
      </c>
      <c r="N8" s="54"/>
      <c r="O8" s="54"/>
      <c r="P8" s="39">
        <f t="shared" si="3"/>
        <v>0</v>
      </c>
      <c r="Q8" s="54"/>
      <c r="R8" s="54"/>
      <c r="S8" s="54"/>
      <c r="T8" s="39">
        <f t="shared" si="4"/>
        <v>0</v>
      </c>
      <c r="U8" s="54"/>
      <c r="V8" s="55"/>
      <c r="W8" s="54"/>
    </row>
    <row r="9" spans="1:23" ht="15.75" x14ac:dyDescent="0.25">
      <c r="A9" s="4"/>
      <c r="B9" s="53" t="s">
        <v>19</v>
      </c>
      <c r="C9" s="51"/>
      <c r="D9" s="10"/>
      <c r="E9" s="52"/>
      <c r="F9" s="26">
        <f>SUM(F7:F8)</f>
        <v>8125.1928300000009</v>
      </c>
      <c r="G9" s="27"/>
      <c r="H9" s="28">
        <f>SUM(H7:H8)</f>
        <v>0</v>
      </c>
      <c r="I9" s="29">
        <f>SUM(I7:I8)</f>
        <v>0</v>
      </c>
      <c r="J9" s="29">
        <f t="shared" ref="J9:K9" si="5">SUM(J7:J8)</f>
        <v>0</v>
      </c>
      <c r="K9" s="29">
        <f t="shared" si="5"/>
        <v>0</v>
      </c>
      <c r="L9" s="28">
        <f>SUM(L7:L8)</f>
        <v>8125.1928300000009</v>
      </c>
      <c r="M9" s="29">
        <f>SUM(M7:M8)</f>
        <v>8125.1928300000009</v>
      </c>
      <c r="N9" s="29">
        <f t="shared" ref="N9:O9" si="6">SUM(N7:N8)</f>
        <v>0</v>
      </c>
      <c r="O9" s="29">
        <f t="shared" si="6"/>
        <v>0</v>
      </c>
      <c r="P9" s="28">
        <f t="shared" ref="P9:V9" si="7">SUM(P7:P7)</f>
        <v>0</v>
      </c>
      <c r="Q9" s="29">
        <f t="shared" si="7"/>
        <v>0</v>
      </c>
      <c r="R9" s="29">
        <f t="shared" si="7"/>
        <v>0</v>
      </c>
      <c r="S9" s="29">
        <f t="shared" si="7"/>
        <v>0</v>
      </c>
      <c r="T9" s="28">
        <f t="shared" si="7"/>
        <v>0</v>
      </c>
      <c r="U9" s="29">
        <f t="shared" si="7"/>
        <v>0</v>
      </c>
      <c r="V9" s="29">
        <f t="shared" si="7"/>
        <v>0</v>
      </c>
      <c r="W9" s="29" t="e">
        <f>SUM(W7:W7)+#REF!</f>
        <v>#REF!</v>
      </c>
    </row>
    <row r="10" spans="1:23" ht="15.75" x14ac:dyDescent="0.25">
      <c r="A10" s="4"/>
      <c r="B10" s="13"/>
      <c r="C10" s="13"/>
      <c r="D10" s="4"/>
      <c r="E10" s="18"/>
      <c r="F10" s="5"/>
      <c r="G10" s="6"/>
      <c r="H10" s="7"/>
      <c r="I10" s="8"/>
      <c r="J10" s="8"/>
      <c r="K10" s="8"/>
      <c r="L10" s="7"/>
      <c r="M10" s="8"/>
      <c r="N10" s="8"/>
      <c r="O10" s="8"/>
      <c r="P10" s="7"/>
      <c r="Q10" s="8"/>
      <c r="R10" s="8"/>
      <c r="S10" s="8"/>
      <c r="T10" s="7"/>
      <c r="U10" s="8"/>
      <c r="V10" s="8"/>
      <c r="W10" s="8"/>
    </row>
    <row r="11" spans="1:23" ht="31.5" x14ac:dyDescent="0.25">
      <c r="A11" s="4"/>
      <c r="B11" s="13"/>
      <c r="C11" s="13"/>
      <c r="D11" s="16" t="s">
        <v>22</v>
      </c>
      <c r="E11" s="34"/>
      <c r="F11" s="35"/>
      <c r="G11" s="36"/>
      <c r="H11" s="32"/>
      <c r="I11" s="33"/>
      <c r="J11" s="33"/>
      <c r="K11" s="33"/>
      <c r="L11" s="32"/>
      <c r="M11" s="33"/>
      <c r="N11" s="33"/>
      <c r="O11" s="33"/>
      <c r="P11" s="32"/>
      <c r="Q11" s="33"/>
      <c r="R11" s="33"/>
      <c r="S11" s="33"/>
      <c r="T11" s="32"/>
      <c r="U11" s="33"/>
      <c r="V11" s="33"/>
      <c r="W11" s="33"/>
    </row>
    <row r="12" spans="1:23" ht="47.25" x14ac:dyDescent="0.25">
      <c r="A12" s="4"/>
      <c r="B12" s="13"/>
      <c r="C12" s="13"/>
      <c r="D12" s="16" t="s">
        <v>23</v>
      </c>
      <c r="E12" s="34"/>
      <c r="F12" s="35"/>
      <c r="G12" s="36"/>
      <c r="H12" s="32"/>
      <c r="I12" s="33"/>
      <c r="J12" s="33"/>
      <c r="K12" s="33"/>
      <c r="L12" s="32"/>
      <c r="M12" s="33"/>
      <c r="N12" s="33"/>
      <c r="O12" s="33"/>
      <c r="P12" s="32"/>
      <c r="Q12" s="33"/>
      <c r="R12" s="33"/>
      <c r="S12" s="33"/>
      <c r="T12" s="32"/>
      <c r="U12" s="33"/>
      <c r="V12" s="33"/>
      <c r="W12" s="33"/>
    </row>
    <row r="13" spans="1:23" ht="15.75" x14ac:dyDescent="0.25">
      <c r="A13" s="4"/>
      <c r="B13" s="13"/>
      <c r="C13" s="13"/>
      <c r="D13" s="4"/>
      <c r="E13" s="23"/>
      <c r="F13" s="24"/>
      <c r="G13" s="6"/>
      <c r="H13" s="7"/>
      <c r="I13" s="8"/>
      <c r="J13" s="8"/>
      <c r="K13" s="8"/>
      <c r="L13" s="7"/>
      <c r="M13" s="8"/>
      <c r="N13" s="8"/>
      <c r="O13" s="8"/>
      <c r="P13" s="7"/>
      <c r="Q13" s="8"/>
      <c r="R13" s="8"/>
      <c r="S13" s="8"/>
      <c r="T13" s="7"/>
      <c r="U13" s="8"/>
      <c r="V13" s="8"/>
      <c r="W13" s="8"/>
    </row>
    <row r="14" spans="1:23" ht="17.25" customHeight="1" x14ac:dyDescent="0.25">
      <c r="E14" s="25"/>
      <c r="F14" s="11"/>
      <c r="G14" s="9"/>
    </row>
    <row r="15" spans="1:23" ht="15.75" x14ac:dyDescent="0.25">
      <c r="A15" s="4"/>
      <c r="B15" s="13"/>
      <c r="C15" s="13"/>
      <c r="D15" s="16" t="s">
        <v>24</v>
      </c>
      <c r="E15" s="30"/>
      <c r="F15" s="21"/>
      <c r="G15" s="22"/>
      <c r="H15" s="15"/>
      <c r="I15" s="31"/>
      <c r="J15" s="31"/>
      <c r="K15" s="31"/>
      <c r="L15" s="15"/>
      <c r="M15" s="31"/>
      <c r="N15" s="31"/>
      <c r="O15" s="31"/>
      <c r="P15" s="15"/>
      <c r="Q15" s="31"/>
      <c r="R15" s="31"/>
      <c r="S15" s="31"/>
      <c r="T15" s="15"/>
      <c r="U15" s="31"/>
      <c r="V15" s="31"/>
      <c r="W15" s="31"/>
    </row>
    <row r="16" spans="1:23" ht="15.75" x14ac:dyDescent="0.25">
      <c r="A16" s="4"/>
      <c r="B16" s="13"/>
      <c r="C16" s="13"/>
      <c r="D16" s="16" t="s">
        <v>25</v>
      </c>
      <c r="E16" s="30"/>
      <c r="F16" s="21"/>
      <c r="G16" s="22"/>
      <c r="H16" s="15"/>
      <c r="I16" s="31"/>
      <c r="J16" s="31"/>
      <c r="K16" s="31"/>
      <c r="L16" s="15"/>
      <c r="M16" s="31"/>
      <c r="N16" s="31"/>
      <c r="O16" s="31"/>
      <c r="P16" s="15"/>
      <c r="Q16" s="31"/>
      <c r="R16" s="31"/>
      <c r="S16" s="31"/>
      <c r="T16" s="15"/>
      <c r="U16" s="31"/>
      <c r="V16" s="31"/>
      <c r="W16" s="31"/>
    </row>
    <row r="20" spans="2:18" ht="18.75" x14ac:dyDescent="0.3">
      <c r="B20" s="48" t="s">
        <v>27</v>
      </c>
      <c r="C20" s="48"/>
      <c r="D20" s="49"/>
      <c r="E20" s="50"/>
      <c r="G20" s="9"/>
      <c r="H20" s="1"/>
      <c r="I20" s="1"/>
      <c r="R20" s="11"/>
    </row>
    <row r="23" spans="2:18" ht="15.75" x14ac:dyDescent="0.25">
      <c r="B23" s="13"/>
    </row>
    <row r="24" spans="2:18" x14ac:dyDescent="0.25">
      <c r="B24" s="43"/>
    </row>
  </sheetData>
  <pageMargins left="0.23622047244094491" right="0.19685039370078741" top="0.15748031496062992" bottom="0.19685039370078741" header="0.51181102362204722" footer="0.27559055118110237"/>
  <pageSetup paperSize="9" scale="36" firstPageNumber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9"/>
  <sheetViews>
    <sheetView tabSelected="1" zoomScale="90" zoomScaleNormal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56" sqref="B56"/>
    </sheetView>
  </sheetViews>
  <sheetFormatPr defaultRowHeight="15" x14ac:dyDescent="0.25"/>
  <cols>
    <col min="1" max="1" width="3.85546875" customWidth="1"/>
    <col min="2" max="2" width="53" style="11" customWidth="1"/>
    <col min="3" max="3" width="14.7109375" hidden="1" customWidth="1"/>
    <col min="4" max="4" width="25.42578125" customWidth="1"/>
    <col min="5" max="5" width="16.85546875" customWidth="1"/>
    <col min="6" max="6" width="20.140625" customWidth="1"/>
    <col min="7" max="7" width="10.7109375" customWidth="1"/>
    <col min="8" max="8" width="14" customWidth="1"/>
    <col min="9" max="9" width="21.42578125" hidden="1" customWidth="1"/>
    <col min="10" max="10" width="14.85546875" hidden="1" customWidth="1"/>
    <col min="11" max="11" width="15" hidden="1" customWidth="1"/>
    <col min="12" max="12" width="17.5703125" customWidth="1"/>
    <col min="13" max="13" width="15" hidden="1" customWidth="1"/>
    <col min="14" max="15" width="17.28515625" hidden="1" customWidth="1"/>
    <col min="16" max="16" width="16.28515625" customWidth="1"/>
    <col min="17" max="18" width="17.28515625" hidden="1" customWidth="1"/>
    <col min="19" max="19" width="16.85546875" hidden="1" customWidth="1"/>
    <col min="20" max="20" width="17" bestFit="1" customWidth="1"/>
    <col min="21" max="22" width="17.28515625" customWidth="1"/>
    <col min="23" max="23" width="16" customWidth="1"/>
    <col min="25" max="25" width="12.42578125" customWidth="1"/>
  </cols>
  <sheetData>
    <row r="1" spans="1:25" x14ac:dyDescent="0.25">
      <c r="C1" s="11"/>
      <c r="E1" s="19"/>
    </row>
    <row r="2" spans="1:25" x14ac:dyDescent="0.25">
      <c r="B2" s="68" t="s">
        <v>35</v>
      </c>
      <c r="C2" s="11"/>
      <c r="E2" s="19"/>
    </row>
    <row r="3" spans="1:25" x14ac:dyDescent="0.25">
      <c r="C3" s="11"/>
      <c r="E3" s="19"/>
    </row>
    <row r="4" spans="1:25" ht="23.25" x14ac:dyDescent="0.35">
      <c r="B4" s="44" t="s">
        <v>41</v>
      </c>
      <c r="C4" s="44"/>
      <c r="D4" s="45"/>
      <c r="E4" s="46"/>
      <c r="F4" s="47"/>
    </row>
    <row r="5" spans="1:25" x14ac:dyDescent="0.25">
      <c r="C5" s="11"/>
      <c r="E5" s="19"/>
    </row>
    <row r="6" spans="1:25" ht="69.75" customHeight="1" x14ac:dyDescent="0.25">
      <c r="B6" s="37" t="s">
        <v>40</v>
      </c>
      <c r="C6" s="37" t="s">
        <v>26</v>
      </c>
      <c r="D6" s="37" t="s">
        <v>0</v>
      </c>
      <c r="E6" s="37" t="s">
        <v>21</v>
      </c>
      <c r="F6" s="56" t="s">
        <v>1</v>
      </c>
      <c r="G6" s="56" t="s">
        <v>2</v>
      </c>
      <c r="H6" s="57" t="s">
        <v>3</v>
      </c>
      <c r="I6" s="58" t="s">
        <v>4</v>
      </c>
      <c r="J6" s="58" t="s">
        <v>5</v>
      </c>
      <c r="K6" s="58" t="s">
        <v>6</v>
      </c>
      <c r="L6" s="57" t="s">
        <v>7</v>
      </c>
      <c r="M6" s="58" t="s">
        <v>8</v>
      </c>
      <c r="N6" s="58" t="s">
        <v>9</v>
      </c>
      <c r="O6" s="58" t="s">
        <v>10</v>
      </c>
      <c r="P6" s="57" t="s">
        <v>11</v>
      </c>
      <c r="Q6" s="58" t="s">
        <v>12</v>
      </c>
      <c r="R6" s="58" t="s">
        <v>13</v>
      </c>
      <c r="S6" s="58" t="s">
        <v>14</v>
      </c>
      <c r="T6" s="57" t="s">
        <v>15</v>
      </c>
      <c r="U6" s="58" t="s">
        <v>16</v>
      </c>
      <c r="V6" s="58" t="s">
        <v>17</v>
      </c>
      <c r="W6" s="58" t="s">
        <v>18</v>
      </c>
      <c r="Y6" s="70" t="s">
        <v>88</v>
      </c>
    </row>
    <row r="7" spans="1:25" ht="66" x14ac:dyDescent="0.25">
      <c r="A7" s="77">
        <v>1</v>
      </c>
      <c r="B7" s="67" t="s">
        <v>93</v>
      </c>
      <c r="C7" s="17"/>
      <c r="D7" s="37" t="s">
        <v>20</v>
      </c>
      <c r="E7" s="17">
        <v>37998</v>
      </c>
      <c r="F7" s="35">
        <f t="shared" ref="F7:F38" si="0">H7+L7+P7+T7</f>
        <v>37998.003389999998</v>
      </c>
      <c r="G7" s="36">
        <f t="shared" ref="G7:G58" si="1">F7/E7*100</f>
        <v>100.00000892152218</v>
      </c>
      <c r="H7" s="39">
        <f t="shared" ref="H7" si="2">SUM(I7:K7)</f>
        <v>0</v>
      </c>
      <c r="I7" s="40"/>
      <c r="J7" s="40"/>
      <c r="K7" s="40"/>
      <c r="L7" s="39">
        <f t="shared" ref="L7" si="3">SUM(M7:O7)</f>
        <v>0</v>
      </c>
      <c r="M7" s="40"/>
      <c r="N7" s="41"/>
      <c r="O7" s="40"/>
      <c r="P7" s="39">
        <f t="shared" ref="P7" si="4">SUM(Q7:S7)</f>
        <v>0</v>
      </c>
      <c r="Q7" s="40"/>
      <c r="R7" s="40"/>
      <c r="S7" s="40"/>
      <c r="T7" s="39">
        <f t="shared" ref="T7" si="5">SUM(U7:W7)</f>
        <v>37998.003389999998</v>
      </c>
      <c r="U7" s="41">
        <f>25759.96384+12238.03955</f>
        <v>37998.003389999998</v>
      </c>
      <c r="V7" s="41"/>
      <c r="W7" s="40"/>
      <c r="Y7" s="69">
        <v>2</v>
      </c>
    </row>
    <row r="8" spans="1:25" ht="49.5" x14ac:dyDescent="0.25">
      <c r="A8" s="77">
        <v>2</v>
      </c>
      <c r="B8" s="67" t="s">
        <v>42</v>
      </c>
      <c r="C8" s="17"/>
      <c r="D8" s="37" t="s">
        <v>20</v>
      </c>
      <c r="E8" s="79">
        <v>33392.21</v>
      </c>
      <c r="F8" s="35">
        <f t="shared" si="0"/>
        <v>33392.209499999997</v>
      </c>
      <c r="G8" s="36">
        <f t="shared" si="1"/>
        <v>99.999998502644772</v>
      </c>
      <c r="H8" s="39">
        <f t="shared" ref="H8:H52" si="6">SUM(I8:K8)</f>
        <v>0</v>
      </c>
      <c r="I8" s="40"/>
      <c r="J8" s="40"/>
      <c r="K8" s="40"/>
      <c r="L8" s="39">
        <f t="shared" ref="L8:L52" si="7">SUM(M8:O8)</f>
        <v>32120.00315</v>
      </c>
      <c r="M8" s="40"/>
      <c r="N8" s="41"/>
      <c r="O8" s="40">
        <f>32120.00315</f>
        <v>32120.00315</v>
      </c>
      <c r="P8" s="39">
        <f t="shared" ref="P8:P52" si="8">SUM(Q8:S8)</f>
        <v>1272.2063499999999</v>
      </c>
      <c r="Q8" s="40">
        <f>1272.20635</f>
        <v>1272.2063499999999</v>
      </c>
      <c r="R8" s="40"/>
      <c r="S8" s="40"/>
      <c r="T8" s="39">
        <f t="shared" ref="T8:T52" si="9">SUM(U8:W8)</f>
        <v>0</v>
      </c>
      <c r="U8" s="41"/>
      <c r="V8" s="41"/>
      <c r="W8" s="40"/>
      <c r="Y8" s="69">
        <v>2</v>
      </c>
    </row>
    <row r="9" spans="1:25" ht="49.5" x14ac:dyDescent="0.25">
      <c r="A9" s="77">
        <v>3</v>
      </c>
      <c r="B9" s="67" t="s">
        <v>43</v>
      </c>
      <c r="C9" s="17"/>
      <c r="D9" s="37" t="s">
        <v>20</v>
      </c>
      <c r="E9" s="17">
        <v>57498</v>
      </c>
      <c r="F9" s="35">
        <f t="shared" si="0"/>
        <v>53017.196860000004</v>
      </c>
      <c r="G9" s="36">
        <f t="shared" si="1"/>
        <v>92.207027827054858</v>
      </c>
      <c r="H9" s="39">
        <f t="shared" si="6"/>
        <v>0</v>
      </c>
      <c r="I9" s="40"/>
      <c r="J9" s="40"/>
      <c r="K9" s="40"/>
      <c r="L9" s="39">
        <f t="shared" si="7"/>
        <v>0</v>
      </c>
      <c r="M9" s="40"/>
      <c r="N9" s="41"/>
      <c r="O9" s="40"/>
      <c r="P9" s="39">
        <f t="shared" si="8"/>
        <v>658.75669000000005</v>
      </c>
      <c r="Q9" s="40"/>
      <c r="R9" s="40">
        <f>658.75669</f>
        <v>658.75669000000005</v>
      </c>
      <c r="S9" s="40"/>
      <c r="T9" s="39">
        <f t="shared" si="9"/>
        <v>52358.440170000002</v>
      </c>
      <c r="U9" s="41">
        <f>25914.698+26443.74217</f>
        <v>52358.440170000002</v>
      </c>
      <c r="V9" s="41"/>
      <c r="W9" s="40"/>
      <c r="Y9" s="69">
        <v>1</v>
      </c>
    </row>
    <row r="10" spans="1:25" ht="66" x14ac:dyDescent="0.25">
      <c r="A10" s="77">
        <v>4</v>
      </c>
      <c r="B10" s="67" t="s">
        <v>44</v>
      </c>
      <c r="C10" s="17"/>
      <c r="D10" s="37" t="s">
        <v>20</v>
      </c>
      <c r="E10" s="17">
        <v>44868.3</v>
      </c>
      <c r="F10" s="35">
        <f t="shared" si="0"/>
        <v>44868.249909999999</v>
      </c>
      <c r="G10" s="36">
        <f t="shared" si="1"/>
        <v>99.999888362162139</v>
      </c>
      <c r="H10" s="39">
        <f t="shared" si="6"/>
        <v>0</v>
      </c>
      <c r="I10" s="40"/>
      <c r="J10" s="40"/>
      <c r="K10" s="40"/>
      <c r="L10" s="39">
        <f t="shared" si="7"/>
        <v>0</v>
      </c>
      <c r="M10" s="40"/>
      <c r="N10" s="41"/>
      <c r="O10" s="40"/>
      <c r="P10" s="39">
        <f t="shared" si="8"/>
        <v>44868.249909999999</v>
      </c>
      <c r="Q10" s="40">
        <f>43028.6515+630.70288</f>
        <v>43659.354379999997</v>
      </c>
      <c r="R10" s="40">
        <f>1208.89553</f>
        <v>1208.89553</v>
      </c>
      <c r="S10" s="40"/>
      <c r="T10" s="39">
        <f t="shared" si="9"/>
        <v>0</v>
      </c>
      <c r="U10" s="41"/>
      <c r="V10" s="41"/>
      <c r="W10" s="40"/>
      <c r="Y10" s="69">
        <v>3</v>
      </c>
    </row>
    <row r="11" spans="1:25" ht="49.5" x14ac:dyDescent="0.25">
      <c r="A11" s="77">
        <v>5</v>
      </c>
      <c r="B11" s="67" t="s">
        <v>45</v>
      </c>
      <c r="C11" s="17"/>
      <c r="D11" s="37" t="s">
        <v>20</v>
      </c>
      <c r="E11" s="17">
        <v>110516.3</v>
      </c>
      <c r="F11" s="35">
        <f t="shared" si="0"/>
        <v>110516.21302</v>
      </c>
      <c r="G11" s="36">
        <f t="shared" si="1"/>
        <v>99.999921296677499</v>
      </c>
      <c r="H11" s="39">
        <f t="shared" si="6"/>
        <v>0</v>
      </c>
      <c r="I11" s="40"/>
      <c r="J11" s="40"/>
      <c r="K11" s="40"/>
      <c r="L11" s="39">
        <f t="shared" si="7"/>
        <v>63358.877130000001</v>
      </c>
      <c r="M11" s="40"/>
      <c r="N11" s="41"/>
      <c r="O11" s="40">
        <f>63358.87713</f>
        <v>63358.877130000001</v>
      </c>
      <c r="P11" s="39">
        <f t="shared" si="8"/>
        <v>47157.335890000002</v>
      </c>
      <c r="Q11" s="40">
        <f>39481.46805+3437.51219</f>
        <v>42918.980240000004</v>
      </c>
      <c r="R11" s="40">
        <f>4238.35565</f>
        <v>4238.3556500000004</v>
      </c>
      <c r="S11" s="78"/>
      <c r="T11" s="39">
        <f t="shared" si="9"/>
        <v>0</v>
      </c>
      <c r="U11" s="41"/>
      <c r="V11" s="41"/>
      <c r="W11" s="40"/>
      <c r="Y11" s="69">
        <v>4</v>
      </c>
    </row>
    <row r="12" spans="1:25" ht="49.5" x14ac:dyDescent="0.25">
      <c r="A12" s="77">
        <v>6</v>
      </c>
      <c r="B12" s="67" t="s">
        <v>46</v>
      </c>
      <c r="C12" s="17"/>
      <c r="D12" s="37" t="s">
        <v>20</v>
      </c>
      <c r="E12" s="17">
        <v>63033.7</v>
      </c>
      <c r="F12" s="35">
        <f t="shared" si="0"/>
        <v>61792.311820000003</v>
      </c>
      <c r="G12" s="36">
        <f t="shared" si="1"/>
        <v>98.030596046241939</v>
      </c>
      <c r="H12" s="39">
        <f t="shared" si="6"/>
        <v>0</v>
      </c>
      <c r="I12" s="40"/>
      <c r="J12" s="40"/>
      <c r="K12" s="40"/>
      <c r="L12" s="39">
        <f t="shared" si="7"/>
        <v>0</v>
      </c>
      <c r="M12" s="40"/>
      <c r="N12" s="41"/>
      <c r="O12" s="40"/>
      <c r="P12" s="39">
        <f t="shared" si="8"/>
        <v>61792.311820000003</v>
      </c>
      <c r="Q12" s="40">
        <f>31194.76663</f>
        <v>31194.766629999998</v>
      </c>
      <c r="R12" s="40"/>
      <c r="S12" s="78">
        <v>30597.545190000001</v>
      </c>
      <c r="T12" s="39">
        <f t="shared" si="9"/>
        <v>0</v>
      </c>
      <c r="U12" s="41"/>
      <c r="V12" s="41"/>
      <c r="W12" s="40"/>
      <c r="Y12" s="69">
        <v>2</v>
      </c>
    </row>
    <row r="13" spans="1:25" ht="66" x14ac:dyDescent="0.25">
      <c r="A13" s="77">
        <v>7</v>
      </c>
      <c r="B13" s="67" t="s">
        <v>91</v>
      </c>
      <c r="C13" s="17"/>
      <c r="D13" s="37" t="s">
        <v>20</v>
      </c>
      <c r="E13" s="17">
        <v>84965.5</v>
      </c>
      <c r="F13" s="35">
        <f t="shared" si="0"/>
        <v>84965.49669</v>
      </c>
      <c r="G13" s="36">
        <f t="shared" si="1"/>
        <v>99.999996104301161</v>
      </c>
      <c r="H13" s="39">
        <f t="shared" si="6"/>
        <v>0</v>
      </c>
      <c r="I13" s="40"/>
      <c r="J13" s="40"/>
      <c r="K13" s="40"/>
      <c r="L13" s="39">
        <f t="shared" si="7"/>
        <v>0</v>
      </c>
      <c r="M13" s="40"/>
      <c r="N13" s="41"/>
      <c r="O13" s="40"/>
      <c r="P13" s="39">
        <f t="shared" si="8"/>
        <v>84965.49669</v>
      </c>
      <c r="Q13" s="40">
        <f>82689.73091</f>
        <v>82689.730909999998</v>
      </c>
      <c r="R13" s="40">
        <f>2275.76578</f>
        <v>2275.7657800000002</v>
      </c>
      <c r="S13" s="78"/>
      <c r="T13" s="39">
        <f t="shared" si="9"/>
        <v>0</v>
      </c>
      <c r="U13" s="41"/>
      <c r="V13" s="41"/>
      <c r="W13" s="40"/>
      <c r="Y13" s="69">
        <v>2</v>
      </c>
    </row>
    <row r="14" spans="1:25" ht="66" x14ac:dyDescent="0.25">
      <c r="A14" s="77">
        <v>8</v>
      </c>
      <c r="B14" s="67" t="s">
        <v>47</v>
      </c>
      <c r="C14" s="17"/>
      <c r="D14" s="37" t="s">
        <v>20</v>
      </c>
      <c r="E14" s="17">
        <v>85934.6</v>
      </c>
      <c r="F14" s="35">
        <f t="shared" si="0"/>
        <v>84703.464370000002</v>
      </c>
      <c r="G14" s="36">
        <f t="shared" si="1"/>
        <v>98.567357467190163</v>
      </c>
      <c r="H14" s="39">
        <f t="shared" si="6"/>
        <v>0</v>
      </c>
      <c r="I14" s="40"/>
      <c r="J14" s="40"/>
      <c r="K14" s="40"/>
      <c r="L14" s="39">
        <f t="shared" si="7"/>
        <v>0</v>
      </c>
      <c r="M14" s="40"/>
      <c r="N14" s="41"/>
      <c r="O14" s="40"/>
      <c r="P14" s="39">
        <f t="shared" si="8"/>
        <v>84703.464370000002</v>
      </c>
      <c r="Q14" s="40"/>
      <c r="R14" s="40">
        <f>43865.00277</f>
        <v>43865.002769999999</v>
      </c>
      <c r="S14" s="78">
        <v>40838.461600000002</v>
      </c>
      <c r="T14" s="39">
        <f t="shared" si="9"/>
        <v>0</v>
      </c>
      <c r="U14" s="41"/>
      <c r="V14" s="41"/>
      <c r="W14" s="40"/>
      <c r="Y14" s="69">
        <v>2</v>
      </c>
    </row>
    <row r="15" spans="1:25" ht="49.5" x14ac:dyDescent="0.25">
      <c r="A15" s="77">
        <v>9</v>
      </c>
      <c r="B15" s="67" t="s">
        <v>48</v>
      </c>
      <c r="C15" s="17"/>
      <c r="D15" s="37" t="s">
        <v>20</v>
      </c>
      <c r="E15" s="17">
        <v>12177.7</v>
      </c>
      <c r="F15" s="35">
        <f t="shared" si="0"/>
        <v>12177.61672</v>
      </c>
      <c r="G15" s="36">
        <f t="shared" si="1"/>
        <v>99.999316127019057</v>
      </c>
      <c r="H15" s="39">
        <f t="shared" si="6"/>
        <v>0</v>
      </c>
      <c r="I15" s="40"/>
      <c r="J15" s="40"/>
      <c r="K15" s="40"/>
      <c r="L15" s="39">
        <f t="shared" si="7"/>
        <v>0</v>
      </c>
      <c r="M15" s="40"/>
      <c r="N15" s="41"/>
      <c r="O15" s="40"/>
      <c r="P15" s="39">
        <f t="shared" si="8"/>
        <v>12177.61672</v>
      </c>
      <c r="Q15" s="40"/>
      <c r="R15" s="40">
        <f>12177.61672</f>
        <v>12177.61672</v>
      </c>
      <c r="S15" s="78"/>
      <c r="T15" s="39">
        <f t="shared" si="9"/>
        <v>0</v>
      </c>
      <c r="U15" s="41"/>
      <c r="V15" s="41"/>
      <c r="W15" s="40"/>
      <c r="Y15" s="69">
        <v>1</v>
      </c>
    </row>
    <row r="16" spans="1:25" ht="49.5" x14ac:dyDescent="0.25">
      <c r="A16" s="77">
        <v>10</v>
      </c>
      <c r="B16" s="67" t="s">
        <v>92</v>
      </c>
      <c r="C16" s="17"/>
      <c r="D16" s="37" t="s">
        <v>20</v>
      </c>
      <c r="E16" s="17">
        <v>241347.8</v>
      </c>
      <c r="F16" s="35">
        <f t="shared" si="0"/>
        <v>241347.73050999999</v>
      </c>
      <c r="G16" s="36">
        <f t="shared" si="1"/>
        <v>99.999971207527068</v>
      </c>
      <c r="H16" s="39">
        <f t="shared" si="6"/>
        <v>0</v>
      </c>
      <c r="I16" s="40"/>
      <c r="J16" s="40"/>
      <c r="K16" s="40"/>
      <c r="L16" s="39">
        <f t="shared" si="7"/>
        <v>0</v>
      </c>
      <c r="M16" s="40"/>
      <c r="N16" s="41"/>
      <c r="O16" s="40"/>
      <c r="P16" s="39">
        <f t="shared" si="8"/>
        <v>241347.73050999999</v>
      </c>
      <c r="Q16" s="40">
        <f>105901.2093</f>
        <v>105901.2093</v>
      </c>
      <c r="R16" s="40">
        <f>64585.65578+38039.31161+27247.90962</f>
        <v>129872.87701</v>
      </c>
      <c r="S16" s="78">
        <v>5573.6441999999997</v>
      </c>
      <c r="T16" s="39">
        <f t="shared" si="9"/>
        <v>0</v>
      </c>
      <c r="U16" s="41"/>
      <c r="V16" s="41"/>
      <c r="W16" s="40"/>
      <c r="Y16" s="69">
        <v>5</v>
      </c>
    </row>
    <row r="17" spans="1:25" ht="49.5" x14ac:dyDescent="0.25">
      <c r="A17" s="77">
        <v>11</v>
      </c>
      <c r="B17" s="67" t="s">
        <v>49</v>
      </c>
      <c r="C17" s="17"/>
      <c r="D17" s="37" t="s">
        <v>20</v>
      </c>
      <c r="E17" s="17">
        <v>140836.5</v>
      </c>
      <c r="F17" s="35">
        <f t="shared" si="0"/>
        <v>139083.56286000001</v>
      </c>
      <c r="G17" s="36">
        <f t="shared" si="1"/>
        <v>98.75533889297165</v>
      </c>
      <c r="H17" s="39">
        <f t="shared" si="6"/>
        <v>0</v>
      </c>
      <c r="I17" s="40"/>
      <c r="J17" s="40"/>
      <c r="K17" s="40"/>
      <c r="L17" s="39">
        <f t="shared" si="7"/>
        <v>0</v>
      </c>
      <c r="M17" s="40"/>
      <c r="N17" s="41"/>
      <c r="O17" s="41"/>
      <c r="P17" s="39">
        <f t="shared" si="8"/>
        <v>139083.56286000001</v>
      </c>
      <c r="Q17" s="40">
        <f>30992.33461</f>
        <v>30992.334610000002</v>
      </c>
      <c r="R17" s="40">
        <f>58026.14563</f>
        <v>58026.145629999999</v>
      </c>
      <c r="S17" s="78">
        <f>49736.71782+328.3648</f>
        <v>50065.082620000001</v>
      </c>
      <c r="T17" s="39">
        <f t="shared" si="9"/>
        <v>0</v>
      </c>
      <c r="U17" s="41"/>
      <c r="V17" s="41"/>
      <c r="W17" s="40"/>
      <c r="Y17" s="69">
        <v>4</v>
      </c>
    </row>
    <row r="18" spans="1:25" ht="49.5" x14ac:dyDescent="0.25">
      <c r="A18" s="77">
        <v>14</v>
      </c>
      <c r="B18" s="67" t="s">
        <v>50</v>
      </c>
      <c r="C18" s="17"/>
      <c r="D18" s="37" t="s">
        <v>20</v>
      </c>
      <c r="E18" s="17">
        <v>64751.9</v>
      </c>
      <c r="F18" s="35">
        <f t="shared" si="0"/>
        <v>63452.565580000002</v>
      </c>
      <c r="G18" s="36">
        <f t="shared" si="1"/>
        <v>97.993364797017549</v>
      </c>
      <c r="H18" s="39">
        <f t="shared" si="6"/>
        <v>0</v>
      </c>
      <c r="I18" s="40"/>
      <c r="J18" s="40"/>
      <c r="K18" s="40"/>
      <c r="L18" s="39">
        <f t="shared" si="7"/>
        <v>0</v>
      </c>
      <c r="M18" s="40"/>
      <c r="N18" s="41"/>
      <c r="O18" s="40"/>
      <c r="P18" s="39">
        <f t="shared" si="8"/>
        <v>63452.565580000002</v>
      </c>
      <c r="Q18" s="40">
        <f>30377.97997</f>
        <v>30377.97997</v>
      </c>
      <c r="R18" s="40"/>
      <c r="S18" s="78">
        <v>33074.585610000002</v>
      </c>
      <c r="T18" s="39">
        <f t="shared" si="9"/>
        <v>0</v>
      </c>
      <c r="U18" s="41"/>
      <c r="V18" s="41"/>
      <c r="W18" s="40"/>
      <c r="Y18" s="69">
        <v>2</v>
      </c>
    </row>
    <row r="19" spans="1:25" ht="82.5" x14ac:dyDescent="0.25">
      <c r="A19" s="77">
        <v>15</v>
      </c>
      <c r="B19" s="66" t="s">
        <v>51</v>
      </c>
      <c r="C19" s="17"/>
      <c r="D19" s="37" t="s">
        <v>20</v>
      </c>
      <c r="E19" s="17">
        <v>92906</v>
      </c>
      <c r="F19" s="35">
        <f t="shared" si="0"/>
        <v>89299.002290000004</v>
      </c>
      <c r="G19" s="36">
        <f t="shared" si="1"/>
        <v>96.117583675973577</v>
      </c>
      <c r="H19" s="39">
        <f t="shared" si="6"/>
        <v>0</v>
      </c>
      <c r="I19" s="40"/>
      <c r="J19" s="40"/>
      <c r="K19" s="40"/>
      <c r="L19" s="39">
        <f t="shared" si="7"/>
        <v>0</v>
      </c>
      <c r="M19" s="40"/>
      <c r="N19" s="41"/>
      <c r="O19" s="40"/>
      <c r="P19" s="39">
        <f t="shared" si="8"/>
        <v>41433.354550000004</v>
      </c>
      <c r="Q19" s="40"/>
      <c r="R19" s="40">
        <f>24714.53201+16718.82254</f>
        <v>41433.354550000004</v>
      </c>
      <c r="S19" s="40"/>
      <c r="T19" s="39">
        <f t="shared" si="9"/>
        <v>47865.64774</v>
      </c>
      <c r="U19" s="41">
        <f>43976.24656</f>
        <v>43976.24656</v>
      </c>
      <c r="V19" s="41">
        <f>3889.40118</f>
        <v>3889.4011799999998</v>
      </c>
      <c r="W19" s="40"/>
      <c r="Y19" s="69">
        <v>4</v>
      </c>
    </row>
    <row r="20" spans="1:25" ht="49.5" x14ac:dyDescent="0.25">
      <c r="A20" s="77">
        <v>16</v>
      </c>
      <c r="B20" s="66" t="s">
        <v>52</v>
      </c>
      <c r="C20" s="17"/>
      <c r="D20" s="37" t="s">
        <v>20</v>
      </c>
      <c r="E20" s="17">
        <v>75655.399999999994</v>
      </c>
      <c r="F20" s="35">
        <f t="shared" si="0"/>
        <v>72219.352639999997</v>
      </c>
      <c r="G20" s="36">
        <f t="shared" si="1"/>
        <v>95.458291992375962</v>
      </c>
      <c r="H20" s="39">
        <f t="shared" si="6"/>
        <v>0</v>
      </c>
      <c r="I20" s="40"/>
      <c r="J20" s="40"/>
      <c r="K20" s="40"/>
      <c r="L20" s="39">
        <f t="shared" si="7"/>
        <v>0</v>
      </c>
      <c r="M20" s="40"/>
      <c r="N20" s="41"/>
      <c r="O20" s="40"/>
      <c r="P20" s="39">
        <f t="shared" si="8"/>
        <v>72219.352639999997</v>
      </c>
      <c r="Q20" s="40"/>
      <c r="R20" s="40">
        <f>72219.35264</f>
        <v>72219.352639999997</v>
      </c>
      <c r="S20" s="40"/>
      <c r="T20" s="39">
        <f t="shared" si="9"/>
        <v>0</v>
      </c>
      <c r="U20" s="41"/>
      <c r="V20" s="41"/>
      <c r="W20" s="40"/>
      <c r="Y20" s="69">
        <v>1</v>
      </c>
    </row>
    <row r="21" spans="1:25" ht="66" x14ac:dyDescent="0.25">
      <c r="A21" s="77">
        <v>17</v>
      </c>
      <c r="B21" s="66" t="s">
        <v>53</v>
      </c>
      <c r="C21" s="17"/>
      <c r="D21" s="37" t="s">
        <v>20</v>
      </c>
      <c r="E21" s="17">
        <v>23671.200000000001</v>
      </c>
      <c r="F21" s="35">
        <f t="shared" si="0"/>
        <v>22513.20624</v>
      </c>
      <c r="G21" s="36">
        <f t="shared" si="1"/>
        <v>95.108005677785656</v>
      </c>
      <c r="H21" s="39">
        <f t="shared" si="6"/>
        <v>0</v>
      </c>
      <c r="I21" s="40"/>
      <c r="J21" s="40"/>
      <c r="K21" s="40"/>
      <c r="L21" s="39">
        <f t="shared" si="7"/>
        <v>0</v>
      </c>
      <c r="M21" s="40"/>
      <c r="N21" s="41"/>
      <c r="O21" s="40"/>
      <c r="P21" s="39">
        <f t="shared" si="8"/>
        <v>22513.20624</v>
      </c>
      <c r="Q21" s="40"/>
      <c r="R21" s="40"/>
      <c r="S21" s="40">
        <v>22513.20624</v>
      </c>
      <c r="T21" s="39">
        <f t="shared" si="9"/>
        <v>0</v>
      </c>
      <c r="U21" s="41"/>
      <c r="V21" s="41"/>
      <c r="W21" s="40"/>
      <c r="Y21" s="69"/>
    </row>
    <row r="22" spans="1:25" ht="49.5" x14ac:dyDescent="0.25">
      <c r="A22" s="77">
        <v>18</v>
      </c>
      <c r="B22" s="67" t="s">
        <v>54</v>
      </c>
      <c r="C22" s="17"/>
      <c r="D22" s="37" t="s">
        <v>20</v>
      </c>
      <c r="E22" s="17">
        <v>34578.15</v>
      </c>
      <c r="F22" s="35">
        <f t="shared" si="0"/>
        <v>34578.148529999999</v>
      </c>
      <c r="G22" s="36">
        <f t="shared" si="1"/>
        <v>99.999995748760412</v>
      </c>
      <c r="H22" s="39">
        <f t="shared" si="6"/>
        <v>0</v>
      </c>
      <c r="I22" s="40"/>
      <c r="J22" s="40"/>
      <c r="K22" s="40"/>
      <c r="L22" s="39">
        <f t="shared" si="7"/>
        <v>34578.148529999999</v>
      </c>
      <c r="M22" s="40"/>
      <c r="N22" s="41">
        <f>32791.88574</f>
        <v>32791.885739999998</v>
      </c>
      <c r="O22" s="40">
        <f>1786.26279</f>
        <v>1786.26279</v>
      </c>
      <c r="P22" s="39">
        <f t="shared" si="8"/>
        <v>0</v>
      </c>
      <c r="Q22" s="40"/>
      <c r="R22" s="40"/>
      <c r="S22" s="40"/>
      <c r="T22" s="39">
        <f t="shared" si="9"/>
        <v>0</v>
      </c>
      <c r="U22" s="41"/>
      <c r="V22" s="41"/>
      <c r="W22" s="40"/>
      <c r="Y22" s="69">
        <v>2</v>
      </c>
    </row>
    <row r="23" spans="1:25" ht="66" x14ac:dyDescent="0.25">
      <c r="A23" s="77">
        <v>19</v>
      </c>
      <c r="B23" s="66" t="s">
        <v>55</v>
      </c>
      <c r="C23" s="17"/>
      <c r="D23" s="37" t="s">
        <v>20</v>
      </c>
      <c r="E23" s="17">
        <v>91671.9</v>
      </c>
      <c r="F23" s="35">
        <f t="shared" si="0"/>
        <v>87954.638120000003</v>
      </c>
      <c r="G23" s="36">
        <f t="shared" si="1"/>
        <v>95.945036723357987</v>
      </c>
      <c r="H23" s="39">
        <f t="shared" si="6"/>
        <v>0</v>
      </c>
      <c r="I23" s="40"/>
      <c r="J23" s="40"/>
      <c r="K23" s="40"/>
      <c r="L23" s="39">
        <f t="shared" si="7"/>
        <v>0</v>
      </c>
      <c r="M23" s="40"/>
      <c r="N23" s="41"/>
      <c r="O23" s="40"/>
      <c r="P23" s="39">
        <f t="shared" si="8"/>
        <v>0</v>
      </c>
      <c r="Q23" s="40"/>
      <c r="R23" s="40"/>
      <c r="S23" s="40"/>
      <c r="T23" s="39">
        <f t="shared" si="9"/>
        <v>87954.638120000003</v>
      </c>
      <c r="U23" s="41"/>
      <c r="V23" s="41">
        <f>87954.63812</f>
        <v>87954.638120000003</v>
      </c>
      <c r="W23" s="40"/>
      <c r="Y23" s="69">
        <v>1</v>
      </c>
    </row>
    <row r="24" spans="1:25" ht="66" x14ac:dyDescent="0.25">
      <c r="A24" s="77">
        <v>20</v>
      </c>
      <c r="B24" s="67" t="s">
        <v>82</v>
      </c>
      <c r="C24" s="17"/>
      <c r="D24" s="37" t="s">
        <v>20</v>
      </c>
      <c r="E24" s="17">
        <v>95397.75</v>
      </c>
      <c r="F24" s="35">
        <f t="shared" si="0"/>
        <v>95397.745299999995</v>
      </c>
      <c r="G24" s="36">
        <f t="shared" si="1"/>
        <v>99.999995073259058</v>
      </c>
      <c r="H24" s="39">
        <f t="shared" si="6"/>
        <v>0</v>
      </c>
      <c r="I24" s="40"/>
      <c r="J24" s="40"/>
      <c r="K24" s="40"/>
      <c r="L24" s="39">
        <f t="shared" si="7"/>
        <v>18009.309010000001</v>
      </c>
      <c r="M24" s="40"/>
      <c r="N24" s="41">
        <f>4832.26335</f>
        <v>4832.2633500000002</v>
      </c>
      <c r="O24" s="40">
        <f>13177.04566</f>
        <v>13177.04566</v>
      </c>
      <c r="P24" s="39">
        <f t="shared" si="8"/>
        <v>77388.436289999998</v>
      </c>
      <c r="Q24" s="40">
        <f>34720.84716</f>
        <v>34720.847159999998</v>
      </c>
      <c r="R24" s="40">
        <f>37340.89679</f>
        <v>37340.896789999999</v>
      </c>
      <c r="S24" s="78">
        <v>5326.6923399999996</v>
      </c>
      <c r="T24" s="39">
        <f t="shared" si="9"/>
        <v>0</v>
      </c>
      <c r="U24" s="41"/>
      <c r="V24" s="41"/>
      <c r="W24" s="40"/>
      <c r="Y24" s="69">
        <v>5</v>
      </c>
    </row>
    <row r="25" spans="1:25" ht="49.5" customHeight="1" x14ac:dyDescent="0.25">
      <c r="A25" s="77">
        <v>21</v>
      </c>
      <c r="B25" s="66" t="s">
        <v>56</v>
      </c>
      <c r="C25" s="17"/>
      <c r="D25" s="37" t="s">
        <v>20</v>
      </c>
      <c r="E25" s="17">
        <v>116356.4</v>
      </c>
      <c r="F25" s="35">
        <f t="shared" si="0"/>
        <v>65239.202499999999</v>
      </c>
      <c r="G25" s="36">
        <f t="shared" si="1"/>
        <v>56.068426403704485</v>
      </c>
      <c r="H25" s="39">
        <f t="shared" si="6"/>
        <v>0</v>
      </c>
      <c r="I25" s="40"/>
      <c r="J25" s="40"/>
      <c r="K25" s="40"/>
      <c r="L25" s="39">
        <f t="shared" si="7"/>
        <v>0</v>
      </c>
      <c r="M25" s="40"/>
      <c r="N25" s="41"/>
      <c r="O25" s="40"/>
      <c r="P25" s="39">
        <f t="shared" si="8"/>
        <v>0</v>
      </c>
      <c r="Q25" s="40"/>
      <c r="R25" s="40"/>
      <c r="S25" s="40"/>
      <c r="T25" s="39">
        <f t="shared" si="9"/>
        <v>65239.202499999999</v>
      </c>
      <c r="U25" s="41">
        <f>65239.2025</f>
        <v>65239.202499999999</v>
      </c>
      <c r="V25" s="41"/>
      <c r="W25" s="40"/>
      <c r="Y25" s="69">
        <v>1</v>
      </c>
    </row>
    <row r="26" spans="1:25" ht="49.5" x14ac:dyDescent="0.25">
      <c r="A26" s="77">
        <v>22</v>
      </c>
      <c r="B26" s="66" t="s">
        <v>57</v>
      </c>
      <c r="C26" s="17"/>
      <c r="D26" s="37" t="s">
        <v>20</v>
      </c>
      <c r="E26" s="17">
        <v>21358.3</v>
      </c>
      <c r="F26" s="35">
        <f t="shared" si="0"/>
        <v>21012.230950000001</v>
      </c>
      <c r="G26" s="36">
        <f t="shared" si="1"/>
        <v>98.379697588291208</v>
      </c>
      <c r="H26" s="39">
        <f t="shared" si="6"/>
        <v>0</v>
      </c>
      <c r="I26" s="40"/>
      <c r="J26" s="40"/>
      <c r="K26" s="40"/>
      <c r="L26" s="39">
        <f t="shared" si="7"/>
        <v>0</v>
      </c>
      <c r="M26" s="40"/>
      <c r="N26" s="41"/>
      <c r="O26" s="40"/>
      <c r="P26" s="39">
        <f t="shared" si="8"/>
        <v>21012.230950000001</v>
      </c>
      <c r="Q26" s="40"/>
      <c r="R26" s="40"/>
      <c r="S26" s="40">
        <v>21012.230950000001</v>
      </c>
      <c r="T26" s="39">
        <f t="shared" si="9"/>
        <v>0</v>
      </c>
      <c r="U26" s="41"/>
      <c r="V26" s="41"/>
      <c r="W26" s="40"/>
      <c r="Y26" s="69"/>
    </row>
    <row r="27" spans="1:25" ht="49.5" x14ac:dyDescent="0.25">
      <c r="A27" s="77">
        <v>23</v>
      </c>
      <c r="B27" s="66" t="s">
        <v>58</v>
      </c>
      <c r="C27" s="17"/>
      <c r="D27" s="37" t="s">
        <v>20</v>
      </c>
      <c r="E27" s="17">
        <v>19697.400000000001</v>
      </c>
      <c r="F27" s="35">
        <f t="shared" si="0"/>
        <v>19406.346389999999</v>
      </c>
      <c r="G27" s="36">
        <f t="shared" si="1"/>
        <v>98.522375491181563</v>
      </c>
      <c r="H27" s="39">
        <f t="shared" si="6"/>
        <v>0</v>
      </c>
      <c r="I27" s="40"/>
      <c r="J27" s="40"/>
      <c r="K27" s="40"/>
      <c r="L27" s="39">
        <f t="shared" si="7"/>
        <v>0</v>
      </c>
      <c r="M27" s="40"/>
      <c r="N27" s="41"/>
      <c r="O27" s="40"/>
      <c r="P27" s="39">
        <f t="shared" si="8"/>
        <v>0</v>
      </c>
      <c r="Q27" s="40"/>
      <c r="R27" s="40"/>
      <c r="S27" s="40"/>
      <c r="T27" s="39">
        <f t="shared" si="9"/>
        <v>19406.346389999999</v>
      </c>
      <c r="U27" s="41"/>
      <c r="V27" s="41">
        <f>19406.34639</f>
        <v>19406.346389999999</v>
      </c>
      <c r="W27" s="40"/>
      <c r="Y27" s="69">
        <v>1</v>
      </c>
    </row>
    <row r="28" spans="1:25" ht="49.5" x14ac:dyDescent="0.25">
      <c r="A28" s="77">
        <v>25</v>
      </c>
      <c r="B28" s="66" t="s">
        <v>59</v>
      </c>
      <c r="C28" s="17"/>
      <c r="D28" s="37" t="s">
        <v>20</v>
      </c>
      <c r="E28" s="17">
        <v>27595.3</v>
      </c>
      <c r="F28" s="35">
        <f t="shared" si="0"/>
        <v>27187.487389999998</v>
      </c>
      <c r="G28" s="36">
        <f t="shared" si="1"/>
        <v>98.522166419643924</v>
      </c>
      <c r="H28" s="39">
        <f t="shared" si="6"/>
        <v>0</v>
      </c>
      <c r="I28" s="40"/>
      <c r="J28" s="40"/>
      <c r="K28" s="40"/>
      <c r="L28" s="39">
        <f t="shared" si="7"/>
        <v>0</v>
      </c>
      <c r="M28" s="40"/>
      <c r="N28" s="41"/>
      <c r="O28" s="40"/>
      <c r="P28" s="39">
        <f t="shared" si="8"/>
        <v>25628.488379999999</v>
      </c>
      <c r="Q28" s="40"/>
      <c r="R28" s="40">
        <f>25628.48838</f>
        <v>25628.488379999999</v>
      </c>
      <c r="S28" s="40"/>
      <c r="T28" s="39">
        <f t="shared" si="9"/>
        <v>1558.99901</v>
      </c>
      <c r="U28" s="41">
        <f>1558.99901</f>
        <v>1558.99901</v>
      </c>
      <c r="V28" s="41"/>
      <c r="W28" s="40"/>
      <c r="Y28" s="69">
        <v>2</v>
      </c>
    </row>
    <row r="29" spans="1:25" ht="66" x14ac:dyDescent="0.25">
      <c r="A29" s="77">
        <v>26</v>
      </c>
      <c r="B29" s="66" t="s">
        <v>60</v>
      </c>
      <c r="C29" s="17"/>
      <c r="D29" s="37" t="s">
        <v>20</v>
      </c>
      <c r="E29" s="17">
        <v>22186.7</v>
      </c>
      <c r="F29" s="35">
        <f t="shared" si="0"/>
        <v>14189.788039999999</v>
      </c>
      <c r="G29" s="36">
        <f t="shared" si="1"/>
        <v>63.956280294050039</v>
      </c>
      <c r="H29" s="39">
        <f t="shared" si="6"/>
        <v>0</v>
      </c>
      <c r="I29" s="40"/>
      <c r="J29" s="40"/>
      <c r="K29" s="40"/>
      <c r="L29" s="39">
        <f t="shared" si="7"/>
        <v>0</v>
      </c>
      <c r="M29" s="40"/>
      <c r="N29" s="41"/>
      <c r="O29" s="40"/>
      <c r="P29" s="39">
        <f t="shared" si="8"/>
        <v>4283.7255000000005</v>
      </c>
      <c r="Q29" s="40"/>
      <c r="R29" s="40"/>
      <c r="S29" s="40">
        <f>4118.48624+24.62536+140.6139</f>
        <v>4283.7255000000005</v>
      </c>
      <c r="T29" s="39">
        <f t="shared" si="9"/>
        <v>9906.062539999999</v>
      </c>
      <c r="U29" s="41"/>
      <c r="V29" s="41">
        <f>46.50697+937.16162+641.08123+4492.37047+3788.94225</f>
        <v>9906.062539999999</v>
      </c>
      <c r="W29" s="40"/>
      <c r="Y29" s="69">
        <v>8</v>
      </c>
    </row>
    <row r="30" spans="1:25" ht="49.5" x14ac:dyDescent="0.25">
      <c r="A30" s="77">
        <v>27</v>
      </c>
      <c r="B30" s="66" t="s">
        <v>61</v>
      </c>
      <c r="C30" s="17"/>
      <c r="D30" s="37" t="s">
        <v>20</v>
      </c>
      <c r="E30" s="17">
        <v>12432</v>
      </c>
      <c r="F30" s="35">
        <f t="shared" si="0"/>
        <v>7618.5479699999996</v>
      </c>
      <c r="G30" s="36">
        <f t="shared" si="1"/>
        <v>61.281756515444009</v>
      </c>
      <c r="H30" s="39">
        <f t="shared" si="6"/>
        <v>0</v>
      </c>
      <c r="I30" s="40"/>
      <c r="J30" s="40"/>
      <c r="K30" s="40"/>
      <c r="L30" s="39">
        <f t="shared" si="7"/>
        <v>0</v>
      </c>
      <c r="M30" s="40"/>
      <c r="N30" s="41"/>
      <c r="O30" s="40"/>
      <c r="P30" s="39">
        <f t="shared" si="8"/>
        <v>0</v>
      </c>
      <c r="Q30" s="40"/>
      <c r="R30" s="40"/>
      <c r="S30" s="40"/>
      <c r="T30" s="39">
        <f t="shared" si="9"/>
        <v>7618.5479699999996</v>
      </c>
      <c r="U30" s="41"/>
      <c r="V30" s="41">
        <f>7618.54797</f>
        <v>7618.5479699999996</v>
      </c>
      <c r="W30" s="40"/>
      <c r="Y30" s="69">
        <v>1</v>
      </c>
    </row>
    <row r="31" spans="1:25" ht="49.5" x14ac:dyDescent="0.25">
      <c r="A31" s="77">
        <v>28</v>
      </c>
      <c r="B31" s="66" t="s">
        <v>62</v>
      </c>
      <c r="C31" s="17"/>
      <c r="D31" s="37" t="s">
        <v>20</v>
      </c>
      <c r="E31" s="17">
        <v>11871.6</v>
      </c>
      <c r="F31" s="35">
        <f t="shared" si="0"/>
        <v>11269.29312</v>
      </c>
      <c r="G31" s="36">
        <f t="shared" si="1"/>
        <v>94.926489436975629</v>
      </c>
      <c r="H31" s="39">
        <f t="shared" si="6"/>
        <v>0</v>
      </c>
      <c r="I31" s="40"/>
      <c r="J31" s="40"/>
      <c r="K31" s="40"/>
      <c r="L31" s="39">
        <f t="shared" si="7"/>
        <v>5808.6388500000003</v>
      </c>
      <c r="M31" s="40"/>
      <c r="N31" s="41"/>
      <c r="O31" s="40">
        <f>5808.63885</f>
        <v>5808.6388500000003</v>
      </c>
      <c r="P31" s="39">
        <f t="shared" si="8"/>
        <v>1671.6191699999999</v>
      </c>
      <c r="Q31" s="40">
        <f>891.82571</f>
        <v>891.82570999999996</v>
      </c>
      <c r="R31" s="40">
        <f>779.79346</f>
        <v>779.79345999999998</v>
      </c>
      <c r="S31" s="40"/>
      <c r="T31" s="39">
        <f t="shared" si="9"/>
        <v>3789.0351000000001</v>
      </c>
      <c r="U31" s="41"/>
      <c r="V31" s="41">
        <f>3789.0351</f>
        <v>3789.0351000000001</v>
      </c>
      <c r="W31" s="40"/>
      <c r="Y31" s="69">
        <v>4</v>
      </c>
    </row>
    <row r="32" spans="1:25" ht="49.5" x14ac:dyDescent="0.25">
      <c r="A32" s="77">
        <v>29</v>
      </c>
      <c r="B32" s="66" t="s">
        <v>63</v>
      </c>
      <c r="C32" s="17"/>
      <c r="D32" s="37" t="s">
        <v>20</v>
      </c>
      <c r="E32" s="17">
        <v>93460.1</v>
      </c>
      <c r="F32" s="35">
        <f t="shared" si="0"/>
        <v>0</v>
      </c>
      <c r="G32" s="36">
        <f t="shared" si="1"/>
        <v>0</v>
      </c>
      <c r="H32" s="39">
        <f t="shared" si="6"/>
        <v>0</v>
      </c>
      <c r="I32" s="40"/>
      <c r="J32" s="40"/>
      <c r="K32" s="40"/>
      <c r="L32" s="39">
        <f t="shared" si="7"/>
        <v>0</v>
      </c>
      <c r="M32" s="40"/>
      <c r="N32" s="41"/>
      <c r="O32" s="40"/>
      <c r="P32" s="39">
        <f t="shared" si="8"/>
        <v>0</v>
      </c>
      <c r="Q32" s="40"/>
      <c r="R32" s="40"/>
      <c r="S32" s="40"/>
      <c r="T32" s="39">
        <f t="shared" si="9"/>
        <v>0</v>
      </c>
      <c r="U32" s="41"/>
      <c r="V32" s="41"/>
      <c r="W32" s="40"/>
      <c r="Y32" s="69"/>
    </row>
    <row r="33" spans="1:25" ht="49.5" x14ac:dyDescent="0.25">
      <c r="A33" s="77">
        <v>30</v>
      </c>
      <c r="B33" s="66" t="s">
        <v>64</v>
      </c>
      <c r="C33" s="17"/>
      <c r="D33" s="37" t="s">
        <v>20</v>
      </c>
      <c r="E33" s="17">
        <v>62013</v>
      </c>
      <c r="F33" s="35">
        <f t="shared" si="0"/>
        <v>61096.327769999996</v>
      </c>
      <c r="G33" s="36">
        <f t="shared" si="1"/>
        <v>98.521806347056256</v>
      </c>
      <c r="H33" s="39">
        <f t="shared" si="6"/>
        <v>0</v>
      </c>
      <c r="I33" s="40"/>
      <c r="J33" s="40"/>
      <c r="K33" s="40"/>
      <c r="L33" s="39">
        <f t="shared" si="7"/>
        <v>21394.725350000001</v>
      </c>
      <c r="M33" s="40"/>
      <c r="N33" s="41"/>
      <c r="O33" s="40">
        <f>21394.72535</f>
        <v>21394.725350000001</v>
      </c>
      <c r="P33" s="39">
        <f t="shared" si="8"/>
        <v>39701.602419999996</v>
      </c>
      <c r="Q33" s="40">
        <f>32292.93251</f>
        <v>32292.932509999999</v>
      </c>
      <c r="R33" s="40">
        <f>7408.66991</f>
        <v>7408.6699099999996</v>
      </c>
      <c r="S33" s="40"/>
      <c r="T33" s="39">
        <f t="shared" si="9"/>
        <v>0</v>
      </c>
      <c r="U33" s="41"/>
      <c r="V33" s="41"/>
      <c r="W33" s="40"/>
      <c r="Y33" s="69">
        <v>3</v>
      </c>
    </row>
    <row r="34" spans="1:25" ht="49.5" x14ac:dyDescent="0.25">
      <c r="A34" s="77">
        <v>31</v>
      </c>
      <c r="B34" s="66" t="s">
        <v>65</v>
      </c>
      <c r="C34" s="17"/>
      <c r="D34" s="37" t="s">
        <v>20</v>
      </c>
      <c r="E34" s="17">
        <v>49160.800000000003</v>
      </c>
      <c r="F34" s="35">
        <f t="shared" si="0"/>
        <v>48321.663719999997</v>
      </c>
      <c r="G34" s="36">
        <f t="shared" si="1"/>
        <v>98.293078469024081</v>
      </c>
      <c r="H34" s="39">
        <f t="shared" si="6"/>
        <v>0</v>
      </c>
      <c r="I34" s="40"/>
      <c r="J34" s="40"/>
      <c r="K34" s="40"/>
      <c r="L34" s="39">
        <f t="shared" si="7"/>
        <v>0</v>
      </c>
      <c r="M34" s="40"/>
      <c r="N34" s="41"/>
      <c r="O34" s="40"/>
      <c r="P34" s="39">
        <f t="shared" si="8"/>
        <v>48321.663719999997</v>
      </c>
      <c r="Q34" s="40"/>
      <c r="R34" s="40"/>
      <c r="S34" s="40">
        <v>48321.663719999997</v>
      </c>
      <c r="T34" s="39">
        <f t="shared" si="9"/>
        <v>0</v>
      </c>
      <c r="U34" s="41"/>
      <c r="V34" s="41"/>
      <c r="W34" s="40"/>
      <c r="Y34" s="69"/>
    </row>
    <row r="35" spans="1:25" ht="49.5" x14ac:dyDescent="0.25">
      <c r="A35" s="77">
        <v>32</v>
      </c>
      <c r="B35" s="66" t="s">
        <v>66</v>
      </c>
      <c r="C35" s="17"/>
      <c r="D35" s="37" t="s">
        <v>20</v>
      </c>
      <c r="E35" s="17">
        <v>4778.3999999999996</v>
      </c>
      <c r="F35" s="35">
        <f t="shared" si="0"/>
        <v>4707.8095400000002</v>
      </c>
      <c r="G35" s="36">
        <f t="shared" si="1"/>
        <v>98.522717646074014</v>
      </c>
      <c r="H35" s="39">
        <f t="shared" si="6"/>
        <v>0</v>
      </c>
      <c r="I35" s="40"/>
      <c r="J35" s="40"/>
      <c r="K35" s="40"/>
      <c r="L35" s="39">
        <f t="shared" si="7"/>
        <v>0</v>
      </c>
      <c r="M35" s="40"/>
      <c r="N35" s="41"/>
      <c r="O35" s="40"/>
      <c r="P35" s="39">
        <f t="shared" si="8"/>
        <v>4707.8095400000002</v>
      </c>
      <c r="Q35" s="40"/>
      <c r="R35" s="40"/>
      <c r="S35" s="40">
        <v>4707.8095400000002</v>
      </c>
      <c r="T35" s="39">
        <f t="shared" si="9"/>
        <v>0</v>
      </c>
      <c r="U35" s="41"/>
      <c r="V35" s="41"/>
      <c r="W35" s="40"/>
      <c r="Y35" s="69"/>
    </row>
    <row r="36" spans="1:25" ht="49.5" x14ac:dyDescent="0.25">
      <c r="A36" s="77">
        <v>33</v>
      </c>
      <c r="B36" s="66" t="s">
        <v>67</v>
      </c>
      <c r="C36" s="17"/>
      <c r="D36" s="37" t="s">
        <v>20</v>
      </c>
      <c r="E36" s="17">
        <v>21319.9</v>
      </c>
      <c r="F36" s="35">
        <f t="shared" si="0"/>
        <v>21004.827819999999</v>
      </c>
      <c r="G36" s="36">
        <f t="shared" si="1"/>
        <v>98.522168584280394</v>
      </c>
      <c r="H36" s="39">
        <f t="shared" si="6"/>
        <v>0</v>
      </c>
      <c r="I36" s="40"/>
      <c r="J36" s="40"/>
      <c r="K36" s="40"/>
      <c r="L36" s="39">
        <f t="shared" si="7"/>
        <v>0</v>
      </c>
      <c r="M36" s="40"/>
      <c r="N36" s="41"/>
      <c r="O36" s="40"/>
      <c r="P36" s="39">
        <f t="shared" si="8"/>
        <v>19151.650109999999</v>
      </c>
      <c r="Q36" s="40"/>
      <c r="R36" s="40"/>
      <c r="S36" s="40">
        <v>19151.650109999999</v>
      </c>
      <c r="T36" s="39">
        <f t="shared" si="9"/>
        <v>1853.1777099999999</v>
      </c>
      <c r="U36" s="41">
        <f>1853.17771</f>
        <v>1853.1777099999999</v>
      </c>
      <c r="V36" s="41"/>
      <c r="W36" s="40"/>
      <c r="Y36" s="69">
        <v>2</v>
      </c>
    </row>
    <row r="37" spans="1:25" ht="66" x14ac:dyDescent="0.25">
      <c r="A37" s="77">
        <v>34</v>
      </c>
      <c r="B37" s="67" t="s">
        <v>89</v>
      </c>
      <c r="C37" s="17"/>
      <c r="D37" s="37" t="s">
        <v>20</v>
      </c>
      <c r="E37" s="17">
        <v>39524</v>
      </c>
      <c r="F37" s="35">
        <f t="shared" si="0"/>
        <v>39018.680390000001</v>
      </c>
      <c r="G37" s="36">
        <f t="shared" si="1"/>
        <v>98.721486666329326</v>
      </c>
      <c r="H37" s="39">
        <f t="shared" si="6"/>
        <v>0</v>
      </c>
      <c r="I37" s="40"/>
      <c r="J37" s="40"/>
      <c r="K37" s="40"/>
      <c r="L37" s="39">
        <f t="shared" si="7"/>
        <v>37343.361530000002</v>
      </c>
      <c r="M37" s="40"/>
      <c r="N37" s="41"/>
      <c r="O37" s="40">
        <f>36844.74035+498.62118</f>
        <v>37343.361530000002</v>
      </c>
      <c r="P37" s="39">
        <f t="shared" si="8"/>
        <v>1675.3188600000001</v>
      </c>
      <c r="Q37" s="40">
        <f>1649.29031+26.02855</f>
        <v>1675.3188600000001</v>
      </c>
      <c r="R37" s="40"/>
      <c r="S37" s="40"/>
      <c r="T37" s="39">
        <f t="shared" si="9"/>
        <v>0</v>
      </c>
      <c r="U37" s="41"/>
      <c r="V37" s="41"/>
      <c r="W37" s="40"/>
      <c r="Y37" s="69">
        <v>4</v>
      </c>
    </row>
    <row r="38" spans="1:25" ht="66" x14ac:dyDescent="0.25">
      <c r="A38" s="77">
        <v>35</v>
      </c>
      <c r="B38" s="66" t="s">
        <v>68</v>
      </c>
      <c r="C38" s="17"/>
      <c r="D38" s="37" t="s">
        <v>20</v>
      </c>
      <c r="E38" s="17">
        <v>21549.3</v>
      </c>
      <c r="F38" s="35">
        <f t="shared" si="0"/>
        <v>21230.849419999999</v>
      </c>
      <c r="G38" s="36">
        <f t="shared" si="1"/>
        <v>98.522223088452989</v>
      </c>
      <c r="H38" s="39">
        <f t="shared" si="6"/>
        <v>0</v>
      </c>
      <c r="I38" s="40"/>
      <c r="J38" s="40"/>
      <c r="K38" s="40"/>
      <c r="L38" s="39">
        <f t="shared" si="7"/>
        <v>0</v>
      </c>
      <c r="M38" s="40"/>
      <c r="N38" s="41"/>
      <c r="O38" s="40"/>
      <c r="P38" s="39">
        <f t="shared" si="8"/>
        <v>0</v>
      </c>
      <c r="Q38" s="40"/>
      <c r="R38" s="40"/>
      <c r="S38" s="40"/>
      <c r="T38" s="39">
        <f t="shared" si="9"/>
        <v>21230.849419999999</v>
      </c>
      <c r="U38" s="41"/>
      <c r="V38" s="41">
        <f>21230.84942</f>
        <v>21230.849419999999</v>
      </c>
      <c r="W38" s="40"/>
      <c r="Y38" s="69">
        <v>1</v>
      </c>
    </row>
    <row r="39" spans="1:25" ht="49.5" x14ac:dyDescent="0.25">
      <c r="A39" s="77">
        <v>36</v>
      </c>
      <c r="B39" s="67" t="s">
        <v>69</v>
      </c>
      <c r="C39" s="17"/>
      <c r="D39" s="37" t="s">
        <v>20</v>
      </c>
      <c r="E39" s="17">
        <v>49332.3</v>
      </c>
      <c r="F39" s="35">
        <f t="shared" ref="F39:F58" si="10">H39+L39+P39+T39</f>
        <v>49332.22118</v>
      </c>
      <c r="G39" s="36">
        <f t="shared" si="1"/>
        <v>99.999840226383114</v>
      </c>
      <c r="H39" s="39">
        <f t="shared" si="6"/>
        <v>0</v>
      </c>
      <c r="I39" s="40"/>
      <c r="J39" s="40"/>
      <c r="K39" s="40"/>
      <c r="L39" s="39">
        <f t="shared" si="7"/>
        <v>0</v>
      </c>
      <c r="M39" s="40"/>
      <c r="N39" s="41"/>
      <c r="O39" s="40"/>
      <c r="P39" s="39">
        <f t="shared" si="8"/>
        <v>49332.22118</v>
      </c>
      <c r="Q39" s="40"/>
      <c r="R39" s="40">
        <f>46638.57563</f>
        <v>46638.575629999999</v>
      </c>
      <c r="S39" s="78">
        <v>2693.6455500000002</v>
      </c>
      <c r="T39" s="39">
        <f t="shared" si="9"/>
        <v>0</v>
      </c>
      <c r="U39" s="41"/>
      <c r="V39" s="41"/>
      <c r="W39" s="40"/>
      <c r="Y39" s="69">
        <v>2</v>
      </c>
    </row>
    <row r="40" spans="1:25" ht="33" x14ac:dyDescent="0.25">
      <c r="A40" s="77">
        <v>37</v>
      </c>
      <c r="B40" s="66" t="s">
        <v>70</v>
      </c>
      <c r="C40" s="17"/>
      <c r="D40" s="37" t="s">
        <v>20</v>
      </c>
      <c r="E40" s="17">
        <v>223836.5</v>
      </c>
      <c r="F40" s="35">
        <f t="shared" si="10"/>
        <v>0</v>
      </c>
      <c r="G40" s="36">
        <f t="shared" si="1"/>
        <v>0</v>
      </c>
      <c r="H40" s="39">
        <f t="shared" si="6"/>
        <v>0</v>
      </c>
      <c r="I40" s="40"/>
      <c r="J40" s="40"/>
      <c r="K40" s="40"/>
      <c r="L40" s="39">
        <f t="shared" si="7"/>
        <v>0</v>
      </c>
      <c r="M40" s="40"/>
      <c r="N40" s="41"/>
      <c r="O40" s="40"/>
      <c r="P40" s="39">
        <f t="shared" si="8"/>
        <v>0</v>
      </c>
      <c r="Q40" s="40"/>
      <c r="R40" s="40"/>
      <c r="S40" s="40"/>
      <c r="T40" s="39">
        <f t="shared" si="9"/>
        <v>0</v>
      </c>
      <c r="U40" s="41"/>
      <c r="V40" s="41"/>
      <c r="W40" s="40"/>
      <c r="Y40" s="69"/>
    </row>
    <row r="41" spans="1:25" ht="49.5" x14ac:dyDescent="0.25">
      <c r="A41" s="77">
        <v>38</v>
      </c>
      <c r="B41" s="66" t="s">
        <v>71</v>
      </c>
      <c r="C41" s="17"/>
      <c r="D41" s="37" t="s">
        <v>20</v>
      </c>
      <c r="E41" s="76">
        <v>50416.7</v>
      </c>
      <c r="F41" s="35">
        <f t="shared" si="10"/>
        <v>49671.63422</v>
      </c>
      <c r="G41" s="36">
        <f t="shared" si="1"/>
        <v>98.522184553927573</v>
      </c>
      <c r="H41" s="39">
        <f t="shared" si="6"/>
        <v>0</v>
      </c>
      <c r="I41" s="40"/>
      <c r="J41" s="40"/>
      <c r="K41" s="40"/>
      <c r="L41" s="39">
        <f t="shared" si="7"/>
        <v>0</v>
      </c>
      <c r="M41" s="40"/>
      <c r="N41" s="41"/>
      <c r="O41" s="40"/>
      <c r="P41" s="39">
        <f t="shared" si="8"/>
        <v>49671.63422</v>
      </c>
      <c r="Q41" s="40">
        <f>49671.63422</f>
        <v>49671.63422</v>
      </c>
      <c r="R41" s="40"/>
      <c r="S41" s="40"/>
      <c r="T41" s="39">
        <f t="shared" si="9"/>
        <v>0</v>
      </c>
      <c r="U41" s="41"/>
      <c r="V41" s="41"/>
      <c r="W41" s="40"/>
      <c r="Y41" s="69">
        <v>1</v>
      </c>
    </row>
    <row r="42" spans="1:25" ht="66" x14ac:dyDescent="0.25">
      <c r="A42" s="77">
        <v>39</v>
      </c>
      <c r="B42" s="66" t="s">
        <v>72</v>
      </c>
      <c r="C42" s="17"/>
      <c r="D42" s="37" t="s">
        <v>20</v>
      </c>
      <c r="E42" s="17">
        <v>35359.800000000003</v>
      </c>
      <c r="F42" s="35">
        <f t="shared" si="10"/>
        <v>34052.08713</v>
      </c>
      <c r="G42" s="36">
        <f t="shared" si="1"/>
        <v>96.301696078597715</v>
      </c>
      <c r="H42" s="39">
        <f t="shared" si="6"/>
        <v>0</v>
      </c>
      <c r="I42" s="40"/>
      <c r="J42" s="40"/>
      <c r="K42" s="40"/>
      <c r="L42" s="39">
        <f t="shared" si="7"/>
        <v>0</v>
      </c>
      <c r="M42" s="40"/>
      <c r="N42" s="41"/>
      <c r="O42" s="40"/>
      <c r="P42" s="39">
        <f t="shared" si="8"/>
        <v>0</v>
      </c>
      <c r="Q42" s="40"/>
      <c r="R42" s="40"/>
      <c r="S42" s="40"/>
      <c r="T42" s="39">
        <f t="shared" si="9"/>
        <v>34052.08713</v>
      </c>
      <c r="U42" s="41"/>
      <c r="V42" s="41">
        <f>34052.08713</f>
        <v>34052.08713</v>
      </c>
      <c r="W42" s="40"/>
      <c r="Y42" s="69">
        <v>1</v>
      </c>
    </row>
    <row r="43" spans="1:25" ht="49.5" x14ac:dyDescent="0.25">
      <c r="A43" s="77">
        <v>40</v>
      </c>
      <c r="B43" s="66" t="s">
        <v>73</v>
      </c>
      <c r="C43" s="17"/>
      <c r="D43" s="37" t="s">
        <v>20</v>
      </c>
      <c r="E43" s="17">
        <v>29520.9</v>
      </c>
      <c r="F43" s="35">
        <f t="shared" si="10"/>
        <v>27630.930090000002</v>
      </c>
      <c r="G43" s="36">
        <f t="shared" si="1"/>
        <v>93.597858093757296</v>
      </c>
      <c r="H43" s="39">
        <f t="shared" si="6"/>
        <v>0</v>
      </c>
      <c r="I43" s="40"/>
      <c r="J43" s="40"/>
      <c r="K43" s="40"/>
      <c r="L43" s="39">
        <f t="shared" si="7"/>
        <v>0</v>
      </c>
      <c r="M43" s="40"/>
      <c r="N43" s="41"/>
      <c r="O43" s="40"/>
      <c r="P43" s="39">
        <f t="shared" si="8"/>
        <v>0</v>
      </c>
      <c r="Q43" s="40"/>
      <c r="R43" s="40"/>
      <c r="S43" s="40"/>
      <c r="T43" s="39">
        <f t="shared" si="9"/>
        <v>27630.930090000002</v>
      </c>
      <c r="U43" s="41"/>
      <c r="V43" s="41">
        <f>27630.93009</f>
        <v>27630.930090000002</v>
      </c>
      <c r="W43" s="40"/>
      <c r="Y43" s="69">
        <v>1</v>
      </c>
    </row>
    <row r="44" spans="1:25" ht="49.5" x14ac:dyDescent="0.25">
      <c r="A44" s="77">
        <v>41</v>
      </c>
      <c r="B44" s="67" t="s">
        <v>74</v>
      </c>
      <c r="C44" s="17"/>
      <c r="D44" s="37" t="s">
        <v>20</v>
      </c>
      <c r="E44" s="17">
        <v>92225</v>
      </c>
      <c r="F44" s="35">
        <f t="shared" si="10"/>
        <v>92224.95120000001</v>
      </c>
      <c r="G44" s="36">
        <f t="shared" si="1"/>
        <v>99.999947085931169</v>
      </c>
      <c r="H44" s="39">
        <f t="shared" si="6"/>
        <v>0</v>
      </c>
      <c r="I44" s="40"/>
      <c r="J44" s="40"/>
      <c r="K44" s="40"/>
      <c r="L44" s="39">
        <f t="shared" si="7"/>
        <v>85705.360450000007</v>
      </c>
      <c r="M44" s="40"/>
      <c r="N44" s="41"/>
      <c r="O44" s="40">
        <f>51539.31327+34166.04718</f>
        <v>85705.360450000007</v>
      </c>
      <c r="P44" s="39">
        <f t="shared" si="8"/>
        <v>6519.5907500000003</v>
      </c>
      <c r="Q44" s="40"/>
      <c r="R44" s="40">
        <f>6519.59075</f>
        <v>6519.5907500000003</v>
      </c>
      <c r="S44" s="40"/>
      <c r="T44" s="39">
        <f t="shared" si="9"/>
        <v>0</v>
      </c>
      <c r="U44" s="41"/>
      <c r="V44" s="41"/>
      <c r="W44" s="40"/>
      <c r="Y44" s="69">
        <v>3</v>
      </c>
    </row>
    <row r="45" spans="1:25" ht="49.5" x14ac:dyDescent="0.25">
      <c r="A45" s="77">
        <v>42</v>
      </c>
      <c r="B45" s="67" t="s">
        <v>75</v>
      </c>
      <c r="C45" s="17"/>
      <c r="D45" s="37" t="s">
        <v>20</v>
      </c>
      <c r="E45" s="17">
        <v>57886.5</v>
      </c>
      <c r="F45" s="35">
        <f t="shared" si="10"/>
        <v>56953.068630000002</v>
      </c>
      <c r="G45" s="36">
        <f t="shared" si="1"/>
        <v>98.38748003420487</v>
      </c>
      <c r="H45" s="39">
        <f t="shared" si="6"/>
        <v>0</v>
      </c>
      <c r="I45" s="40"/>
      <c r="J45" s="40"/>
      <c r="K45" s="40"/>
      <c r="L45" s="39">
        <f t="shared" si="7"/>
        <v>53817.713990000004</v>
      </c>
      <c r="M45" s="40"/>
      <c r="N45" s="41">
        <f>19149.0177+443.64904+34225.04725</f>
        <v>53817.713990000004</v>
      </c>
      <c r="O45" s="40"/>
      <c r="P45" s="39">
        <f t="shared" si="8"/>
        <v>3135.35464</v>
      </c>
      <c r="Q45" s="40"/>
      <c r="R45" s="40">
        <f>3135.35464</f>
        <v>3135.35464</v>
      </c>
      <c r="S45" s="40"/>
      <c r="T45" s="39">
        <f t="shared" si="9"/>
        <v>0</v>
      </c>
      <c r="U45" s="41"/>
      <c r="V45" s="41"/>
      <c r="W45" s="40"/>
      <c r="Y45" s="69">
        <v>4</v>
      </c>
    </row>
    <row r="46" spans="1:25" ht="49.5" x14ac:dyDescent="0.25">
      <c r="A46" s="77">
        <v>43</v>
      </c>
      <c r="B46" s="66" t="s">
        <v>76</v>
      </c>
      <c r="C46" s="17"/>
      <c r="D46" s="37" t="s">
        <v>20</v>
      </c>
      <c r="E46" s="17">
        <v>66213.2</v>
      </c>
      <c r="F46" s="35">
        <f t="shared" si="10"/>
        <v>61387.093919999999</v>
      </c>
      <c r="G46" s="36">
        <f t="shared" si="1"/>
        <v>92.711262890179</v>
      </c>
      <c r="H46" s="39">
        <f t="shared" si="6"/>
        <v>0</v>
      </c>
      <c r="I46" s="40"/>
      <c r="J46" s="40"/>
      <c r="K46" s="40"/>
      <c r="L46" s="39">
        <f t="shared" si="7"/>
        <v>0</v>
      </c>
      <c r="M46" s="40"/>
      <c r="N46" s="41"/>
      <c r="O46" s="40"/>
      <c r="P46" s="39">
        <f t="shared" si="8"/>
        <v>0</v>
      </c>
      <c r="Q46" s="40"/>
      <c r="R46" s="40"/>
      <c r="S46" s="40"/>
      <c r="T46" s="39">
        <f t="shared" si="9"/>
        <v>61387.093919999999</v>
      </c>
      <c r="U46" s="41">
        <f>61387.09392</f>
        <v>61387.093919999999</v>
      </c>
      <c r="V46" s="41"/>
      <c r="W46" s="40"/>
      <c r="Y46" s="69">
        <v>1</v>
      </c>
    </row>
    <row r="47" spans="1:25" ht="49.5" x14ac:dyDescent="0.25">
      <c r="A47" s="77">
        <v>44</v>
      </c>
      <c r="B47" s="66" t="s">
        <v>77</v>
      </c>
      <c r="C47" s="17"/>
      <c r="D47" s="37" t="s">
        <v>20</v>
      </c>
      <c r="E47" s="17">
        <v>33674.5</v>
      </c>
      <c r="F47" s="35">
        <f t="shared" si="10"/>
        <v>32246.006460000001</v>
      </c>
      <c r="G47" s="36">
        <f t="shared" si="1"/>
        <v>95.75793689587077</v>
      </c>
      <c r="H47" s="39">
        <f t="shared" si="6"/>
        <v>0</v>
      </c>
      <c r="I47" s="40"/>
      <c r="J47" s="40"/>
      <c r="K47" s="40"/>
      <c r="L47" s="39">
        <f t="shared" si="7"/>
        <v>0</v>
      </c>
      <c r="M47" s="40"/>
      <c r="N47" s="41"/>
      <c r="O47" s="40"/>
      <c r="P47" s="39">
        <f t="shared" si="8"/>
        <v>0</v>
      </c>
      <c r="Q47" s="40"/>
      <c r="R47" s="40"/>
      <c r="S47" s="40"/>
      <c r="T47" s="39">
        <f t="shared" si="9"/>
        <v>32246.006460000001</v>
      </c>
      <c r="U47" s="41"/>
      <c r="V47" s="41">
        <f>13244.97164+19001.03482</f>
        <v>32246.006460000001</v>
      </c>
      <c r="W47" s="40"/>
      <c r="Y47" s="69">
        <v>2</v>
      </c>
    </row>
    <row r="48" spans="1:25" ht="66" x14ac:dyDescent="0.25">
      <c r="A48" s="77">
        <v>45</v>
      </c>
      <c r="B48" s="66" t="s">
        <v>78</v>
      </c>
      <c r="C48" s="17"/>
      <c r="D48" s="37" t="s">
        <v>20</v>
      </c>
      <c r="E48" s="17">
        <v>37730.400000000001</v>
      </c>
      <c r="F48" s="35">
        <f t="shared" si="10"/>
        <v>37172.800920000001</v>
      </c>
      <c r="G48" s="36">
        <f t="shared" si="1"/>
        <v>98.522149036320855</v>
      </c>
      <c r="H48" s="39">
        <f t="shared" si="6"/>
        <v>0</v>
      </c>
      <c r="I48" s="40"/>
      <c r="J48" s="40"/>
      <c r="K48" s="40"/>
      <c r="L48" s="39">
        <f t="shared" si="7"/>
        <v>0</v>
      </c>
      <c r="M48" s="40"/>
      <c r="N48" s="41"/>
      <c r="O48" s="40"/>
      <c r="P48" s="39">
        <f t="shared" si="8"/>
        <v>37172.800920000001</v>
      </c>
      <c r="Q48" s="40">
        <f>21680.35111+15492.44981</f>
        <v>37172.800920000001</v>
      </c>
      <c r="R48" s="40"/>
      <c r="S48" s="40"/>
      <c r="T48" s="39">
        <f t="shared" si="9"/>
        <v>0</v>
      </c>
      <c r="U48" s="41"/>
      <c r="V48" s="41"/>
      <c r="W48" s="40"/>
      <c r="Y48" s="69">
        <v>2</v>
      </c>
    </row>
    <row r="49" spans="1:25" ht="49.5" x14ac:dyDescent="0.25">
      <c r="A49" s="77">
        <v>46</v>
      </c>
      <c r="B49" s="66" t="s">
        <v>79</v>
      </c>
      <c r="C49" s="17"/>
      <c r="D49" s="37" t="s">
        <v>20</v>
      </c>
      <c r="E49" s="17">
        <v>25352.7</v>
      </c>
      <c r="F49" s="35">
        <f t="shared" si="10"/>
        <v>24915.923900000002</v>
      </c>
      <c r="G49" s="36">
        <f t="shared" si="1"/>
        <v>98.277200850402522</v>
      </c>
      <c r="H49" s="39">
        <f t="shared" si="6"/>
        <v>0</v>
      </c>
      <c r="I49" s="40"/>
      <c r="J49" s="40"/>
      <c r="K49" s="40"/>
      <c r="L49" s="39">
        <f t="shared" si="7"/>
        <v>0</v>
      </c>
      <c r="M49" s="40"/>
      <c r="N49" s="41"/>
      <c r="O49" s="40"/>
      <c r="P49" s="39">
        <f t="shared" si="8"/>
        <v>0</v>
      </c>
      <c r="Q49" s="40"/>
      <c r="R49" s="40"/>
      <c r="S49" s="40"/>
      <c r="T49" s="39">
        <f t="shared" si="9"/>
        <v>24915.923900000002</v>
      </c>
      <c r="U49" s="41">
        <f>24915.9239</f>
        <v>24915.923900000002</v>
      </c>
      <c r="V49" s="41"/>
      <c r="W49" s="40"/>
      <c r="Y49" s="69">
        <v>1</v>
      </c>
    </row>
    <row r="50" spans="1:25" ht="82.5" x14ac:dyDescent="0.25">
      <c r="A50" s="77">
        <v>47</v>
      </c>
      <c r="B50" s="67" t="s">
        <v>80</v>
      </c>
      <c r="C50" s="17"/>
      <c r="D50" s="37" t="s">
        <v>20</v>
      </c>
      <c r="E50" s="17">
        <v>30376.1</v>
      </c>
      <c r="F50" s="35">
        <f t="shared" si="10"/>
        <v>30376.009040000001</v>
      </c>
      <c r="G50" s="36">
        <f t="shared" si="1"/>
        <v>99.999700554054016</v>
      </c>
      <c r="H50" s="39">
        <f t="shared" si="6"/>
        <v>0</v>
      </c>
      <c r="I50" s="40"/>
      <c r="J50" s="40"/>
      <c r="K50" s="40"/>
      <c r="L50" s="39">
        <f t="shared" si="7"/>
        <v>17476.898300000001</v>
      </c>
      <c r="M50" s="40"/>
      <c r="N50" s="41">
        <f>6040.35208</f>
        <v>6040.3520799999997</v>
      </c>
      <c r="O50" s="40">
        <f>11436.54622</f>
        <v>11436.54622</v>
      </c>
      <c r="P50" s="39">
        <f t="shared" si="8"/>
        <v>12899.11074</v>
      </c>
      <c r="Q50" s="40">
        <f>10900.22622</f>
        <v>10900.22622</v>
      </c>
      <c r="R50" s="40">
        <f>1998.88452</f>
        <v>1998.8845200000001</v>
      </c>
      <c r="S50" s="40"/>
      <c r="T50" s="39">
        <f t="shared" si="9"/>
        <v>0</v>
      </c>
      <c r="U50" s="41"/>
      <c r="V50" s="41"/>
      <c r="W50" s="40"/>
      <c r="Y50" s="69">
        <v>4</v>
      </c>
    </row>
    <row r="51" spans="1:25" ht="66" x14ac:dyDescent="0.25">
      <c r="A51" s="77">
        <v>48</v>
      </c>
      <c r="B51" s="66" t="s">
        <v>81</v>
      </c>
      <c r="C51" s="17"/>
      <c r="D51" s="37" t="s">
        <v>20</v>
      </c>
      <c r="E51" s="17">
        <v>40061.4</v>
      </c>
      <c r="F51" s="35">
        <f t="shared" si="10"/>
        <v>39469.377520000002</v>
      </c>
      <c r="G51" s="36">
        <f t="shared" si="1"/>
        <v>98.522212204266452</v>
      </c>
      <c r="H51" s="39">
        <f t="shared" si="6"/>
        <v>0</v>
      </c>
      <c r="I51" s="40"/>
      <c r="J51" s="40"/>
      <c r="K51" s="40"/>
      <c r="L51" s="39">
        <f t="shared" si="7"/>
        <v>0</v>
      </c>
      <c r="M51" s="40"/>
      <c r="N51" s="41"/>
      <c r="O51" s="40"/>
      <c r="P51" s="39">
        <f t="shared" si="8"/>
        <v>0</v>
      </c>
      <c r="Q51" s="40"/>
      <c r="R51" s="40"/>
      <c r="S51" s="40"/>
      <c r="T51" s="39">
        <f t="shared" si="9"/>
        <v>39469.377520000002</v>
      </c>
      <c r="U51" s="41"/>
      <c r="V51" s="41">
        <f>39469.37752</f>
        <v>39469.377520000002</v>
      </c>
      <c r="W51" s="40"/>
      <c r="Y51" s="69">
        <v>1</v>
      </c>
    </row>
    <row r="52" spans="1:25" ht="66" x14ac:dyDescent="0.25">
      <c r="A52" s="77">
        <v>49</v>
      </c>
      <c r="B52" s="66" t="s">
        <v>87</v>
      </c>
      <c r="C52" s="17"/>
      <c r="D52" s="37" t="s">
        <v>20</v>
      </c>
      <c r="E52" s="17">
        <v>10993.2</v>
      </c>
      <c r="F52" s="35">
        <f t="shared" si="10"/>
        <v>0</v>
      </c>
      <c r="G52" s="36">
        <f t="shared" si="1"/>
        <v>0</v>
      </c>
      <c r="H52" s="39">
        <f t="shared" si="6"/>
        <v>0</v>
      </c>
      <c r="I52" s="40"/>
      <c r="J52" s="40"/>
      <c r="K52" s="40"/>
      <c r="L52" s="39">
        <f t="shared" si="7"/>
        <v>0</v>
      </c>
      <c r="M52" s="40"/>
      <c r="N52" s="41"/>
      <c r="O52" s="40"/>
      <c r="P52" s="39">
        <f t="shared" si="8"/>
        <v>0</v>
      </c>
      <c r="Q52" s="40"/>
      <c r="R52" s="40"/>
      <c r="S52" s="40"/>
      <c r="T52" s="39">
        <f t="shared" si="9"/>
        <v>0</v>
      </c>
      <c r="U52" s="41"/>
      <c r="V52" s="41"/>
      <c r="W52" s="40"/>
      <c r="Y52" s="69"/>
    </row>
    <row r="53" spans="1:25" ht="66" x14ac:dyDescent="0.25">
      <c r="A53" s="77">
        <v>50</v>
      </c>
      <c r="B53" s="66" t="s">
        <v>83</v>
      </c>
      <c r="C53" s="17"/>
      <c r="D53" s="37" t="s">
        <v>20</v>
      </c>
      <c r="E53" s="17">
        <v>14109.3</v>
      </c>
      <c r="F53" s="35">
        <f t="shared" si="10"/>
        <v>12509.337</v>
      </c>
      <c r="G53" s="36">
        <f t="shared" si="1"/>
        <v>88.660224107503566</v>
      </c>
      <c r="H53" s="39">
        <f t="shared" ref="H53:H56" si="11">SUM(I53:K53)</f>
        <v>1512.77</v>
      </c>
      <c r="I53" s="40"/>
      <c r="J53" s="40">
        <f>15.902+191.015+59.431+374.403+14.727+40.618</f>
        <v>696.096</v>
      </c>
      <c r="K53" s="40">
        <f>72.377+744.297</f>
        <v>816.67399999999998</v>
      </c>
      <c r="L53" s="39">
        <f t="shared" ref="L53:L56" si="12">SUM(M53:O53)</f>
        <v>1827.3109999999999</v>
      </c>
      <c r="M53" s="40">
        <f>365.982+159.031</f>
        <v>525.01300000000003</v>
      </c>
      <c r="N53" s="41">
        <f>73.499+458.638+23.557</f>
        <v>555.69399999999996</v>
      </c>
      <c r="O53" s="40">
        <f>442.994+173.741+116.803+13.066</f>
        <v>746.60400000000004</v>
      </c>
      <c r="P53" s="39">
        <f t="shared" ref="P53:P56" si="13">SUM(Q53:S53)</f>
        <v>5240.1119999999992</v>
      </c>
      <c r="Q53" s="40">
        <f>44.76+18.273+1787.882+222.256+19.294</f>
        <v>2092.4649999999997</v>
      </c>
      <c r="R53" s="40">
        <f>951.393+142.263+20.122+738.47</f>
        <v>1852.248</v>
      </c>
      <c r="S53" s="40">
        <f>470.277+239.33+45.281+106.21+434.301</f>
        <v>1295.3989999999999</v>
      </c>
      <c r="T53" s="39">
        <f t="shared" ref="T53" si="14">SUM(U53:W53)</f>
        <v>3929.1439999999993</v>
      </c>
      <c r="U53" s="41">
        <f>157.07+540.724+235.749</f>
        <v>933.54300000000012</v>
      </c>
      <c r="V53" s="41">
        <f>44.903+7.185+1255.335+264.214+446.486+498.941+4.786+38.138+21.161+126.171+11.868+84.837+29.877+38.743+33.16+89.796</f>
        <v>2995.6009999999992</v>
      </c>
      <c r="W53" s="40"/>
      <c r="Y53" s="69">
        <v>62</v>
      </c>
    </row>
    <row r="54" spans="1:25" ht="49.5" x14ac:dyDescent="0.25">
      <c r="A54" s="77">
        <v>51</v>
      </c>
      <c r="B54" s="66" t="s">
        <v>84</v>
      </c>
      <c r="C54" s="17"/>
      <c r="D54" s="37" t="s">
        <v>20</v>
      </c>
      <c r="E54" s="17">
        <v>19395.400000000001</v>
      </c>
      <c r="F54" s="35">
        <f t="shared" si="10"/>
        <v>15321.327450000001</v>
      </c>
      <c r="G54" s="36">
        <f t="shared" ref="G54:G55" si="15">F54/E54*100</f>
        <v>78.994645379832335</v>
      </c>
      <c r="H54" s="39">
        <f t="shared" ref="H54:H55" si="16">SUM(I54:K54)</f>
        <v>1661.3359499999999</v>
      </c>
      <c r="I54" s="40"/>
      <c r="J54" s="40">
        <f>42.59079+150.56128+597.55286+12.45035+3.40385+73.89369+67.33392</f>
        <v>947.78674000000001</v>
      </c>
      <c r="K54" s="40">
        <f>21.91143+101.44013+113.84484+450.19096+26.16185</f>
        <v>713.5492099999999</v>
      </c>
      <c r="L54" s="39">
        <f t="shared" ref="L54:L55" si="17">SUM(M54:O54)</f>
        <v>5244.3247000000001</v>
      </c>
      <c r="M54" s="40">
        <f>139.28113+57.29233+829.11763+555.1452+286.97051</f>
        <v>1867.8068000000003</v>
      </c>
      <c r="N54" s="41">
        <f>14.10954+68.9563+147.6297+773.69943+56.85065+731.55424+27.93446</f>
        <v>1820.73432</v>
      </c>
      <c r="O54" s="40">
        <f>120.81869+46.96549+24.79363+86.91623+576.04546+19.317+353.4323+16.23912+311.25566</f>
        <v>1555.78358</v>
      </c>
      <c r="P54" s="39">
        <f t="shared" ref="P54:P55" si="18">SUM(Q54:S54)</f>
        <v>8344.2264000000014</v>
      </c>
      <c r="Q54" s="40">
        <f>130.24792+12.01107+136.94486+28.19874+838.84743+601.58484+280.58201+17.6167</f>
        <v>2046.0335700000001</v>
      </c>
      <c r="R54" s="40">
        <f>336.10163+4.87453+1122.70155+744.70723+140.66784+776.52645+1276.9281+26.95065</f>
        <v>4429.4579800000001</v>
      </c>
      <c r="S54" s="40">
        <f>302.82643+80.28018+147.72789+409.53349+101.70883+142.01237+105.04643+544.48401+35.11522</f>
        <v>1868.7348500000001</v>
      </c>
      <c r="T54" s="39">
        <f t="shared" ref="T54:T55" si="19">SUM(U54:W54)</f>
        <v>71.440399999999997</v>
      </c>
      <c r="U54" s="41">
        <f>71.4404</f>
        <v>71.440399999999997</v>
      </c>
      <c r="V54" s="41"/>
      <c r="W54" s="40"/>
      <c r="Y54" s="69">
        <v>59</v>
      </c>
    </row>
    <row r="55" spans="1:25" ht="49.5" x14ac:dyDescent="0.25">
      <c r="A55" s="77">
        <v>52</v>
      </c>
      <c r="B55" s="66" t="s">
        <v>85</v>
      </c>
      <c r="C55" s="17"/>
      <c r="D55" s="37" t="s">
        <v>20</v>
      </c>
      <c r="E55" s="17">
        <v>19080.900000000001</v>
      </c>
      <c r="F55" s="35">
        <f t="shared" si="10"/>
        <v>15108.868469999999</v>
      </c>
      <c r="G55" s="36">
        <f t="shared" si="15"/>
        <v>79.183206609751096</v>
      </c>
      <c r="H55" s="39">
        <f t="shared" si="16"/>
        <v>1977.5463600000003</v>
      </c>
      <c r="I55" s="40"/>
      <c r="J55" s="40">
        <f>57.06008+758.96083+603.33747</f>
        <v>1419.3583800000001</v>
      </c>
      <c r="K55" s="40">
        <f>66.52629+491.66169</f>
        <v>558.18798000000004</v>
      </c>
      <c r="L55" s="39">
        <f t="shared" si="17"/>
        <v>2395.0301899999999</v>
      </c>
      <c r="M55" s="40">
        <f>402.43647+356.50315+375.21756+4.79515+10.59746</f>
        <v>1149.5497899999998</v>
      </c>
      <c r="N55" s="41">
        <f>472.38018+60.99563+136.48645</f>
        <v>669.86225999999999</v>
      </c>
      <c r="O55" s="40">
        <f>17.14746+347.00784+211.46284</f>
        <v>575.61814000000004</v>
      </c>
      <c r="P55" s="39">
        <f t="shared" si="18"/>
        <v>3262.2060000000001</v>
      </c>
      <c r="Q55" s="40">
        <f>331.88841+639.36397+497.80551+115.49297+314.73902</f>
        <v>1899.28988</v>
      </c>
      <c r="R55" s="40">
        <f>5.46145+346.49246+22.26136+5.3576+239.6031</f>
        <v>619.17597000000001</v>
      </c>
      <c r="S55" s="40">
        <f>33.32085+411.52696+264.19086+34.70148</f>
        <v>743.74014999999986</v>
      </c>
      <c r="T55" s="39">
        <f t="shared" si="19"/>
        <v>7474.0859199999995</v>
      </c>
      <c r="U55" s="41">
        <f>131.75139+46.85439</f>
        <v>178.60577999999998</v>
      </c>
      <c r="V55" s="41">
        <f>618.84812+3705.69521+596.59351+1397.4137+306.27218+26.67674+61.96085+358.55446+50.20284+7.77004+165.49249</f>
        <v>7295.4801399999997</v>
      </c>
      <c r="W55" s="40"/>
      <c r="Y55" s="69">
        <v>43</v>
      </c>
    </row>
    <row r="56" spans="1:25" ht="66" x14ac:dyDescent="0.25">
      <c r="A56" s="77">
        <v>53</v>
      </c>
      <c r="B56" s="66" t="s">
        <v>86</v>
      </c>
      <c r="C56" s="17"/>
      <c r="D56" s="37" t="s">
        <v>20</v>
      </c>
      <c r="E56" s="17">
        <v>14015.5</v>
      </c>
      <c r="F56" s="35">
        <f t="shared" si="10"/>
        <v>4652.5252199999995</v>
      </c>
      <c r="G56" s="36">
        <f t="shared" si="1"/>
        <v>33.195570760943241</v>
      </c>
      <c r="H56" s="39">
        <f t="shared" si="11"/>
        <v>0</v>
      </c>
      <c r="I56" s="40"/>
      <c r="J56" s="40"/>
      <c r="K56" s="40"/>
      <c r="L56" s="39">
        <f t="shared" si="12"/>
        <v>0</v>
      </c>
      <c r="M56" s="40"/>
      <c r="N56" s="41"/>
      <c r="O56" s="40"/>
      <c r="P56" s="39">
        <f t="shared" si="13"/>
        <v>1365.6445899999999</v>
      </c>
      <c r="Q56" s="40"/>
      <c r="R56" s="40"/>
      <c r="S56" s="40">
        <f>32.61205+1333.03254</f>
        <v>1365.6445899999999</v>
      </c>
      <c r="T56" s="39">
        <f t="shared" ref="T56" si="20">SUM(U56:W56)</f>
        <v>3286.8806300000001</v>
      </c>
      <c r="U56" s="41">
        <f>229.80304+144.15196+569.29414+16.99592+697.93187</f>
        <v>1658.1769300000001</v>
      </c>
      <c r="V56" s="41">
        <f>1007.18067+621.52303</f>
        <v>1628.7037</v>
      </c>
      <c r="W56" s="40"/>
      <c r="Y56" s="69">
        <v>9</v>
      </c>
    </row>
    <row r="57" spans="1:25" ht="82.5" x14ac:dyDescent="0.25">
      <c r="A57" s="77">
        <v>54</v>
      </c>
      <c r="B57" s="66" t="s">
        <v>90</v>
      </c>
      <c r="C57" s="17"/>
      <c r="D57" s="37" t="s">
        <v>20</v>
      </c>
      <c r="E57" s="17">
        <v>1589.2</v>
      </c>
      <c r="F57" s="35">
        <f t="shared" si="10"/>
        <v>0</v>
      </c>
      <c r="G57" s="36">
        <f t="shared" ref="G57" si="21">F57/E57*100</f>
        <v>0</v>
      </c>
      <c r="H57" s="39">
        <f t="shared" ref="H57" si="22">SUM(I57:K57)</f>
        <v>0</v>
      </c>
      <c r="I57" s="40"/>
      <c r="J57" s="40"/>
      <c r="K57" s="40"/>
      <c r="L57" s="39">
        <f t="shared" ref="L57" si="23">SUM(M57:O57)</f>
        <v>0</v>
      </c>
      <c r="M57" s="40"/>
      <c r="N57" s="41"/>
      <c r="O57" s="40"/>
      <c r="P57" s="39">
        <f t="shared" ref="P57" si="24">SUM(Q57:S57)</f>
        <v>0</v>
      </c>
      <c r="Q57" s="40"/>
      <c r="R57" s="40"/>
      <c r="S57" s="40"/>
      <c r="T57" s="39">
        <f t="shared" ref="T57" si="25">SUM(U57:W57)</f>
        <v>0</v>
      </c>
      <c r="U57" s="41"/>
      <c r="V57" s="41"/>
      <c r="W57" s="40"/>
      <c r="Y57" s="69"/>
    </row>
    <row r="58" spans="1:25" ht="33" x14ac:dyDescent="0.25">
      <c r="A58" s="77">
        <v>55</v>
      </c>
      <c r="B58" s="12" t="s">
        <v>31</v>
      </c>
      <c r="C58" s="59"/>
      <c r="D58" s="37" t="s">
        <v>32</v>
      </c>
      <c r="E58" s="38">
        <v>1</v>
      </c>
      <c r="F58" s="35">
        <f t="shared" si="10"/>
        <v>0</v>
      </c>
      <c r="G58" s="36">
        <f t="shared" si="1"/>
        <v>0</v>
      </c>
      <c r="H58" s="39">
        <f>SUM(I58:K58)</f>
        <v>0</v>
      </c>
      <c r="I58" s="40"/>
      <c r="J58" s="40"/>
      <c r="K58" s="40"/>
      <c r="L58" s="39">
        <f>SUM(M58:O58)</f>
        <v>0</v>
      </c>
      <c r="M58" s="40"/>
      <c r="N58" s="41"/>
      <c r="O58" s="41"/>
      <c r="P58" s="39">
        <f>SUM(Q58:S58)</f>
        <v>0</v>
      </c>
      <c r="Q58" s="40"/>
      <c r="R58" s="40"/>
      <c r="S58" s="40"/>
      <c r="T58" s="39">
        <f>SUM(U58:W58)</f>
        <v>0</v>
      </c>
      <c r="U58" s="41"/>
      <c r="V58" s="41"/>
      <c r="W58" s="40"/>
    </row>
    <row r="59" spans="1:25" ht="16.5" x14ac:dyDescent="0.25">
      <c r="A59" s="60"/>
      <c r="B59" s="65" t="s">
        <v>33</v>
      </c>
      <c r="C59" s="60"/>
      <c r="D59" s="60"/>
      <c r="E59" s="60"/>
      <c r="F59" s="61">
        <f>SUM(F7:F58)</f>
        <v>2313603.9317200002</v>
      </c>
      <c r="G59" s="60"/>
      <c r="H59" s="63">
        <f t="shared" ref="H59:W59" si="26">SUM(H7:H58)</f>
        <v>5151.6523100000004</v>
      </c>
      <c r="I59" s="62">
        <f t="shared" si="26"/>
        <v>0</v>
      </c>
      <c r="J59" s="62">
        <f t="shared" si="26"/>
        <v>3063.2411200000001</v>
      </c>
      <c r="K59" s="62">
        <f t="shared" si="26"/>
        <v>2088.4111899999998</v>
      </c>
      <c r="L59" s="63">
        <f t="shared" si="26"/>
        <v>379079.70218000002</v>
      </c>
      <c r="M59" s="62">
        <f t="shared" si="26"/>
        <v>3542.3695900000002</v>
      </c>
      <c r="N59" s="62">
        <f t="shared" si="26"/>
        <v>100528.50574000001</v>
      </c>
      <c r="O59" s="62">
        <f t="shared" si="26"/>
        <v>275008.82684999995</v>
      </c>
      <c r="P59" s="63">
        <f t="shared" si="26"/>
        <v>1338130.6572000002</v>
      </c>
      <c r="Q59" s="62">
        <f t="shared" si="26"/>
        <v>542369.93643999996</v>
      </c>
      <c r="R59" s="62">
        <f t="shared" si="26"/>
        <v>502327.2589999999</v>
      </c>
      <c r="S59" s="62">
        <f t="shared" si="26"/>
        <v>293433.46175999998</v>
      </c>
      <c r="T59" s="63">
        <f t="shared" si="26"/>
        <v>591241.92003000004</v>
      </c>
      <c r="U59" s="62">
        <f t="shared" si="26"/>
        <v>292128.85327000002</v>
      </c>
      <c r="V59" s="62">
        <f t="shared" si="26"/>
        <v>299113.06676000007</v>
      </c>
      <c r="W59" s="62">
        <f t="shared" si="26"/>
        <v>0</v>
      </c>
    </row>
    <row r="61" spans="1:25" ht="31.5" x14ac:dyDescent="0.25">
      <c r="D61" s="64" t="s">
        <v>39</v>
      </c>
      <c r="E61" s="38">
        <f>SUM(E7:E57)</f>
        <v>2765673.6099999994</v>
      </c>
      <c r="F61" s="35">
        <f>H61+L61+P61+T61</f>
        <v>2313603.9317199998</v>
      </c>
      <c r="G61" s="36">
        <f>F61/E61*100</f>
        <v>83.654265035272914</v>
      </c>
      <c r="H61" s="39">
        <f t="shared" ref="H61:H62" si="27">SUM(I61:K61)</f>
        <v>5151.6523099999995</v>
      </c>
      <c r="I61" s="38">
        <f>SUM(I7:I57)</f>
        <v>0</v>
      </c>
      <c r="J61" s="38">
        <f>SUM(J7:J57)</f>
        <v>3063.2411200000001</v>
      </c>
      <c r="K61" s="38">
        <f>SUM(K7:K57)</f>
        <v>2088.4111899999998</v>
      </c>
      <c r="L61" s="39">
        <f t="shared" ref="L61:L62" si="28">SUM(M61:O61)</f>
        <v>379079.70217999996</v>
      </c>
      <c r="M61" s="38">
        <f>SUM(M7:M57)</f>
        <v>3542.3695900000002</v>
      </c>
      <c r="N61" s="38">
        <f>SUM(N7:N57)</f>
        <v>100528.50574000001</v>
      </c>
      <c r="O61" s="38">
        <f>SUM(O7:O57)</f>
        <v>275008.82684999995</v>
      </c>
      <c r="P61" s="39">
        <f t="shared" ref="P61:P62" si="29">SUM(Q61:S61)</f>
        <v>1338130.6571999998</v>
      </c>
      <c r="Q61" s="38">
        <f>SUM(Q7:Q57)</f>
        <v>542369.93643999996</v>
      </c>
      <c r="R61" s="38">
        <f>SUM(R7:R57)</f>
        <v>502327.2589999999</v>
      </c>
      <c r="S61" s="38">
        <f>SUM(S7:S57)</f>
        <v>293433.46175999998</v>
      </c>
      <c r="T61" s="39">
        <f t="shared" ref="T61:T62" si="30">SUM(U61:W61)</f>
        <v>591241.92003000015</v>
      </c>
      <c r="U61" s="38">
        <f>SUM(U7:U57)</f>
        <v>292128.85327000002</v>
      </c>
      <c r="V61" s="38">
        <f>SUM(V7:V57)</f>
        <v>299113.06676000007</v>
      </c>
      <c r="W61" s="38">
        <f>SUM(W7:W57)</f>
        <v>0</v>
      </c>
    </row>
    <row r="62" spans="1:25" ht="47.25" x14ac:dyDescent="0.25">
      <c r="D62" s="64" t="s">
        <v>34</v>
      </c>
      <c r="E62" s="38">
        <f>E58</f>
        <v>1</v>
      </c>
      <c r="F62" s="35">
        <f>H62+L62+P62+T62</f>
        <v>0</v>
      </c>
      <c r="G62" s="36">
        <v>0</v>
      </c>
      <c r="H62" s="39">
        <f t="shared" si="27"/>
        <v>0</v>
      </c>
      <c r="I62" s="40">
        <f>I58</f>
        <v>0</v>
      </c>
      <c r="J62" s="40">
        <f>J58</f>
        <v>0</v>
      </c>
      <c r="K62" s="40">
        <f>K58</f>
        <v>0</v>
      </c>
      <c r="L62" s="39">
        <f t="shared" si="28"/>
        <v>0</v>
      </c>
      <c r="M62" s="40">
        <f>M58</f>
        <v>0</v>
      </c>
      <c r="N62" s="40">
        <f>N58</f>
        <v>0</v>
      </c>
      <c r="O62" s="40">
        <f>O58</f>
        <v>0</v>
      </c>
      <c r="P62" s="39">
        <f t="shared" si="29"/>
        <v>0</v>
      </c>
      <c r="Q62" s="40">
        <f>Q58</f>
        <v>0</v>
      </c>
      <c r="R62" s="40">
        <f>R58</f>
        <v>0</v>
      </c>
      <c r="S62" s="40">
        <f>S58</f>
        <v>0</v>
      </c>
      <c r="T62" s="39">
        <f t="shared" si="30"/>
        <v>0</v>
      </c>
      <c r="U62" s="40">
        <f>U58</f>
        <v>0</v>
      </c>
      <c r="V62" s="40">
        <f>V58</f>
        <v>0</v>
      </c>
      <c r="W62" s="40">
        <f>W58</f>
        <v>0</v>
      </c>
    </row>
    <row r="64" spans="1:25" ht="15.75" x14ac:dyDescent="0.25">
      <c r="D64" s="64" t="s">
        <v>35</v>
      </c>
      <c r="E64" s="38">
        <f>SUM(E7:E18)+E22+E24+E39+E37+E45+E44+E50</f>
        <v>1376640.31</v>
      </c>
      <c r="F64" s="35">
        <f>H64+L64+P64+T64</f>
        <v>1365195.4454999999</v>
      </c>
      <c r="G64" s="36">
        <f>F64/E64*100</f>
        <v>99.168637993754501</v>
      </c>
      <c r="H64" s="39">
        <f t="shared" ref="H64:H65" si="31">SUM(I64:K64)</f>
        <v>0</v>
      </c>
      <c r="I64" s="38">
        <f>SUM(I7:I18,I22,I24,I37,I39,I44:I45,I50)</f>
        <v>0</v>
      </c>
      <c r="J64" s="38">
        <f>SUM(J7:J18,J22,J24,J37,J39,J44:J45,J50)</f>
        <v>0</v>
      </c>
      <c r="K64" s="38">
        <f>SUM(K7:K18,K22,K24,K37,K39,K44:K45,K50)</f>
        <v>0</v>
      </c>
      <c r="L64" s="39">
        <f t="shared" ref="L64:L65" si="32">SUM(M64:O64)</f>
        <v>342409.67209000001</v>
      </c>
      <c r="M64" s="38">
        <f>SUM(M7:M18,M22,M24,M37,M39,M44:M45,M50)</f>
        <v>0</v>
      </c>
      <c r="N64" s="38">
        <f>SUM(N7:N18,N22,N24,N37,N39,N44:N45,N50)</f>
        <v>97482.215160000007</v>
      </c>
      <c r="O64" s="38">
        <f>SUM(O7:O18,O22,O24,O37,O39,O44:O45,O50)</f>
        <v>244927.45692999999</v>
      </c>
      <c r="P64" s="39">
        <f t="shared" ref="P64:P65" si="33">SUM(Q64:S64)</f>
        <v>932429.32984999986</v>
      </c>
      <c r="Q64" s="38">
        <f>SUM(Q7:Q18,Q22,Q24,Q37,Q39,Q44:Q45,Q50)</f>
        <v>416302.95462999999</v>
      </c>
      <c r="R64" s="38">
        <f>SUM(R7:R18,R22,R24,R37,R39,R44:R45,R50)</f>
        <v>347956.7181099999</v>
      </c>
      <c r="S64" s="38">
        <f>SUM(S7:S18,S22,S24,S37,S39,S44:S45,S50)</f>
        <v>168169.65711</v>
      </c>
      <c r="T64" s="39">
        <f t="shared" ref="T64:T65" si="34">SUM(U64:W64)</f>
        <v>90356.44356</v>
      </c>
      <c r="U64" s="38">
        <f>SUM(U7:U18,U22,U24,U37,U39,U44:U45,U50)</f>
        <v>90356.44356</v>
      </c>
      <c r="V64" s="38">
        <f>SUM(V7:V18,V22,V24,V37,V39,V44:V45,V50)</f>
        <v>0</v>
      </c>
      <c r="W64" s="38">
        <f>SUM(W7:W18,W22,W24,W37,W39,W44:W45,W50)</f>
        <v>0</v>
      </c>
    </row>
    <row r="65" spans="2:23" ht="15.75" x14ac:dyDescent="0.25">
      <c r="D65" s="64" t="s">
        <v>36</v>
      </c>
      <c r="E65" s="38">
        <f>E61-E64</f>
        <v>1389033.2999999993</v>
      </c>
      <c r="F65" s="35">
        <f>H65+L65+P65+T65</f>
        <v>948408.48622000008</v>
      </c>
      <c r="G65" s="36">
        <f>F65/E65*100</f>
        <v>68.278311702102499</v>
      </c>
      <c r="H65" s="39">
        <f t="shared" si="31"/>
        <v>5151.6523099999995</v>
      </c>
      <c r="I65" s="38">
        <f>I61-I64</f>
        <v>0</v>
      </c>
      <c r="J65" s="38">
        <f>J61-J64</f>
        <v>3063.2411200000001</v>
      </c>
      <c r="K65" s="38">
        <f>K61-K64</f>
        <v>2088.4111899999998</v>
      </c>
      <c r="L65" s="39">
        <f t="shared" si="32"/>
        <v>36670.030089999971</v>
      </c>
      <c r="M65" s="38">
        <f>M61-M64</f>
        <v>3542.3695900000002</v>
      </c>
      <c r="N65" s="38">
        <f>N61-N64</f>
        <v>3046.2905800000008</v>
      </c>
      <c r="O65" s="38">
        <f>O61-O64</f>
        <v>30081.369919999968</v>
      </c>
      <c r="P65" s="39">
        <f t="shared" si="33"/>
        <v>405701.32734999992</v>
      </c>
      <c r="Q65" s="38">
        <f>Q61-Q64</f>
        <v>126066.98180999997</v>
      </c>
      <c r="R65" s="38">
        <f>R61-R64</f>
        <v>154370.54089</v>
      </c>
      <c r="S65" s="38">
        <f>S61-S64</f>
        <v>125263.80464999998</v>
      </c>
      <c r="T65" s="39">
        <f t="shared" si="34"/>
        <v>500885.47647000011</v>
      </c>
      <c r="U65" s="38">
        <f>U61-U64</f>
        <v>201772.40971000004</v>
      </c>
      <c r="V65" s="38">
        <f>V61-V64</f>
        <v>299113.06676000007</v>
      </c>
      <c r="W65" s="38">
        <f>W61-W64</f>
        <v>0</v>
      </c>
    </row>
    <row r="66" spans="2:23" x14ac:dyDescent="0.25">
      <c r="S66" t="s">
        <v>94</v>
      </c>
    </row>
    <row r="67" spans="2:23" x14ac:dyDescent="0.25">
      <c r="R67" s="75"/>
    </row>
    <row r="68" spans="2:23" ht="15.75" x14ac:dyDescent="0.25">
      <c r="I68" s="71"/>
      <c r="J68" s="71"/>
      <c r="K68" s="71"/>
      <c r="L68" s="72"/>
      <c r="M68" s="71"/>
      <c r="N68" s="71"/>
      <c r="O68" s="71"/>
      <c r="P68" s="73"/>
      <c r="Q68" s="74"/>
    </row>
    <row r="69" spans="2:23" ht="15.75" x14ac:dyDescent="0.25">
      <c r="B69" s="13" t="s">
        <v>38</v>
      </c>
      <c r="C69" s="4"/>
      <c r="D69" s="4" t="s">
        <v>37</v>
      </c>
      <c r="I69" s="71"/>
      <c r="J69" s="71"/>
      <c r="K69" s="71"/>
      <c r="L69" s="72"/>
      <c r="M69" s="71"/>
      <c r="N69" s="71"/>
      <c r="O69" s="71"/>
      <c r="P69" s="73"/>
      <c r="Q69" s="74"/>
    </row>
  </sheetData>
  <conditionalFormatting sqref="G7:G53 G56 G58">
    <cfRule type="expression" dxfId="3" priority="4">
      <formula>F7-E7&gt;0.1</formula>
    </cfRule>
  </conditionalFormatting>
  <conditionalFormatting sqref="G54">
    <cfRule type="expression" dxfId="2" priority="3">
      <formula>F54-E54&gt;0.1</formula>
    </cfRule>
  </conditionalFormatting>
  <conditionalFormatting sqref="G55">
    <cfRule type="expression" dxfId="1" priority="2">
      <formula>F55-E55&gt;0.1</formula>
    </cfRule>
  </conditionalFormatting>
  <conditionalFormatting sqref="G57">
    <cfRule type="expression" dxfId="0" priority="1">
      <formula>F57-E57&gt;0.1</formula>
    </cfRule>
  </conditionalFormatting>
  <pageMargins left="0.7" right="0.7" top="0.75" bottom="0.75" header="0.3" footer="0.3"/>
  <pageSetup paperSize="8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Было</vt:lpstr>
      <vt:lpstr>Сало</vt:lpstr>
      <vt:lpstr>Было!Заголовки_для_печати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morozova</dc:creator>
  <cp:lastModifiedBy>eremin</cp:lastModifiedBy>
  <cp:revision>0</cp:revision>
  <cp:lastPrinted>2021-04-02T10:44:27Z</cp:lastPrinted>
  <dcterms:created xsi:type="dcterms:W3CDTF">2014-01-14T05:21:09Z</dcterms:created>
  <dcterms:modified xsi:type="dcterms:W3CDTF">2021-12-21T13:28:30Z</dcterms:modified>
  <dc:language>ru-RU</dc:language>
</cp:coreProperties>
</file>