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60" windowWidth="28800" windowHeight="12375" tabRatio="273" firstSheet="0" activeTab="1" autoFilterDateGrouping="1"/>
  </bookViews>
  <sheets>
    <sheet name="Было" sheetId="1" state="visible" r:id="rId1"/>
    <sheet name="Сало" sheetId="2" state="visible" r:id="rId2"/>
  </sheets>
  <definedNames>
    <definedName name="_xlnm.Print_Titles" localSheetId="0">'Было'!$6:$6</definedName>
  </definedNames>
  <calcPr calcId="145621" fullCalcOnLoad="1"/>
</workbook>
</file>

<file path=xl/styles.xml><?xml version="1.0" encoding="utf-8"?>
<styleSheet xmlns="http://schemas.openxmlformats.org/spreadsheetml/2006/main">
  <numFmts count="7">
    <numFmt numFmtId="164" formatCode="0.00000"/>
    <numFmt numFmtId="165" formatCode="0.000"/>
    <numFmt numFmtId="166" formatCode="#,##0.00000"/>
    <numFmt numFmtId="167" formatCode="_-* #,##0.00000_р_._-;\-* #,##0.00000_р_._-;_-* \-?????_р_._-;_-@_-"/>
    <numFmt numFmtId="168" formatCode="#,##0.0"/>
    <numFmt numFmtId="169" formatCode="[$-419]General"/>
    <numFmt numFmtId="170" formatCode="#,##0.00&quot; &quot;[$руб.-419];[Red]&quot;-&quot;#,##0.00&quot; &quot;[$руб.-419]"/>
  </numFmts>
  <fonts count="18">
    <font>
      <name val="Calibri"/>
      <charset val="204"/>
      <family val="2"/>
      <color rgb="FF000000"/>
      <sz val="11"/>
    </font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rgb="FF000000"/>
      <sz val="12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i val="1"/>
      <color rgb="FF000000"/>
      <sz val="12"/>
    </font>
    <font>
      <name val="Times New Roman"/>
      <charset val="204"/>
      <family val="1"/>
      <sz val="13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b val="1"/>
      <color rgb="FF000000"/>
      <sz val="18"/>
    </font>
    <font>
      <name val="Calibri"/>
      <charset val="204"/>
      <family val="2"/>
      <b val="1"/>
      <color rgb="FF000000"/>
      <sz val="18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4"/>
    </font>
    <font>
      <name val="Times New Roman"/>
      <charset val="204"/>
      <family val="1"/>
      <b val="1"/>
      <sz val="13"/>
    </font>
    <font>
      <name val="Arial"/>
      <charset val="204"/>
      <family val="2"/>
      <color rgb="FF000000"/>
      <sz val="12"/>
    </font>
    <font>
      <name val="Arial Cyr"/>
      <charset val="204"/>
      <color rgb="FF000000"/>
      <sz val="10"/>
    </font>
    <font>
      <name val="Calibri"/>
      <charset val="204"/>
      <family val="2"/>
      <color rgb="FF000000"/>
      <sz val="12"/>
    </font>
    <font>
      <name val="Arial"/>
      <charset val="204"/>
      <family val="2"/>
      <b val="1"/>
      <i val="1"/>
      <color rgb="FF000000"/>
      <sz val="16"/>
    </font>
    <font>
      <name val="Arial"/>
      <charset val="204"/>
      <family val="2"/>
      <b val="1"/>
      <i val="1"/>
      <color rgb="FF000000"/>
      <sz val="12"/>
      <u val="single"/>
    </font>
    <font>
      <name val="PT Astra Serif"/>
      <charset val="204"/>
      <family val="1"/>
      <color rgb="FF000000"/>
      <sz val="12"/>
    </font>
  </fonts>
  <fills count="8">
    <fill>
      <patternFill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00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90EE90"/>
        <bgColor rgb="0090EE9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1" fillId="0" borderId="0"/>
    <xf numFmtId="0" fontId="12" fillId="0" borderId="0"/>
    <xf numFmtId="0" fontId="13" fillId="0" borderId="0"/>
    <xf numFmtId="169" fontId="14" fillId="0" borderId="0"/>
    <xf numFmtId="0" fontId="15" fillId="0" borderId="0" applyAlignment="1">
      <alignment horizontal="center"/>
    </xf>
    <xf numFmtId="0" fontId="15" fillId="0" borderId="0" applyAlignment="1">
      <alignment horizontal="center" textRotation="90"/>
    </xf>
    <xf numFmtId="0" fontId="16" fillId="0" borderId="0"/>
    <xf numFmtId="170" fontId="16" fillId="0" borderId="0"/>
    <xf numFmtId="0" fontId="12" fillId="0" borderId="0"/>
    <xf numFmtId="0" fontId="12" fillId="0" borderId="0"/>
  </cellStyleXfs>
  <cellXfs count="114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0" pivotButton="0" quotePrefix="0" xfId="0"/>
    <xf numFmtId="164" fontId="3" fillId="0" borderId="0" applyAlignment="1" pivotButton="0" quotePrefix="0" xfId="0">
      <alignment horizontal="center" wrapText="1"/>
    </xf>
    <xf numFmtId="2" fontId="3" fillId="0" borderId="0" applyAlignment="1" pivotButton="0" quotePrefix="0" xfId="0">
      <alignment horizontal="center" wrapText="1"/>
    </xf>
    <xf numFmtId="164" fontId="4" fillId="0" borderId="0" applyAlignment="1" pivotButton="0" quotePrefix="0" xfId="0">
      <alignment horizontal="center" wrapText="1"/>
    </xf>
    <xf numFmtId="164" fontId="2" fillId="0" borderId="0" applyAlignment="1" pivotButton="0" quotePrefix="0" xfId="0">
      <alignment horizontal="center" wrapText="1"/>
    </xf>
    <xf numFmtId="2" fontId="0" fillId="0" borderId="0" pivotButton="0" quotePrefix="0" xfId="0"/>
    <xf numFmtId="0" fontId="2" fillId="0" borderId="1" pivotButton="0" quotePrefix="0" xfId="0"/>
    <xf numFmtId="0" fontId="0" fillId="0" borderId="0" pivotButton="0" quotePrefix="0" xfId="0"/>
    <xf numFmtId="0" fontId="5" fillId="0" borderId="1" applyAlignment="1" pivotButton="0" quotePrefix="0" xfId="0">
      <alignment horizontal="justify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wrapText="1"/>
    </xf>
    <xf numFmtId="164" fontId="4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165" fontId="5" fillId="0" borderId="1" applyAlignment="1" pivotButton="0" quotePrefix="0" xfId="0">
      <alignment horizontal="center" vertical="center"/>
    </xf>
    <xf numFmtId="166" fontId="2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wrapText="1"/>
    </xf>
    <xf numFmtId="164" fontId="3" fillId="0" borderId="1" applyAlignment="1" pivotButton="0" quotePrefix="0" xfId="0">
      <alignment horizontal="center" wrapText="1"/>
    </xf>
    <xf numFmtId="1" fontId="3" fillId="0" borderId="1" applyAlignment="1" pivotButton="0" quotePrefix="0" xfId="0">
      <alignment horizontal="center" wrapText="1"/>
    </xf>
    <xf numFmtId="166" fontId="2" fillId="0" borderId="0" pivotButton="0" quotePrefix="0" xfId="0"/>
    <xf numFmtId="164" fontId="3" fillId="0" borderId="0" applyAlignment="1" pivotButton="0" quotePrefix="0" xfId="0">
      <alignment horizontal="center" wrapText="1"/>
    </xf>
    <xf numFmtId="166" fontId="0" fillId="0" borderId="0" pivotButton="0" quotePrefix="0" xfId="0"/>
    <xf numFmtId="166" fontId="3" fillId="0" borderId="2" applyAlignment="1" pivotButton="0" quotePrefix="0" xfId="0">
      <alignment horizontal="center" wrapText="1"/>
    </xf>
    <xf numFmtId="1" fontId="3" fillId="0" borderId="2" applyAlignment="1" pivotButton="0" quotePrefix="0" xfId="0">
      <alignment horizontal="center" wrapText="1"/>
    </xf>
    <xf numFmtId="166" fontId="4" fillId="3" borderId="2" applyAlignment="1" pivotButton="0" quotePrefix="0" xfId="0">
      <alignment horizontal="center" wrapText="1"/>
    </xf>
    <xf numFmtId="166" fontId="2" fillId="3" borderId="2" applyAlignment="1" pivotButton="0" quotePrefix="0" xfId="0">
      <alignment horizontal="center" wrapText="1"/>
    </xf>
    <xf numFmtId="164" fontId="2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 wrapText="1"/>
    </xf>
    <xf numFmtId="164" fontId="4" fillId="2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  <xf numFmtId="166" fontId="4" fillId="2" borderId="1" applyAlignment="1" pivotButton="0" quotePrefix="0" xfId="0">
      <alignment horizontal="center" vertical="center" wrapText="1"/>
    </xf>
    <xf numFmtId="167" fontId="2" fillId="0" borderId="1" applyAlignment="1" pivotButton="0" quotePrefix="0" xfId="0">
      <alignment horizontal="center" vertical="center" wrapText="1"/>
    </xf>
    <xf numFmtId="167" fontId="2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wrapText="1"/>
    </xf>
    <xf numFmtId="0" fontId="6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166" fontId="10" fillId="0" borderId="0" pivotButton="0" quotePrefix="0" xfId="0"/>
    <xf numFmtId="165" fontId="2" fillId="0" borderId="1" applyAlignment="1" pivotButton="0" quotePrefix="0" xfId="0">
      <alignment wrapText="1"/>
    </xf>
    <xf numFmtId="166" fontId="2" fillId="0" borderId="1" pivotButton="0" quotePrefix="0" xfId="0"/>
    <xf numFmtId="0" fontId="3" fillId="0" borderId="1" pivotButton="0" quotePrefix="0" xfId="0"/>
    <xf numFmtId="167" fontId="2" fillId="0" borderId="2" applyAlignment="1" pivotButton="0" quotePrefix="0" xfId="0">
      <alignment horizontal="center" vertical="center" wrapText="1"/>
    </xf>
    <xf numFmtId="167" fontId="2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1" pivotButton="0" quotePrefix="0" xfId="0"/>
    <xf numFmtId="164" fontId="3" fillId="4" borderId="1" applyAlignment="1" pivotButton="0" quotePrefix="0" xfId="0">
      <alignment horizontal="center" vertical="center" wrapText="1"/>
    </xf>
    <xf numFmtId="166" fontId="2" fillId="4" borderId="1" applyAlignment="1" pivotButton="0" quotePrefix="0" xfId="0">
      <alignment horizontal="center" vertical="center"/>
    </xf>
    <xf numFmtId="166" fontId="3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justify" vertical="center"/>
    </xf>
    <xf numFmtId="0" fontId="5" fillId="0" borderId="1" applyAlignment="1" pivotButton="0" quotePrefix="0" xfId="0">
      <alignment horizontal="justify" vertical="center" wrapText="1"/>
    </xf>
    <xf numFmtId="0" fontId="5" fillId="5" borderId="1" applyAlignment="1" pivotButton="0" quotePrefix="0" xfId="0">
      <alignment horizontal="justify" vertical="center" wrapText="1"/>
    </xf>
    <xf numFmtId="0" fontId="0" fillId="5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 vertical="center" wrapText="1"/>
    </xf>
    <xf numFmtId="166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8" fontId="17" fillId="0" borderId="1" applyAlignment="1" pivotButton="0" quotePrefix="0" xfId="2">
      <alignment horizontal="center" vertical="center" wrapText="1"/>
    </xf>
    <xf numFmtId="0" fontId="2" fillId="0" borderId="1" applyAlignment="1" pivotButton="0" quotePrefix="0" xfId="0">
      <alignment vertical="center"/>
    </xf>
    <xf numFmtId="167" fontId="2" fillId="6" borderId="1" applyAlignment="1" pivotButton="0" quotePrefix="0" xfId="0">
      <alignment horizontal="center" vertical="center" wrapText="1"/>
    </xf>
    <xf numFmtId="165" fontId="5" fillId="0" borderId="1" applyAlignment="1" pivotButton="0" quotePrefix="0" xfId="0">
      <alignment horizontal="center" vertical="center" wrapText="1"/>
    </xf>
    <xf numFmtId="165" fontId="5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166" fontId="4" fillId="2" borderId="1" applyAlignment="1" pivotButton="0" quotePrefix="0" xfId="0">
      <alignment horizontal="center" vertical="center" wrapText="1"/>
    </xf>
    <xf numFmtId="167" fontId="2" fillId="0" borderId="1" applyAlignment="1" pivotButton="0" quotePrefix="0" xfId="0">
      <alignment horizontal="center" vertical="center" wrapText="1"/>
    </xf>
    <xf numFmtId="167" fontId="2" fillId="0" borderId="2" applyAlignment="1" pivotButton="0" quotePrefix="0" xfId="0">
      <alignment horizontal="center" vertical="center" wrapText="1"/>
    </xf>
    <xf numFmtId="165" fontId="2" fillId="0" borderId="1" applyAlignment="1" pivotButton="0" quotePrefix="0" xfId="0">
      <alignment wrapText="1"/>
    </xf>
    <xf numFmtId="166" fontId="2" fillId="0" borderId="1" pivotButton="0" quotePrefix="0" xfId="0"/>
    <xf numFmtId="166" fontId="3" fillId="0" borderId="2" applyAlignment="1" pivotButton="0" quotePrefix="0" xfId="0">
      <alignment horizontal="center" wrapText="1"/>
    </xf>
    <xf numFmtId="166" fontId="4" fillId="3" borderId="2" applyAlignment="1" pivotButton="0" quotePrefix="0" xfId="0">
      <alignment horizontal="center" wrapText="1"/>
    </xf>
    <xf numFmtId="166" fontId="2" fillId="3" borderId="2" applyAlignment="1" pivotButton="0" quotePrefix="0" xfId="0">
      <alignment horizontal="center" wrapText="1"/>
    </xf>
    <xf numFmtId="166" fontId="2" fillId="0" borderId="0" pivotButton="0" quotePrefix="0" xfId="0"/>
    <xf numFmtId="164" fontId="3" fillId="0" borderId="0" applyAlignment="1" pivotButton="0" quotePrefix="0" xfId="0">
      <alignment horizontal="center" wrapText="1"/>
    </xf>
    <xf numFmtId="164" fontId="4" fillId="0" borderId="0" applyAlignment="1" pivotButton="0" quotePrefix="0" xfId="0">
      <alignment horizontal="center" wrapText="1"/>
    </xf>
    <xf numFmtId="164" fontId="2" fillId="0" borderId="0" applyAlignment="1" pivotButton="0" quotePrefix="0" xfId="0">
      <alignment horizontal="center" wrapText="1"/>
    </xf>
    <xf numFmtId="164" fontId="2" fillId="0" borderId="1" applyAlignment="1" pivotButton="0" quotePrefix="0" xfId="0">
      <alignment horizontal="center" vertical="center"/>
    </xf>
    <xf numFmtId="164" fontId="4" fillId="2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6" fontId="0" fillId="0" borderId="0" pivotButton="0" quotePrefix="0" xfId="0"/>
    <xf numFmtId="164" fontId="2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 wrapText="1"/>
    </xf>
    <xf numFmtId="164" fontId="4" fillId="2" borderId="1" applyAlignment="1" pivotButton="0" quotePrefix="0" xfId="0">
      <alignment horizontal="center" wrapText="1"/>
    </xf>
    <xf numFmtId="164" fontId="4" fillId="0" borderId="1" applyAlignment="1" pivotButton="0" quotePrefix="0" xfId="0">
      <alignment horizontal="center" wrapText="1"/>
    </xf>
    <xf numFmtId="166" fontId="10" fillId="0" borderId="0" pivotButton="0" quotePrefix="0" xfId="0"/>
    <xf numFmtId="0" fontId="2" fillId="7" borderId="1" applyAlignment="1" pivotButton="0" quotePrefix="0" xfId="0">
      <alignment vertical="center"/>
    </xf>
    <xf numFmtId="165" fontId="5" fillId="0" borderId="1" applyAlignment="1" pivotButton="0" quotePrefix="0" xfId="0">
      <alignment horizontal="center" vertical="center" wrapText="1"/>
    </xf>
    <xf numFmtId="167" fontId="2" fillId="6" borderId="1" applyAlignment="1" pivotButton="0" quotePrefix="0" xfId="0">
      <alignment horizontal="center" vertical="center" wrapText="1"/>
    </xf>
    <xf numFmtId="168" fontId="17" fillId="0" borderId="1" applyAlignment="1" pivotButton="0" quotePrefix="0" xfId="2">
      <alignment horizontal="center" vertical="center" wrapText="1"/>
    </xf>
    <xf numFmtId="164" fontId="3" fillId="4" borderId="1" applyAlignment="1" pivotButton="0" quotePrefix="0" xfId="0">
      <alignment horizontal="center" vertical="center" wrapText="1"/>
    </xf>
    <xf numFmtId="166" fontId="3" fillId="4" borderId="1" applyAlignment="1" pivotButton="0" quotePrefix="0" xfId="0">
      <alignment horizontal="center" vertical="center"/>
    </xf>
    <xf numFmtId="166" fontId="2" fillId="4" borderId="1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 wrapText="1"/>
    </xf>
    <xf numFmtId="166" fontId="4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1">
    <cellStyle name="Обычный" xfId="0" builtinId="0"/>
    <cellStyle name="Обычный 5" xfId="1"/>
    <cellStyle name="Обычный 2" xfId="2"/>
    <cellStyle name="Excel Built-in Explanatory Text" xfId="3"/>
    <cellStyle name="Excel Built-in Normal" xfId="4"/>
    <cellStyle name="Heading" xfId="5"/>
    <cellStyle name="Heading1" xfId="6"/>
    <cellStyle name="Result" xfId="7"/>
    <cellStyle name="Result2" xfId="8"/>
    <cellStyle name="Обычный 3" xfId="9"/>
    <cellStyle name="Обычный 4" xfId="10"/>
  </cellStyles>
  <dxfs count="4">
    <dxf>
      <font>
        <color rgb="FFFF0000"/>
      </font>
      <fill>
        <patternFill>
          <bgColor theme="5" tint="0.3999450666829432"/>
        </patternFill>
      </fill>
    </dxf>
    <dxf>
      <font>
        <color rgb="FFFF0000"/>
      </font>
      <fill>
        <patternFill>
          <bgColor theme="5" tint="0.3999450666829432"/>
        </patternFill>
      </fill>
    </dxf>
    <dxf>
      <font>
        <color rgb="FFFF0000"/>
      </font>
      <fill>
        <patternFill>
          <bgColor theme="5" tint="0.3999450666829432"/>
        </patternFill>
      </fill>
    </dxf>
    <dxf>
      <font>
        <color rgb="FFFF0000"/>
      </font>
      <fill>
        <patternFill>
          <bgColor theme="5" tint="0.3999450666829432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4:W24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M8" sqref="M8"/>
    </sheetView>
  </sheetViews>
  <sheetFormatPr baseColWidth="8" defaultRowHeight="15"/>
  <cols>
    <col width="3.85546875" customWidth="1" style="73" min="1" max="1"/>
    <col width="64.28515625" customWidth="1" style="73" min="2" max="2"/>
    <col width="14.5703125" customWidth="1" style="73" min="3" max="3"/>
    <col width="25.42578125" customWidth="1" style="73" min="4" max="4"/>
    <col width="16.85546875" customWidth="1" style="73" min="5" max="5"/>
    <col width="18" customWidth="1" style="73" min="6" max="6"/>
    <col width="10.7109375" customWidth="1" style="73" min="7" max="7"/>
    <col width="14" customWidth="1" style="73" min="8" max="8"/>
    <col width="13.140625" bestFit="1" customWidth="1" style="73" min="9" max="9"/>
    <col width="14.85546875" bestFit="1" customWidth="1" style="73" min="10" max="10"/>
    <col width="13.140625" bestFit="1" customWidth="1" style="73" min="11" max="11"/>
    <col width="17.5703125" customWidth="1" style="73" min="12" max="12"/>
    <col width="14.85546875" bestFit="1" customWidth="1" style="73" min="13" max="13"/>
    <col width="15.140625" customWidth="1" style="73" min="14" max="14"/>
    <col width="16.140625" bestFit="1" customWidth="1" style="73" min="15" max="15"/>
    <col width="16.28515625" customWidth="1" style="73" min="16" max="16"/>
    <col width="16.5703125" customWidth="1" style="73" min="17" max="17"/>
    <col width="15.5703125" customWidth="1" style="73" min="18" max="18"/>
    <col width="16.85546875" customWidth="1" style="73" min="19" max="19"/>
    <col width="17" bestFit="1" customWidth="1" style="73" min="20" max="20"/>
    <col width="16" bestFit="1" customWidth="1" style="73" min="21" max="23"/>
    <col width="8.7109375" customWidth="1" style="73" min="24" max="1023"/>
  </cols>
  <sheetData>
    <row r="4" ht="23.25" customHeight="1" s="73">
      <c r="B4" s="46" t="inlineStr">
        <is>
          <t xml:space="preserve">Выполнение по ремонту за 2018 год </t>
        </is>
      </c>
      <c r="C4" s="46" t="n"/>
      <c r="D4" s="46" t="n"/>
      <c r="E4" s="46" t="n"/>
      <c r="F4" s="47" t="n"/>
    </row>
    <row r="6" ht="69.75" customHeight="1" s="73">
      <c r="C6" s="14" t="inlineStr">
        <is>
          <t>Км/пог.м</t>
        </is>
      </c>
      <c r="D6" s="14" t="inlineStr">
        <is>
          <t>№, дата контракта, подрядчик</t>
        </is>
      </c>
      <c r="E6" s="14" t="inlineStr">
        <is>
          <t>Сумма по гос. заданию/ контракту, тыс. рублей</t>
        </is>
      </c>
      <c r="F6" s="20" t="inlineStr">
        <is>
          <t>ВЫПОЛНЕНИЕ, всего, тыс. руб.</t>
        </is>
      </c>
      <c r="G6" s="20" t="inlineStr">
        <is>
          <t>% выполнения</t>
        </is>
      </c>
      <c r="H6" s="42" t="inlineStr">
        <is>
          <t>1-ый квартал</t>
        </is>
      </c>
      <c r="I6" s="2" t="inlineStr">
        <is>
          <t>январь</t>
        </is>
      </c>
      <c r="J6" s="2" t="inlineStr">
        <is>
          <t>февраль</t>
        </is>
      </c>
      <c r="K6" s="2" t="inlineStr">
        <is>
          <t>март</t>
        </is>
      </c>
      <c r="L6" s="42" t="inlineStr">
        <is>
          <t>2-ой квратал</t>
        </is>
      </c>
      <c r="M6" s="2" t="inlineStr">
        <is>
          <t>апрель</t>
        </is>
      </c>
      <c r="N6" s="2" t="inlineStr">
        <is>
          <t>май</t>
        </is>
      </c>
      <c r="O6" s="2" t="inlineStr">
        <is>
          <t>июнь</t>
        </is>
      </c>
      <c r="P6" s="42" t="inlineStr">
        <is>
          <t>3-ий квартал</t>
        </is>
      </c>
      <c r="Q6" s="2" t="inlineStr">
        <is>
          <t>июль</t>
        </is>
      </c>
      <c r="R6" s="2" t="inlineStr">
        <is>
          <t>август</t>
        </is>
      </c>
      <c r="S6" s="2" t="inlineStr">
        <is>
          <t>сентябрь</t>
        </is>
      </c>
      <c r="T6" s="42" t="inlineStr">
        <is>
          <t>4-ый квартал</t>
        </is>
      </c>
      <c r="U6" s="2" t="inlineStr">
        <is>
          <t>октябрь</t>
        </is>
      </c>
      <c r="V6" s="2" t="inlineStr">
        <is>
          <t>ноябрь</t>
        </is>
      </c>
      <c r="W6" s="2" t="inlineStr">
        <is>
          <t>декабрь</t>
        </is>
      </c>
    </row>
    <row r="7" ht="74.25" customHeight="1" s="73">
      <c r="A7" s="10" t="n">
        <v>1</v>
      </c>
      <c r="B7" s="12" t="inlineStr">
        <is>
          <t>Ремонт моста через р. Упа на км 73+344 автомобильной дороги Тула-Белев в Одоевском районе Тульской области</t>
        </is>
      </c>
      <c r="C7" s="80" t="n"/>
      <c r="D7" s="37" t="inlineStr">
        <is>
          <t xml:space="preserve">ГУ ТО "Тулаавтодор", ГЗ </t>
        </is>
      </c>
      <c r="E7" s="81" t="n"/>
      <c r="F7" s="82">
        <f>H7+L7+P7+T7</f>
        <v/>
      </c>
      <c r="G7" s="36">
        <f>F7/E7*100</f>
        <v/>
      </c>
      <c r="H7" s="83">
        <f>SUM(I7:K7)</f>
        <v/>
      </c>
      <c r="I7" s="84" t="n">
        <v>0</v>
      </c>
      <c r="J7" s="84" t="n">
        <v>0</v>
      </c>
      <c r="K7" s="84" t="n">
        <v>0</v>
      </c>
      <c r="L7" s="83">
        <f>SUM(M7:O7)</f>
        <v/>
      </c>
      <c r="M7" s="84">
        <f>1445.266+3333.962+72.68+515.041+417.029</f>
        <v/>
      </c>
      <c r="N7" s="84" t="n"/>
      <c r="O7" s="84" t="n"/>
      <c r="P7" s="83">
        <f>SUM(Q7:S7)</f>
        <v/>
      </c>
      <c r="Q7" s="84" t="n"/>
      <c r="R7" s="84" t="n"/>
      <c r="S7" s="84" t="n"/>
      <c r="T7" s="83">
        <f>SUM(U7:W7)</f>
        <v/>
      </c>
      <c r="U7" s="84" t="n"/>
      <c r="V7" s="84" t="n"/>
      <c r="W7" s="84" t="n"/>
    </row>
    <row r="8" ht="74.25" customHeight="1" s="73">
      <c r="A8" s="13" t="n">
        <v>2</v>
      </c>
      <c r="B8" s="12" t="inlineStr">
        <is>
          <t>Ремонт автомобильной дороги Богородицк-Товарковский-Куркино - пдъезд к населенному пункту Папоротка км 2+170 - км 4+190 в Богородицком районе Тульской области</t>
        </is>
      </c>
      <c r="C8" s="80" t="n"/>
      <c r="D8" s="37" t="inlineStr">
        <is>
          <t xml:space="preserve">ГУ ТО "Тулаавтодор", ГЗ </t>
        </is>
      </c>
      <c r="E8" s="81" t="n"/>
      <c r="F8" s="82">
        <f>H8+L8+P8+T8</f>
        <v/>
      </c>
      <c r="G8" s="36">
        <f>F8/E8*100</f>
        <v/>
      </c>
      <c r="H8" s="83">
        <f>SUM(I8:K8)</f>
        <v/>
      </c>
      <c r="I8" s="85" t="n">
        <v>0</v>
      </c>
      <c r="J8" s="85" t="n">
        <v>0</v>
      </c>
      <c r="K8" s="85" t="n">
        <v>0</v>
      </c>
      <c r="L8" s="83">
        <f>SUM(M8:O8)</f>
        <v/>
      </c>
      <c r="M8" s="85">
        <f>2341.21483</f>
        <v/>
      </c>
      <c r="N8" s="85" t="n"/>
      <c r="O8" s="85" t="n"/>
      <c r="P8" s="83">
        <f>SUM(Q8:S8)</f>
        <v/>
      </c>
      <c r="Q8" s="85" t="n"/>
      <c r="R8" s="85" t="n"/>
      <c r="S8" s="85" t="n"/>
      <c r="T8" s="83">
        <f>SUM(U8:W8)</f>
        <v/>
      </c>
      <c r="U8" s="85" t="n"/>
      <c r="V8" s="85" t="n"/>
      <c r="W8" s="85" t="n"/>
    </row>
    <row r="9" ht="15.75" customHeight="1" s="73">
      <c r="A9" s="13" t="n"/>
      <c r="B9" s="53" t="inlineStr">
        <is>
          <t>ВСЕГО</t>
        </is>
      </c>
      <c r="C9" s="86" t="n"/>
      <c r="D9" s="10" t="n"/>
      <c r="E9" s="87" t="n"/>
      <c r="F9" s="88">
        <f>SUM(F7:F8)</f>
        <v/>
      </c>
      <c r="G9" s="27" t="n"/>
      <c r="H9" s="89">
        <f>SUM(H7:H8)</f>
        <v/>
      </c>
      <c r="I9" s="90">
        <f>SUM(I7:I8)</f>
        <v/>
      </c>
      <c r="J9" s="90">
        <f>SUM(J7:J8)</f>
        <v/>
      </c>
      <c r="K9" s="90">
        <f>SUM(K7:K8)</f>
        <v/>
      </c>
      <c r="L9" s="89">
        <f>SUM(L7:L8)</f>
        <v/>
      </c>
      <c r="M9" s="90">
        <f>SUM(M7:M8)</f>
        <v/>
      </c>
      <c r="N9" s="90">
        <f>SUM(N7:N8)</f>
        <v/>
      </c>
      <c r="O9" s="90">
        <f>SUM(O7:O8)</f>
        <v/>
      </c>
      <c r="P9" s="89">
        <f>SUM(P7:P7)</f>
        <v/>
      </c>
      <c r="Q9" s="90">
        <f>SUM(Q7:Q7)</f>
        <v/>
      </c>
      <c r="R9" s="90">
        <f>SUM(R7:R7)</f>
        <v/>
      </c>
      <c r="S9" s="90">
        <f>SUM(S7:S7)</f>
        <v/>
      </c>
      <c r="T9" s="89">
        <f>SUM(T7:T7)</f>
        <v/>
      </c>
      <c r="U9" s="90">
        <f>SUM(U7:U7)</f>
        <v/>
      </c>
      <c r="V9" s="90">
        <f>SUM(V7:V7)</f>
        <v/>
      </c>
      <c r="W9" s="90">
        <f>SUM(W7:W7)+#REF!</f>
        <v/>
      </c>
    </row>
    <row r="10" ht="15.75" customHeight="1" s="73">
      <c r="A10" s="13" t="n"/>
      <c r="B10" s="13" t="n"/>
      <c r="C10" s="13" t="n"/>
      <c r="D10" s="13" t="n"/>
      <c r="E10" s="91" t="n"/>
      <c r="F10" s="92" t="n"/>
      <c r="G10" s="6" t="n"/>
      <c r="H10" s="93" t="n"/>
      <c r="I10" s="94" t="n"/>
      <c r="J10" s="94" t="n"/>
      <c r="K10" s="94" t="n"/>
      <c r="L10" s="93" t="n"/>
      <c r="M10" s="94" t="n"/>
      <c r="N10" s="94" t="n"/>
      <c r="O10" s="94" t="n"/>
      <c r="P10" s="93" t="n"/>
      <c r="Q10" s="94" t="n"/>
      <c r="R10" s="94" t="n"/>
      <c r="S10" s="94" t="n"/>
      <c r="T10" s="93" t="n"/>
      <c r="U10" s="94" t="n"/>
      <c r="V10" s="94" t="n"/>
      <c r="W10" s="94" t="n"/>
    </row>
    <row r="11" ht="31.5" customHeight="1" s="73">
      <c r="A11" s="13" t="n"/>
      <c r="B11" s="13" t="n"/>
      <c r="C11" s="13" t="n"/>
      <c r="D11" s="16" t="inlineStr">
        <is>
          <t>в том числе гос. задание
ГУ ТО "Тулаавтодор"</t>
        </is>
      </c>
      <c r="E11" s="95" t="n"/>
      <c r="F11" s="82" t="n"/>
      <c r="G11" s="36" t="n"/>
      <c r="H11" s="96" t="n"/>
      <c r="I11" s="97" t="n"/>
      <c r="J11" s="97" t="n"/>
      <c r="K11" s="97" t="n"/>
      <c r="L11" s="96" t="n"/>
      <c r="M11" s="97" t="n"/>
      <c r="N11" s="97" t="n"/>
      <c r="O11" s="97" t="n"/>
      <c r="P11" s="96" t="n"/>
      <c r="Q11" s="97" t="n"/>
      <c r="R11" s="97" t="n"/>
      <c r="S11" s="97" t="n"/>
      <c r="T11" s="96" t="n"/>
      <c r="U11" s="97" t="n"/>
      <c r="V11" s="97" t="n"/>
      <c r="W11" s="97" t="n"/>
    </row>
    <row r="12" ht="47.25" customHeight="1" s="73">
      <c r="A12" s="13" t="n"/>
      <c r="B12" s="13" t="n"/>
      <c r="C12" s="13" t="n"/>
      <c r="D12" s="16" t="inlineStr">
        <is>
          <t>в том числе гос. задание
ГАУ ТО "Проектная контора"</t>
        </is>
      </c>
      <c r="E12" s="95" t="n"/>
      <c r="F12" s="82" t="n"/>
      <c r="G12" s="36" t="n"/>
      <c r="H12" s="96" t="n"/>
      <c r="I12" s="97" t="n"/>
      <c r="J12" s="97" t="n"/>
      <c r="K12" s="97" t="n"/>
      <c r="L12" s="96" t="n"/>
      <c r="M12" s="97" t="n"/>
      <c r="N12" s="97" t="n"/>
      <c r="O12" s="97" t="n"/>
      <c r="P12" s="96" t="n"/>
      <c r="Q12" s="97" t="n"/>
      <c r="R12" s="97" t="n"/>
      <c r="S12" s="97" t="n"/>
      <c r="T12" s="96" t="n"/>
      <c r="U12" s="97" t="n"/>
      <c r="V12" s="97" t="n"/>
      <c r="W12" s="97" t="n"/>
    </row>
    <row r="13" ht="15.75" customHeight="1" s="73">
      <c r="A13" s="13" t="n"/>
      <c r="B13" s="13" t="n"/>
      <c r="C13" s="13" t="n"/>
      <c r="D13" s="13" t="n"/>
      <c r="E13" s="91" t="n"/>
      <c r="F13" s="92" t="n"/>
      <c r="G13" s="6" t="n"/>
      <c r="H13" s="93" t="n"/>
      <c r="I13" s="94" t="n"/>
      <c r="J13" s="94" t="n"/>
      <c r="K13" s="94" t="n"/>
      <c r="L13" s="93" t="n"/>
      <c r="M13" s="94" t="n"/>
      <c r="N13" s="94" t="n"/>
      <c r="O13" s="94" t="n"/>
      <c r="P13" s="93" t="n"/>
      <c r="Q13" s="94" t="n"/>
      <c r="R13" s="94" t="n"/>
      <c r="S13" s="94" t="n"/>
      <c r="T13" s="93" t="n"/>
      <c r="U13" s="94" t="n"/>
      <c r="V13" s="94" t="n"/>
      <c r="W13" s="94" t="n"/>
    </row>
    <row r="14" ht="17.25" customHeight="1" s="73">
      <c r="E14" s="98" t="n"/>
      <c r="G14" s="9" t="n"/>
    </row>
    <row r="15" ht="15.75" customHeight="1" s="73">
      <c r="A15" s="13" t="n"/>
      <c r="B15" s="13" t="n"/>
      <c r="C15" s="13" t="n"/>
      <c r="D15" s="16" t="inlineStr">
        <is>
          <t>Тулаавтодор - БиКД</t>
        </is>
      </c>
      <c r="E15" s="99" t="n"/>
      <c r="F15" s="100" t="n"/>
      <c r="G15" s="22" t="n"/>
      <c r="H15" s="101" t="n"/>
      <c r="I15" s="102" t="n"/>
      <c r="J15" s="102" t="n"/>
      <c r="K15" s="102" t="n"/>
      <c r="L15" s="101" t="n"/>
      <c r="M15" s="102" t="n"/>
      <c r="N15" s="102" t="n"/>
      <c r="O15" s="102" t="n"/>
      <c r="P15" s="101" t="n"/>
      <c r="Q15" s="102" t="n"/>
      <c r="R15" s="102" t="n"/>
      <c r="S15" s="102" t="n"/>
      <c r="T15" s="101" t="n"/>
      <c r="U15" s="102" t="n"/>
      <c r="V15" s="102" t="n"/>
      <c r="W15" s="102" t="n"/>
    </row>
    <row r="16" ht="15.75" customHeight="1" s="73">
      <c r="A16" s="13" t="n"/>
      <c r="B16" s="13" t="n"/>
      <c r="C16" s="13" t="n"/>
      <c r="D16" s="16" t="inlineStr">
        <is>
          <t>Тулаавтодор - не БиКД</t>
        </is>
      </c>
      <c r="E16" s="99" t="n"/>
      <c r="F16" s="100" t="n"/>
      <c r="G16" s="22" t="n"/>
      <c r="H16" s="101" t="n"/>
      <c r="I16" s="102" t="n"/>
      <c r="J16" s="102" t="n"/>
      <c r="K16" s="102" t="n"/>
      <c r="L16" s="101" t="n"/>
      <c r="M16" s="102" t="n"/>
      <c r="N16" s="102" t="n"/>
      <c r="O16" s="102" t="n"/>
      <c r="P16" s="101" t="n"/>
      <c r="Q16" s="102" t="n"/>
      <c r="R16" s="102" t="n"/>
      <c r="S16" s="102" t="n"/>
      <c r="T16" s="101" t="n"/>
      <c r="U16" s="102" t="n"/>
      <c r="V16" s="102" t="n"/>
      <c r="W16" s="102" t="n"/>
    </row>
    <row r="20" ht="18.75" customHeight="1" s="73">
      <c r="B20" s="48" t="inlineStr">
        <is>
          <t>Начальник экономико-аналитического отдела                                                                  Т.В. Силаева</t>
        </is>
      </c>
      <c r="C20" s="48" t="n"/>
      <c r="D20" s="49" t="n"/>
      <c r="E20" s="103" t="n"/>
      <c r="G20" s="9" t="n"/>
      <c r="H20" s="13" t="n"/>
      <c r="I20" s="13" t="n"/>
    </row>
    <row r="23" ht="15.75" customHeight="1" s="73">
      <c r="B23" s="13" t="n"/>
    </row>
    <row r="24">
      <c r="B24" s="43" t="n"/>
    </row>
  </sheetData>
  <pageMargins left="0.2362204724409449" right="0.1968503937007874" top="0.1574803149606299" bottom="0.1968503937007874" header="0.5118110236220472" footer="0.2755905511811024"/>
  <pageSetup orientation="landscape" paperSize="9" scale="36" fitToHeight="0" firstPageNumber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Y99"/>
  <sheetViews>
    <sheetView tabSelected="1" zoomScale="90" zoomScaleNormal="9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56" sqref="B56"/>
    </sheetView>
  </sheetViews>
  <sheetFormatPr baseColWidth="8" defaultRowHeight="15"/>
  <cols>
    <col width="3.85546875" customWidth="1" style="73" min="1" max="1"/>
    <col width="53" customWidth="1" style="73" min="2" max="2"/>
    <col hidden="1" width="14.7109375" customWidth="1" style="73" min="3" max="3"/>
    <col width="25.42578125" customWidth="1" style="73" min="4" max="4"/>
    <col width="16.85546875" customWidth="1" style="73" min="5" max="5"/>
    <col width="20.140625" customWidth="1" style="73" min="6" max="6"/>
    <col width="10.7109375" customWidth="1" style="73" min="7" max="7"/>
    <col width="14" customWidth="1" style="73" min="8" max="8"/>
    <col hidden="1" width="21.42578125" customWidth="1" style="73" min="9" max="9"/>
    <col hidden="1" width="14.85546875" customWidth="1" style="73" min="10" max="10"/>
    <col hidden="1" width="15" customWidth="1" style="73" min="11" max="11"/>
    <col width="17.5703125" customWidth="1" style="73" min="12" max="12"/>
    <col hidden="1" width="15" customWidth="1" style="73" min="13" max="13"/>
    <col hidden="1" width="17.28515625" customWidth="1" style="73" min="14" max="15"/>
    <col width="16.28515625" customWidth="1" style="73" min="16" max="16"/>
    <col hidden="1" width="17.28515625" customWidth="1" style="73" min="17" max="18"/>
    <col hidden="1" width="16.85546875" customWidth="1" style="73" min="19" max="19"/>
    <col width="17" bestFit="1" customWidth="1" style="73" min="20" max="20"/>
    <col width="17.28515625" customWidth="1" style="73" min="21" max="22"/>
    <col width="16" customWidth="1" style="73" min="23" max="23"/>
    <col width="12.42578125" customWidth="1" style="73" min="25" max="25"/>
  </cols>
  <sheetData>
    <row r="1"/>
    <row r="2">
      <c r="B2" s="68" t="inlineStr">
        <is>
          <t>БКАД</t>
        </is>
      </c>
    </row>
    <row r="3"/>
    <row r="4" ht="23.25" customHeight="1" s="73">
      <c r="B4" s="46" t="inlineStr">
        <is>
          <t xml:space="preserve">Выполнение по ремонту за 2021 год </t>
        </is>
      </c>
      <c r="C4" s="46" t="n"/>
      <c r="D4" s="46" t="n"/>
      <c r="E4" s="46" t="n"/>
      <c r="F4" s="47" t="n"/>
    </row>
    <row r="5"/>
    <row r="6" ht="69.75" customHeight="1" s="73">
      <c r="B6" s="37" t="inlineStr">
        <is>
          <t>Мероприятия</t>
        </is>
      </c>
      <c r="C6" s="37" t="inlineStr">
        <is>
          <t>Км/пог.м</t>
        </is>
      </c>
      <c r="D6" s="37" t="inlineStr">
        <is>
          <t>№, дата контракта, подрядчик</t>
        </is>
      </c>
      <c r="E6" s="37" t="inlineStr">
        <is>
          <t>Сумма по гос. заданию/ контракту, тыс. рублей</t>
        </is>
      </c>
      <c r="F6" s="56" t="inlineStr">
        <is>
          <t>ВЫПОЛНЕНИЕ, всего, тыс. руб.</t>
        </is>
      </c>
      <c r="G6" s="56" t="inlineStr">
        <is>
          <t>% выполнения</t>
        </is>
      </c>
      <c r="H6" s="57" t="inlineStr">
        <is>
          <t>1-ый квартал</t>
        </is>
      </c>
      <c r="I6" s="58" t="inlineStr">
        <is>
          <t>январь</t>
        </is>
      </c>
      <c r="J6" s="58" t="inlineStr">
        <is>
          <t>февраль</t>
        </is>
      </c>
      <c r="K6" s="58" t="inlineStr">
        <is>
          <t>март</t>
        </is>
      </c>
      <c r="L6" s="57" t="inlineStr">
        <is>
          <t>2-ой квратал</t>
        </is>
      </c>
      <c r="M6" s="58" t="inlineStr">
        <is>
          <t>апрель</t>
        </is>
      </c>
      <c r="N6" s="58" t="inlineStr">
        <is>
          <t>май</t>
        </is>
      </c>
      <c r="O6" s="58" t="inlineStr">
        <is>
          <t>июнь</t>
        </is>
      </c>
      <c r="P6" s="57" t="inlineStr">
        <is>
          <t>3-ий квартал</t>
        </is>
      </c>
      <c r="Q6" s="58" t="inlineStr">
        <is>
          <t>июль</t>
        </is>
      </c>
      <c r="R6" s="58" t="inlineStr">
        <is>
          <t>август</t>
        </is>
      </c>
      <c r="S6" s="58" t="inlineStr">
        <is>
          <t>сентябрь</t>
        </is>
      </c>
      <c r="T6" s="57" t="inlineStr">
        <is>
          <t>4-ый квартал</t>
        </is>
      </c>
      <c r="U6" s="58" t="inlineStr">
        <is>
          <t>октябрь</t>
        </is>
      </c>
      <c r="V6" s="58" t="inlineStr">
        <is>
          <t>ноябрь</t>
        </is>
      </c>
      <c r="W6" s="58" t="inlineStr">
        <is>
          <t>декабрь</t>
        </is>
      </c>
      <c r="Y6" s="70" t="inlineStr">
        <is>
          <t>номер последнего акта</t>
        </is>
      </c>
    </row>
    <row r="7" ht="66" customHeight="1" s="73">
      <c r="A7" s="104" t="n">
        <v>1</v>
      </c>
      <c r="B7" s="67" t="inlineStr">
        <is>
          <t>Ремонт участка автомобильной дороги «Алексин - Першино» - подъезд к населенному пункту Сенево км 6+989 - км 9+745 в Алексинском районе</t>
        </is>
      </c>
      <c r="C7" s="80" t="n"/>
      <c r="D7" s="37" t="inlineStr">
        <is>
          <t xml:space="preserve">ГУ ТО "Тулаавтодор", ГЗ </t>
        </is>
      </c>
      <c r="E7" s="80" t="n">
        <v>37998</v>
      </c>
      <c r="F7" s="82">
        <f>H7+L7+P7+T7</f>
        <v/>
      </c>
      <c r="G7" s="36">
        <f>F7/E7*100</f>
        <v/>
      </c>
      <c r="H7" s="83">
        <f>SUM(I7:K7)</f>
        <v/>
      </c>
      <c r="I7" s="84" t="n"/>
      <c r="J7" s="84" t="n"/>
      <c r="K7" s="84" t="n"/>
      <c r="L7" s="83">
        <f>SUM(M7:O7)</f>
        <v/>
      </c>
      <c r="M7" s="84" t="n"/>
      <c r="N7" s="84" t="n"/>
      <c r="O7" s="84" t="n"/>
      <c r="P7" s="83">
        <f>SUM(Q7:S7)</f>
        <v/>
      </c>
      <c r="Q7" s="84" t="n"/>
      <c r="R7" s="84" t="n"/>
      <c r="S7" s="84" t="n"/>
      <c r="T7" s="83">
        <f>SUM(U7:W7)</f>
        <v/>
      </c>
      <c r="U7" s="84">
        <f>25759.96384+12238.03955</f>
        <v/>
      </c>
      <c r="V7" s="84" t="n"/>
      <c r="W7" s="84" t="n"/>
      <c r="Y7" s="69" t="n">
        <v>2</v>
      </c>
    </row>
    <row r="8" ht="49.5" customHeight="1" s="73">
      <c r="A8" s="104" t="n">
        <v>2</v>
      </c>
      <c r="B8" s="67" t="inlineStr">
        <is>
          <t>Ремонт участка автомобильной дороги Новое Клейменово - Ясногорск - Мордвес км 47+835 - км 50+335 в Веневском районе</t>
        </is>
      </c>
      <c r="C8" s="80" t="n"/>
      <c r="D8" s="37" t="inlineStr">
        <is>
          <t xml:space="preserve">ГУ ТО "Тулаавтодор", ГЗ </t>
        </is>
      </c>
      <c r="E8" s="105" t="n">
        <v>33392.21</v>
      </c>
      <c r="F8" s="82">
        <f>H8+L8+P8+T8</f>
        <v/>
      </c>
      <c r="G8" s="36">
        <f>F8/E8*100</f>
        <v/>
      </c>
      <c r="H8" s="83">
        <f>SUM(I8:K8)</f>
        <v/>
      </c>
      <c r="I8" s="84" t="n"/>
      <c r="J8" s="84" t="n"/>
      <c r="K8" s="84" t="n"/>
      <c r="L8" s="83">
        <f>SUM(M8:O8)</f>
        <v/>
      </c>
      <c r="M8" s="84" t="n"/>
      <c r="N8" s="84" t="n"/>
      <c r="O8" s="84">
        <f>32120.00315</f>
        <v/>
      </c>
      <c r="P8" s="83">
        <f>SUM(Q8:S8)</f>
        <v/>
      </c>
      <c r="Q8" s="84">
        <f>1272.20635</f>
        <v/>
      </c>
      <c r="R8" s="84" t="n"/>
      <c r="S8" s="84" t="n"/>
      <c r="T8" s="83">
        <f>SUM(U8:W8)</f>
        <v/>
      </c>
      <c r="U8" s="84" t="n"/>
      <c r="V8" s="84" t="n"/>
      <c r="W8" s="84" t="n"/>
      <c r="Y8" s="69" t="n">
        <v>2</v>
      </c>
    </row>
    <row r="9" ht="49.5" customHeight="1" s="73">
      <c r="A9" s="104" t="n">
        <v>3</v>
      </c>
      <c r="B9" s="67" t="inlineStr">
        <is>
          <t>Ремонт участка автомобильной дороги Дубна - Лобжа           км 0+925 - км 4+690; км 4+710 - км 4+970 в Дубенском районе</t>
        </is>
      </c>
      <c r="C9" s="80" t="n"/>
      <c r="D9" s="37" t="inlineStr">
        <is>
          <t xml:space="preserve">ГУ ТО "Тулаавтодор", ГЗ </t>
        </is>
      </c>
      <c r="E9" s="80" t="n">
        <v>53017.2</v>
      </c>
      <c r="F9" s="82">
        <f>H9+L9+P9+T9</f>
        <v/>
      </c>
      <c r="G9" s="36">
        <f>F9/E9*100</f>
        <v/>
      </c>
      <c r="H9" s="83">
        <f>SUM(I9:K9)</f>
        <v/>
      </c>
      <c r="I9" s="84" t="n"/>
      <c r="J9" s="84" t="n"/>
      <c r="K9" s="84" t="n"/>
      <c r="L9" s="83">
        <f>SUM(M9:O9)</f>
        <v/>
      </c>
      <c r="M9" s="84" t="n"/>
      <c r="N9" s="84" t="n"/>
      <c r="O9" s="84" t="n"/>
      <c r="P9" s="83">
        <f>SUM(Q9:S9)</f>
        <v/>
      </c>
      <c r="Q9" s="84" t="n"/>
      <c r="R9" s="84">
        <f>658.75669</f>
        <v/>
      </c>
      <c r="S9" s="84" t="n"/>
      <c r="T9" s="83">
        <f>SUM(U9:W9)</f>
        <v/>
      </c>
      <c r="U9" s="84">
        <f>25914.698+26443.74217</f>
        <v/>
      </c>
      <c r="V9" s="84" t="n"/>
      <c r="W9" s="84" t="n"/>
      <c r="Y9" s="69" t="n">
        <v>1</v>
      </c>
    </row>
    <row r="10" ht="66" customHeight="1" s="73">
      <c r="A10" s="104" t="n">
        <v>4</v>
      </c>
      <c r="B10" s="67" t="inlineStr">
        <is>
          <t>Ремонт автомобильной дороги «Щекино - Липки - Киреевск» - автоподъезд к населенному пункту Бородино км 0+000 -       км 3+675 в Киреевском районе</t>
        </is>
      </c>
      <c r="C10" s="80" t="n"/>
      <c r="D10" s="37" t="inlineStr">
        <is>
          <t xml:space="preserve">ГУ ТО "Тулаавтодор", ГЗ </t>
        </is>
      </c>
      <c r="E10" s="80" t="n">
        <v>44868.25</v>
      </c>
      <c r="F10" s="82">
        <f>H10+L10+P10+T10</f>
        <v/>
      </c>
      <c r="G10" s="36">
        <f>F10/E10*100</f>
        <v/>
      </c>
      <c r="H10" s="83">
        <f>SUM(I10:K10)</f>
        <v/>
      </c>
      <c r="I10" s="84" t="n"/>
      <c r="J10" s="84" t="n"/>
      <c r="K10" s="84" t="n"/>
      <c r="L10" s="83">
        <f>SUM(M10:O10)</f>
        <v/>
      </c>
      <c r="M10" s="84" t="n"/>
      <c r="N10" s="84" t="n"/>
      <c r="O10" s="84" t="n"/>
      <c r="P10" s="83">
        <f>SUM(Q10:S10)</f>
        <v/>
      </c>
      <c r="Q10" s="84">
        <f>43028.6515+630.70288</f>
        <v/>
      </c>
      <c r="R10" s="84">
        <f>1208.89553</f>
        <v/>
      </c>
      <c r="S10" s="84" t="n"/>
      <c r="T10" s="83">
        <f>SUM(U10:W10)</f>
        <v/>
      </c>
      <c r="U10" s="84" t="n"/>
      <c r="V10" s="84" t="n"/>
      <c r="W10" s="84" t="n"/>
      <c r="Y10" s="69" t="n">
        <v>3</v>
      </c>
    </row>
    <row r="11" ht="49.5" customHeight="1" s="73">
      <c r="A11" s="104" t="n">
        <v>5</v>
      </c>
      <c r="B11" s="67" t="inlineStr">
        <is>
          <t>Ремонт участка автомобильной дороги Тула - Алешня                         км 13+285 - км 22+155 в Ленинском районе</t>
        </is>
      </c>
      <c r="C11" s="80" t="n"/>
      <c r="D11" s="37" t="inlineStr">
        <is>
          <t xml:space="preserve">ГУ ТО "Тулаавтодор", ГЗ </t>
        </is>
      </c>
      <c r="E11" s="80" t="n">
        <v>110516.21</v>
      </c>
      <c r="F11" s="82">
        <f>H11+L11+P11+T11</f>
        <v/>
      </c>
      <c r="G11" s="36">
        <f>F11/E11*100</f>
        <v/>
      </c>
      <c r="H11" s="83">
        <f>SUM(I11:K11)</f>
        <v/>
      </c>
      <c r="I11" s="84" t="n"/>
      <c r="J11" s="84" t="n"/>
      <c r="K11" s="84" t="n"/>
      <c r="L11" s="83">
        <f>SUM(M11:O11)</f>
        <v/>
      </c>
      <c r="M11" s="84" t="n"/>
      <c r="N11" s="84" t="n"/>
      <c r="O11" s="84">
        <f>63358.87713</f>
        <v/>
      </c>
      <c r="P11" s="83">
        <f>SUM(Q11:S11)</f>
        <v/>
      </c>
      <c r="Q11" s="84">
        <f>39481.46805+3437.51219</f>
        <v/>
      </c>
      <c r="R11" s="84">
        <f>4238.35565</f>
        <v/>
      </c>
      <c r="S11" s="106" t="n"/>
      <c r="T11" s="83">
        <f>SUM(U11:W11)</f>
        <v/>
      </c>
      <c r="U11" s="84" t="n"/>
      <c r="V11" s="84" t="n"/>
      <c r="W11" s="84" t="n"/>
      <c r="Y11" s="69" t="n">
        <v>4</v>
      </c>
    </row>
    <row r="12" ht="49.5" customHeight="1" s="73">
      <c r="A12" s="77" t="n">
        <v>6</v>
      </c>
      <c r="B12" s="67" t="inlineStr">
        <is>
          <t>Ремонт автомобильной дороги М-2 «Крым» - Ревякино         км 0+000 - км 4+500 в Ленинском районе</t>
        </is>
      </c>
      <c r="C12" s="80" t="n"/>
      <c r="D12" s="37" t="inlineStr">
        <is>
          <t xml:space="preserve">ГУ ТО "Тулаавтодор", ГЗ </t>
        </is>
      </c>
      <c r="E12" s="80" t="n">
        <v>63033.7</v>
      </c>
      <c r="F12" s="82">
        <f>H12+L12+P12+T12</f>
        <v/>
      </c>
      <c r="G12" s="36">
        <f>F12/E12*100</f>
        <v/>
      </c>
      <c r="H12" s="83">
        <f>SUM(I12:K12)</f>
        <v/>
      </c>
      <c r="I12" s="84" t="n"/>
      <c r="J12" s="84" t="n"/>
      <c r="K12" s="84" t="n"/>
      <c r="L12" s="83">
        <f>SUM(M12:O12)</f>
        <v/>
      </c>
      <c r="M12" s="84" t="n"/>
      <c r="N12" s="84" t="n"/>
      <c r="O12" s="84" t="n"/>
      <c r="P12" s="83">
        <f>SUM(Q12:S12)</f>
        <v/>
      </c>
      <c r="Q12" s="84">
        <f>31194.76663</f>
        <v/>
      </c>
      <c r="R12" s="84" t="n"/>
      <c r="S12" s="106" t="n">
        <v>30597.54519</v>
      </c>
      <c r="T12" s="83">
        <f>SUM(U12:W12)</f>
        <v/>
      </c>
      <c r="U12" s="84" t="n"/>
      <c r="V12" s="84" t="n"/>
      <c r="W12" s="84" t="n"/>
      <c r="Y12" s="69" t="n">
        <v>2</v>
      </c>
    </row>
    <row r="13" ht="66" customHeight="1" s="73">
      <c r="A13" s="104" t="n">
        <v>7</v>
      </c>
      <c r="B13" s="67" t="inlineStr">
        <is>
          <t>Ремонт участков автомобильной дороги Новомосковское кольцо км 8+000 - км 8+829, км 9+344 - км 11+287, км 11+869 - км 15+600 в МО г. Донской</t>
        </is>
      </c>
      <c r="C13" s="80" t="n"/>
      <c r="D13" s="37" t="inlineStr">
        <is>
          <t xml:space="preserve">ГУ ТО "Тулаавтодор", ГЗ </t>
        </is>
      </c>
      <c r="E13" s="80" t="n">
        <v>84965.5</v>
      </c>
      <c r="F13" s="82">
        <f>H13+L13+P13+T13</f>
        <v/>
      </c>
      <c r="G13" s="36">
        <f>F13/E13*100</f>
        <v/>
      </c>
      <c r="H13" s="83">
        <f>SUM(I13:K13)</f>
        <v/>
      </c>
      <c r="I13" s="84" t="n"/>
      <c r="J13" s="84" t="n"/>
      <c r="K13" s="84" t="n"/>
      <c r="L13" s="83">
        <f>SUM(M13:O13)</f>
        <v/>
      </c>
      <c r="M13" s="84" t="n"/>
      <c r="N13" s="84" t="n"/>
      <c r="O13" s="84" t="n"/>
      <c r="P13" s="83">
        <f>SUM(Q13:S13)</f>
        <v/>
      </c>
      <c r="Q13" s="84">
        <f>82689.73091</f>
        <v/>
      </c>
      <c r="R13" s="84">
        <f>2275.76578</f>
        <v/>
      </c>
      <c r="S13" s="106" t="n"/>
      <c r="T13" s="83">
        <f>SUM(U13:W13)</f>
        <v/>
      </c>
      <c r="U13" s="84" t="n"/>
      <c r="V13" s="84" t="n"/>
      <c r="W13" s="84" t="n"/>
      <c r="Y13" s="69" t="n">
        <v>2</v>
      </c>
    </row>
    <row r="14" ht="66" customHeight="1" s="73">
      <c r="A14" s="104" t="n">
        <v>8</v>
      </c>
      <c r="B14" s="67" t="inlineStr">
        <is>
          <t>Ремонт автомобильной дороги «Донской - Богородицк» - автоподъезд к населенному пункту Романцево км 0+000 -     км 6+591 в Узловском районе</t>
        </is>
      </c>
      <c r="C14" s="80" t="n"/>
      <c r="D14" s="37" t="inlineStr">
        <is>
          <t xml:space="preserve">ГУ ТО "Тулаавтодор", ГЗ </t>
        </is>
      </c>
      <c r="E14" s="80" t="n">
        <v>84703.46000000001</v>
      </c>
      <c r="F14" s="82">
        <f>H14+L14+P14+T14</f>
        <v/>
      </c>
      <c r="G14" s="36">
        <f>F14/E14*100</f>
        <v/>
      </c>
      <c r="H14" s="83">
        <f>SUM(I14:K14)</f>
        <v/>
      </c>
      <c r="I14" s="84" t="n"/>
      <c r="J14" s="84" t="n"/>
      <c r="K14" s="84" t="n"/>
      <c r="L14" s="83">
        <f>SUM(M14:O14)</f>
        <v/>
      </c>
      <c r="M14" s="84" t="n"/>
      <c r="N14" s="84" t="n"/>
      <c r="O14" s="84" t="n"/>
      <c r="P14" s="83">
        <f>SUM(Q14:S14)</f>
        <v/>
      </c>
      <c r="Q14" s="84" t="n"/>
      <c r="R14" s="84">
        <f>43865.00277</f>
        <v/>
      </c>
      <c r="S14" s="106" t="n">
        <v>40838.4616</v>
      </c>
      <c r="T14" s="83">
        <f>SUM(U14:W14)</f>
        <v/>
      </c>
      <c r="U14" s="84" t="n"/>
      <c r="V14" s="84" t="n"/>
      <c r="W14" s="84" t="n"/>
      <c r="Y14" s="69" t="n">
        <v>2</v>
      </c>
    </row>
    <row r="15" ht="49.5" customHeight="1" s="73">
      <c r="A15" s="104" t="n">
        <v>9</v>
      </c>
      <c r="B15" s="67" t="inlineStr">
        <is>
          <t>Ремонт участка автомобильной дороги Щекино - Одоев - Арсеньево км 4+398 - км 5+160 в Щекинском районе</t>
        </is>
      </c>
      <c r="C15" s="80" t="n"/>
      <c r="D15" s="37" t="inlineStr">
        <is>
          <t xml:space="preserve">ГУ ТО "Тулаавтодор", ГЗ </t>
        </is>
      </c>
      <c r="E15" s="80" t="n">
        <v>12177.62</v>
      </c>
      <c r="F15" s="82">
        <f>H15+L15+P15+T15</f>
        <v/>
      </c>
      <c r="G15" s="36">
        <f>F15/E15*100</f>
        <v/>
      </c>
      <c r="H15" s="83">
        <f>SUM(I15:K15)</f>
        <v/>
      </c>
      <c r="I15" s="84" t="n"/>
      <c r="J15" s="84" t="n"/>
      <c r="K15" s="84" t="n"/>
      <c r="L15" s="83">
        <f>SUM(M15:O15)</f>
        <v/>
      </c>
      <c r="M15" s="84" t="n"/>
      <c r="N15" s="84" t="n"/>
      <c r="O15" s="84" t="n"/>
      <c r="P15" s="83">
        <f>SUM(Q15:S15)</f>
        <v/>
      </c>
      <c r="Q15" s="84" t="n"/>
      <c r="R15" s="84">
        <f>12177.61672</f>
        <v/>
      </c>
      <c r="S15" s="106" t="n"/>
      <c r="T15" s="83">
        <f>SUM(U15:W15)</f>
        <v/>
      </c>
      <c r="U15" s="84" t="n"/>
      <c r="V15" s="84" t="n"/>
      <c r="W15" s="84" t="n"/>
      <c r="Y15" s="69" t="n">
        <v>1</v>
      </c>
    </row>
    <row r="16" ht="49.5" customHeight="1" s="73">
      <c r="A16" s="104" t="n">
        <v>10</v>
      </c>
      <c r="B16" s="67" t="inlineStr">
        <is>
          <t>Ремонт участков автомобильной дороги Лапотково - Пирогово км 0+000 - км 5+163, км 5+231 - км 20+420 в Щекинском районе</t>
        </is>
      </c>
      <c r="C16" s="80" t="n"/>
      <c r="D16" s="37" t="inlineStr">
        <is>
          <t xml:space="preserve">ГУ ТО "Тулаавтодор", ГЗ </t>
        </is>
      </c>
      <c r="E16" s="80" t="n">
        <v>241347.73</v>
      </c>
      <c r="F16" s="82">
        <f>H16+L16+P16+T16</f>
        <v/>
      </c>
      <c r="G16" s="36">
        <f>F16/E16*100</f>
        <v/>
      </c>
      <c r="H16" s="83">
        <f>SUM(I16:K16)</f>
        <v/>
      </c>
      <c r="I16" s="84" t="n"/>
      <c r="J16" s="84" t="n"/>
      <c r="K16" s="84" t="n"/>
      <c r="L16" s="83">
        <f>SUM(M16:O16)</f>
        <v/>
      </c>
      <c r="M16" s="84" t="n"/>
      <c r="N16" s="84" t="n"/>
      <c r="O16" s="84" t="n"/>
      <c r="P16" s="83">
        <f>SUM(Q16:S16)</f>
        <v/>
      </c>
      <c r="Q16" s="84">
        <f>105901.2093</f>
        <v/>
      </c>
      <c r="R16" s="84">
        <f>64585.65578+38039.31161+27247.90962</f>
        <v/>
      </c>
      <c r="S16" s="106" t="n">
        <v>5573.6442</v>
      </c>
      <c r="T16" s="83">
        <f>SUM(U16:W16)</f>
        <v/>
      </c>
      <c r="U16" s="84" t="n"/>
      <c r="V16" s="84" t="n"/>
      <c r="W16" s="84" t="n"/>
      <c r="Y16" s="69" t="n">
        <v>5</v>
      </c>
    </row>
    <row r="17" ht="49.5" customHeight="1" s="73">
      <c r="A17" s="104" t="n">
        <v>11</v>
      </c>
      <c r="B17" s="67" t="inlineStr">
        <is>
          <t>Ремонт участка автомобильной дороги Егорьевск - Коломна - Кашира - Ненашево км 137+695 - км 148+020 в Ясногорском районе</t>
        </is>
      </c>
      <c r="C17" s="80" t="n"/>
      <c r="D17" s="37" t="inlineStr">
        <is>
          <t xml:space="preserve">ГУ ТО "Тулаавтодор", ГЗ </t>
        </is>
      </c>
      <c r="E17" s="80" t="n">
        <v>139083.56</v>
      </c>
      <c r="F17" s="82">
        <f>H17+L17+P17+T17</f>
        <v/>
      </c>
      <c r="G17" s="36">
        <f>F17/E17*100</f>
        <v/>
      </c>
      <c r="H17" s="83">
        <f>SUM(I17:K17)</f>
        <v/>
      </c>
      <c r="I17" s="84" t="n"/>
      <c r="J17" s="84" t="n"/>
      <c r="K17" s="84" t="n"/>
      <c r="L17" s="83">
        <f>SUM(M17:O17)</f>
        <v/>
      </c>
      <c r="M17" s="84" t="n"/>
      <c r="N17" s="84" t="n"/>
      <c r="O17" s="84" t="n"/>
      <c r="P17" s="83">
        <f>SUM(Q17:S17)</f>
        <v/>
      </c>
      <c r="Q17" s="84">
        <f>30992.33461</f>
        <v/>
      </c>
      <c r="R17" s="84">
        <f>58026.14563</f>
        <v/>
      </c>
      <c r="S17" s="106">
        <f>49736.71782+328.3648</f>
        <v/>
      </c>
      <c r="T17" s="83">
        <f>SUM(U17:W17)</f>
        <v/>
      </c>
      <c r="U17" s="84" t="n"/>
      <c r="V17" s="84" t="n"/>
      <c r="W17" s="84" t="n"/>
      <c r="Y17" s="69" t="n">
        <v>4</v>
      </c>
    </row>
    <row r="18" ht="49.5" customHeight="1" s="73">
      <c r="A18" s="104" t="n">
        <v>14</v>
      </c>
      <c r="B18" s="67" t="inlineStr">
        <is>
          <t>Ремонт автомобильной дороги М-2 «Крым» - Ревякино         км 4+500 - км 9+160 в Ясногорском районе</t>
        </is>
      </c>
      <c r="C18" s="80" t="n"/>
      <c r="D18" s="37" t="inlineStr">
        <is>
          <t xml:space="preserve">ГУ ТО "Тулаавтодор", ГЗ </t>
        </is>
      </c>
      <c r="E18" s="80" t="n">
        <v>63452.57</v>
      </c>
      <c r="F18" s="82">
        <f>H18+L18+P18+T18</f>
        <v/>
      </c>
      <c r="G18" s="36">
        <f>F18/E18*100</f>
        <v/>
      </c>
      <c r="H18" s="83">
        <f>SUM(I18:K18)</f>
        <v/>
      </c>
      <c r="I18" s="84" t="n"/>
      <c r="J18" s="84" t="n"/>
      <c r="K18" s="84" t="n"/>
      <c r="L18" s="83">
        <f>SUM(M18:O18)</f>
        <v/>
      </c>
      <c r="M18" s="84" t="n"/>
      <c r="N18" s="84" t="n"/>
      <c r="O18" s="84" t="n"/>
      <c r="P18" s="83">
        <f>SUM(Q18:S18)</f>
        <v/>
      </c>
      <c r="Q18" s="84">
        <f>30377.97997</f>
        <v/>
      </c>
      <c r="R18" s="84" t="n"/>
      <c r="S18" s="106" t="n">
        <v>33074.58561</v>
      </c>
      <c r="T18" s="83">
        <f>SUM(U18:W18)</f>
        <v/>
      </c>
      <c r="U18" s="84" t="n"/>
      <c r="V18" s="84" t="n"/>
      <c r="W18" s="84" t="n"/>
      <c r="Y18" s="69" t="n">
        <v>2</v>
      </c>
    </row>
    <row r="19" ht="82.5" customHeight="1" s="73">
      <c r="A19" s="104" t="n">
        <v>15</v>
      </c>
      <c r="B19" s="66" t="inlineStr">
        <is>
          <t>Ремонт участков автомобильной дороги «Алексин - Першино - Авангард» - подъезд к населенному пункту Бизюкино-Скороварово км 11+845 - км 15+050, км 15+400 - км 20+900 в Алексинском районе</t>
        </is>
      </c>
      <c r="C19" s="80" t="n"/>
      <c r="D19" s="37" t="inlineStr">
        <is>
          <t xml:space="preserve">ГУ ТО "Тулаавтодор", ГЗ </t>
        </is>
      </c>
      <c r="E19" s="80" t="n">
        <v>89299</v>
      </c>
      <c r="F19" s="82">
        <f>H19+L19+P19+T19</f>
        <v/>
      </c>
      <c r="G19" s="36">
        <f>F19/E19*100</f>
        <v/>
      </c>
      <c r="H19" s="83">
        <f>SUM(I19:K19)</f>
        <v/>
      </c>
      <c r="I19" s="84" t="n"/>
      <c r="J19" s="84" t="n"/>
      <c r="K19" s="84" t="n"/>
      <c r="L19" s="83">
        <f>SUM(M19:O19)</f>
        <v/>
      </c>
      <c r="M19" s="84" t="n"/>
      <c r="N19" s="84" t="n"/>
      <c r="O19" s="84" t="n"/>
      <c r="P19" s="83">
        <f>SUM(Q19:S19)</f>
        <v/>
      </c>
      <c r="Q19" s="84" t="n"/>
      <c r="R19" s="84">
        <f>24714.53201+16718.82254</f>
        <v/>
      </c>
      <c r="S19" s="84" t="n"/>
      <c r="T19" s="83">
        <f>SUM(U19:W19)</f>
        <v/>
      </c>
      <c r="U19" s="84">
        <f>43976.24656</f>
        <v/>
      </c>
      <c r="V19" s="84">
        <f>3889.40118</f>
        <v/>
      </c>
      <c r="W19" s="84" t="n"/>
      <c r="Y19" s="69" t="n">
        <v>4</v>
      </c>
    </row>
    <row r="20" ht="49.5" customHeight="1" s="73">
      <c r="A20" s="104" t="n">
        <v>16</v>
      </c>
      <c r="B20" s="66" t="inlineStr">
        <is>
          <t>Ремонт автомобильной дороги «Арсеньево - Араны» - Прилепы - Хлопово - Стрикино км 0+000 - км 7+071 в Арсеньевском районе</t>
        </is>
      </c>
      <c r="C20" s="80" t="n"/>
      <c r="D20" s="37" t="inlineStr">
        <is>
          <t xml:space="preserve">ГУ ТО "Тулаавтодор", ГЗ </t>
        </is>
      </c>
      <c r="E20" s="80" t="n">
        <v>72219.39999999999</v>
      </c>
      <c r="F20" s="82">
        <f>H20+L20+P20+T20</f>
        <v/>
      </c>
      <c r="G20" s="36">
        <f>F20/E20*100</f>
        <v/>
      </c>
      <c r="H20" s="83">
        <f>SUM(I20:K20)</f>
        <v/>
      </c>
      <c r="I20" s="84" t="n"/>
      <c r="J20" s="84" t="n"/>
      <c r="K20" s="84" t="n"/>
      <c r="L20" s="83">
        <f>SUM(M20:O20)</f>
        <v/>
      </c>
      <c r="M20" s="84" t="n"/>
      <c r="N20" s="84" t="n"/>
      <c r="O20" s="84" t="n"/>
      <c r="P20" s="83">
        <f>SUM(Q20:S20)</f>
        <v/>
      </c>
      <c r="Q20" s="84" t="n"/>
      <c r="R20" s="84">
        <f>72219.35264</f>
        <v/>
      </c>
      <c r="S20" s="84" t="n"/>
      <c r="T20" s="83">
        <f>SUM(U20:W20)</f>
        <v/>
      </c>
      <c r="U20" s="84" t="n"/>
      <c r="V20" s="84" t="n"/>
      <c r="W20" s="84" t="n"/>
      <c r="Y20" s="69" t="n">
        <v>1</v>
      </c>
    </row>
    <row r="21" ht="66" customHeight="1" s="73">
      <c r="A21" s="104" t="n">
        <v>17</v>
      </c>
      <c r="B21" s="66" t="inlineStr">
        <is>
          <t>Ремонт автомобильной дороги Автоподъезд к населенному пункту Мишенское от автодороги Белев - Ровно - Слобода - Зайцево км 0+000 - км 2+702 в Белевском районе</t>
        </is>
      </c>
      <c r="C21" s="80" t="n"/>
      <c r="D21" s="37" t="inlineStr">
        <is>
          <t xml:space="preserve">ГУ ТО "Тулаавтодор", ГЗ </t>
        </is>
      </c>
      <c r="E21" s="80" t="n">
        <v>22513.21</v>
      </c>
      <c r="F21" s="82">
        <f>H21+L21+P21+T21</f>
        <v/>
      </c>
      <c r="G21" s="36">
        <f>F21/E21*100</f>
        <v/>
      </c>
      <c r="H21" s="83">
        <f>SUM(I21:K21)</f>
        <v/>
      </c>
      <c r="I21" s="84" t="n"/>
      <c r="J21" s="84" t="n"/>
      <c r="K21" s="84" t="n"/>
      <c r="L21" s="83">
        <f>SUM(M21:O21)</f>
        <v/>
      </c>
      <c r="M21" s="84" t="n"/>
      <c r="N21" s="84" t="n"/>
      <c r="O21" s="84" t="n"/>
      <c r="P21" s="83">
        <f>SUM(Q21:S21)</f>
        <v/>
      </c>
      <c r="Q21" s="84" t="n"/>
      <c r="R21" s="84" t="n"/>
      <c r="S21" s="84" t="n">
        <v>22513.20624</v>
      </c>
      <c r="T21" s="83">
        <f>SUM(U21:W21)</f>
        <v/>
      </c>
      <c r="U21" s="84" t="n"/>
      <c r="V21" s="84" t="n"/>
      <c r="W21" s="84" t="n"/>
      <c r="Y21" s="69" t="n"/>
    </row>
    <row r="22" ht="49.5" customHeight="1" s="73">
      <c r="A22" s="104" t="n">
        <v>18</v>
      </c>
      <c r="B22" s="67" t="inlineStr">
        <is>
          <t>Ремонт участка автомобильной дороги «Белев - Чернь» - Мценск км 21+700 - км 25+150 в Белевском районе</t>
        </is>
      </c>
      <c r="C22" s="80" t="n"/>
      <c r="D22" s="37" t="inlineStr">
        <is>
          <t xml:space="preserve">ГУ ТО "Тулаавтодор", ГЗ </t>
        </is>
      </c>
      <c r="E22" s="80" t="n">
        <v>34578.15</v>
      </c>
      <c r="F22" s="82">
        <f>H22+L22+P22+T22</f>
        <v/>
      </c>
      <c r="G22" s="36">
        <f>F22/E22*100</f>
        <v/>
      </c>
      <c r="H22" s="83">
        <f>SUM(I22:K22)</f>
        <v/>
      </c>
      <c r="I22" s="84" t="n"/>
      <c r="J22" s="84" t="n"/>
      <c r="K22" s="84" t="n"/>
      <c r="L22" s="83">
        <f>SUM(M22:O22)</f>
        <v/>
      </c>
      <c r="M22" s="84" t="n"/>
      <c r="N22" s="84">
        <f>32791.88574</f>
        <v/>
      </c>
      <c r="O22" s="84">
        <f>1786.26279</f>
        <v/>
      </c>
      <c r="P22" s="83">
        <f>SUM(Q22:S22)</f>
        <v/>
      </c>
      <c r="Q22" s="84" t="n"/>
      <c r="R22" s="84" t="n"/>
      <c r="S22" s="84" t="n"/>
      <c r="T22" s="83">
        <f>SUM(U22:W22)</f>
        <v/>
      </c>
      <c r="U22" s="84" t="n"/>
      <c r="V22" s="84" t="n"/>
      <c r="W22" s="84" t="n"/>
      <c r="Y22" s="69" t="n">
        <v>2</v>
      </c>
    </row>
    <row r="23" ht="66" customHeight="1" s="73">
      <c r="A23" s="104" t="n">
        <v>19</v>
      </c>
      <c r="B23" s="66" t="inlineStr">
        <is>
          <t>Ремонт автомобильной дороги Автоподъезд к населенному пункту Зайцево от автодороги Калуга - Белев - Орел км 0+000 - км 9+126 в Белевском районе</t>
        </is>
      </c>
      <c r="C23" s="80" t="n"/>
      <c r="D23" s="37" t="inlineStr">
        <is>
          <t xml:space="preserve">ГУ ТО "Тулаавтодор", ГЗ </t>
        </is>
      </c>
      <c r="E23" s="80" t="n">
        <v>87954.64</v>
      </c>
      <c r="F23" s="82">
        <f>H23+L23+P23+T23</f>
        <v/>
      </c>
      <c r="G23" s="36">
        <f>F23/E23*100</f>
        <v/>
      </c>
      <c r="H23" s="83">
        <f>SUM(I23:K23)</f>
        <v/>
      </c>
      <c r="I23" s="84" t="n"/>
      <c r="J23" s="84" t="n"/>
      <c r="K23" s="84" t="n"/>
      <c r="L23" s="83">
        <f>SUM(M23:O23)</f>
        <v/>
      </c>
      <c r="M23" s="84" t="n"/>
      <c r="N23" s="84" t="n"/>
      <c r="O23" s="84" t="n"/>
      <c r="P23" s="83">
        <f>SUM(Q23:S23)</f>
        <v/>
      </c>
      <c r="Q23" s="84" t="n"/>
      <c r="R23" s="84" t="n"/>
      <c r="S23" s="84" t="n"/>
      <c r="T23" s="83">
        <f>SUM(U23:W23)</f>
        <v/>
      </c>
      <c r="U23" s="84" t="n"/>
      <c r="V23" s="84">
        <f>87954.63812</f>
        <v/>
      </c>
      <c r="W23" s="84" t="n"/>
      <c r="Y23" s="69" t="n">
        <v>1</v>
      </c>
    </row>
    <row r="24" ht="66" customHeight="1" s="73">
      <c r="A24" s="104" t="n">
        <v>20</v>
      </c>
      <c r="B24" s="67" t="inlineStr">
        <is>
          <t>Ремонт участка автомобильной дороги «Богородицк - Товарковский - Куркино» - Бахметьево - Гагарино - Каменка км 0+000 -  км 9+300 в Богородицком районе</t>
        </is>
      </c>
      <c r="C24" s="80" t="n"/>
      <c r="D24" s="37" t="inlineStr">
        <is>
          <t xml:space="preserve">ГУ ТО "Тулаавтодор", ГЗ </t>
        </is>
      </c>
      <c r="E24" s="80" t="n">
        <v>95397.75</v>
      </c>
      <c r="F24" s="82">
        <f>H24+L24+P24+T24</f>
        <v/>
      </c>
      <c r="G24" s="36">
        <f>F24/E24*100</f>
        <v/>
      </c>
      <c r="H24" s="83">
        <f>SUM(I24:K24)</f>
        <v/>
      </c>
      <c r="I24" s="84" t="n"/>
      <c r="J24" s="84" t="n"/>
      <c r="K24" s="84" t="n"/>
      <c r="L24" s="83">
        <f>SUM(M24:O24)</f>
        <v/>
      </c>
      <c r="M24" s="84" t="n"/>
      <c r="N24" s="84">
        <f>4832.26335</f>
        <v/>
      </c>
      <c r="O24" s="84">
        <f>13177.04566</f>
        <v/>
      </c>
      <c r="P24" s="83">
        <f>SUM(Q24:S24)</f>
        <v/>
      </c>
      <c r="Q24" s="84">
        <f>34720.84716</f>
        <v/>
      </c>
      <c r="R24" s="84">
        <f>37340.89679</f>
        <v/>
      </c>
      <c r="S24" s="106" t="n">
        <v>5326.69234</v>
      </c>
      <c r="T24" s="83">
        <f>SUM(U24:W24)</f>
        <v/>
      </c>
      <c r="U24" s="84" t="n"/>
      <c r="V24" s="84" t="n"/>
      <c r="W24" s="84" t="n"/>
      <c r="Y24" s="69" t="n">
        <v>5</v>
      </c>
    </row>
    <row r="25" ht="49.5" customHeight="1" s="73">
      <c r="A25" s="104" t="n">
        <v>21</v>
      </c>
      <c r="B25" s="66" t="inlineStr">
        <is>
          <t>Ремонт участка автомобильной дороги «Дон» - Иевлево - Черняевка - Мшищи - Ломовка км 15+750 - км 27+415 в Богородицком районе</t>
        </is>
      </c>
      <c r="C25" s="80" t="n"/>
      <c r="D25" s="37" t="inlineStr">
        <is>
          <t xml:space="preserve">ГУ ТО "Тулаавтодор", ГЗ </t>
        </is>
      </c>
      <c r="E25" s="80" t="n">
        <v>114636.9</v>
      </c>
      <c r="F25" s="82">
        <f>H25+L25+P25+T25</f>
        <v/>
      </c>
      <c r="G25" s="36">
        <f>F25/E25*100</f>
        <v/>
      </c>
      <c r="H25" s="83">
        <f>SUM(I25:K25)</f>
        <v/>
      </c>
      <c r="I25" s="84" t="n"/>
      <c r="J25" s="84" t="n"/>
      <c r="K25" s="84" t="n"/>
      <c r="L25" s="83">
        <f>SUM(M25:O25)</f>
        <v/>
      </c>
      <c r="M25" s="84" t="n"/>
      <c r="N25" s="84" t="n"/>
      <c r="O25" s="84" t="n"/>
      <c r="P25" s="83">
        <f>SUM(Q25:S25)</f>
        <v/>
      </c>
      <c r="Q25" s="84" t="n"/>
      <c r="R25" s="84" t="n"/>
      <c r="S25" s="84" t="n"/>
      <c r="T25" s="83">
        <f>SUM(U25:W25)</f>
        <v/>
      </c>
      <c r="U25" s="84">
        <f>65239.2025</f>
        <v/>
      </c>
      <c r="V25" s="84" t="n"/>
      <c r="W25" s="84" t="n"/>
      <c r="Y25" s="69" t="n">
        <v>1</v>
      </c>
    </row>
    <row r="26" ht="49.5" customHeight="1" s="73">
      <c r="A26" s="104" t="n">
        <v>22</v>
      </c>
      <c r="B26" s="66" t="inlineStr">
        <is>
          <t>Ремонт участка автомобильной дороги Иевлево - Горки   км 0+000 - км 2+000 в Богородицком районе</t>
        </is>
      </c>
      <c r="C26" s="80" t="n"/>
      <c r="D26" s="37" t="inlineStr">
        <is>
          <t xml:space="preserve">ГУ ТО "Тулаавтодор", ГЗ </t>
        </is>
      </c>
      <c r="E26" s="80" t="n">
        <v>21012.23</v>
      </c>
      <c r="F26" s="82">
        <f>H26+L26+P26+T26</f>
        <v/>
      </c>
      <c r="G26" s="36">
        <f>F26/E26*100</f>
        <v/>
      </c>
      <c r="H26" s="83">
        <f>SUM(I26:K26)</f>
        <v/>
      </c>
      <c r="I26" s="84" t="n"/>
      <c r="J26" s="84" t="n"/>
      <c r="K26" s="84" t="n"/>
      <c r="L26" s="83">
        <f>SUM(M26:O26)</f>
        <v/>
      </c>
      <c r="M26" s="84" t="n"/>
      <c r="N26" s="84" t="n"/>
      <c r="O26" s="84" t="n"/>
      <c r="P26" s="83">
        <f>SUM(Q26:S26)</f>
        <v/>
      </c>
      <c r="Q26" s="84" t="n"/>
      <c r="R26" s="84" t="n"/>
      <c r="S26" s="84" t="n">
        <v>21012.23095</v>
      </c>
      <c r="T26" s="83">
        <f>SUM(U26:W26)</f>
        <v/>
      </c>
      <c r="U26" s="84" t="n"/>
      <c r="V26" s="84" t="n"/>
      <c r="W26" s="84" t="n"/>
      <c r="Y26" s="69" t="n"/>
    </row>
    <row r="27" ht="49.5" customHeight="1" s="73">
      <c r="A27" s="104" t="n">
        <v>23</v>
      </c>
      <c r="B27" s="66" t="inlineStr">
        <is>
          <t>Ремонт автомобильной дороги Богородицк - Епифань - поселок Дачный км 0+000 - км 2+047 в Богородицком районе</t>
        </is>
      </c>
      <c r="C27" s="80" t="n"/>
      <c r="D27" s="37" t="inlineStr">
        <is>
          <t xml:space="preserve">ГУ ТО "Тулаавтодор", ГЗ </t>
        </is>
      </c>
      <c r="E27" s="80" t="n">
        <v>19406.35</v>
      </c>
      <c r="F27" s="82">
        <f>H27+L27+P27+T27</f>
        <v/>
      </c>
      <c r="G27" s="36">
        <f>F27/E27*100</f>
        <v/>
      </c>
      <c r="H27" s="83">
        <f>SUM(I27:K27)</f>
        <v/>
      </c>
      <c r="I27" s="84" t="n"/>
      <c r="J27" s="84" t="n"/>
      <c r="K27" s="84" t="n"/>
      <c r="L27" s="83">
        <f>SUM(M27:O27)</f>
        <v/>
      </c>
      <c r="M27" s="84" t="n"/>
      <c r="N27" s="84" t="n"/>
      <c r="O27" s="84" t="n"/>
      <c r="P27" s="83">
        <f>SUM(Q27:S27)</f>
        <v/>
      </c>
      <c r="Q27" s="84" t="n"/>
      <c r="R27" s="84" t="n"/>
      <c r="S27" s="84" t="n"/>
      <c r="T27" s="83">
        <f>SUM(U27:W27)</f>
        <v/>
      </c>
      <c r="U27" s="84" t="n"/>
      <c r="V27" s="84">
        <f>19406.34639</f>
        <v/>
      </c>
      <c r="W27" s="84" t="n"/>
      <c r="Y27" s="69" t="n">
        <v>1</v>
      </c>
    </row>
    <row r="28" ht="49.5" customHeight="1" s="73">
      <c r="A28" s="104" t="n">
        <v>25</v>
      </c>
      <c r="B28" s="66" t="inlineStr">
        <is>
          <t>Ремонт автомобильной дороги «Венев - Серебряные Пруды» - Большие Заломы  км 0+000 - км 2+800 в Веневском районе</t>
        </is>
      </c>
      <c r="C28" s="80" t="n"/>
      <c r="D28" s="37" t="inlineStr">
        <is>
          <t xml:space="preserve">ГУ ТО "Тулаавтодор", ГЗ </t>
        </is>
      </c>
      <c r="E28" s="80" t="n">
        <v>27187.49</v>
      </c>
      <c r="F28" s="82">
        <f>H28+L28+P28+T28</f>
        <v/>
      </c>
      <c r="G28" s="36">
        <f>F28/E28*100</f>
        <v/>
      </c>
      <c r="H28" s="83">
        <f>SUM(I28:K28)</f>
        <v/>
      </c>
      <c r="I28" s="84" t="n"/>
      <c r="J28" s="84" t="n"/>
      <c r="K28" s="84" t="n"/>
      <c r="L28" s="83">
        <f>SUM(M28:O28)</f>
        <v/>
      </c>
      <c r="M28" s="84" t="n"/>
      <c r="N28" s="84" t="n"/>
      <c r="O28" s="84" t="n"/>
      <c r="P28" s="83">
        <f>SUM(Q28:S28)</f>
        <v/>
      </c>
      <c r="Q28" s="84" t="n"/>
      <c r="R28" s="84">
        <f>25628.48838</f>
        <v/>
      </c>
      <c r="S28" s="84" t="n"/>
      <c r="T28" s="83">
        <f>SUM(U28:W28)</f>
        <v/>
      </c>
      <c r="U28" s="84">
        <f>1558.99901</f>
        <v/>
      </c>
      <c r="V28" s="84" t="n"/>
      <c r="W28" s="84" t="n"/>
      <c r="Y28" s="69" t="n">
        <v>2</v>
      </c>
    </row>
    <row r="29" ht="66" customHeight="1" s="73">
      <c r="A29" s="104" t="n">
        <v>26</v>
      </c>
      <c r="B29" s="66" t="inlineStr">
        <is>
          <t>Ремонт участка автомобильной дороги Венев – Матвеевка в районе железнодорожного переезда на км 5+550 (перегон Ожерелье – Елец 170 км ПК 5) в Веневском районе Тульской области</t>
        </is>
      </c>
      <c r="C29" s="80" t="n"/>
      <c r="D29" s="37" t="inlineStr">
        <is>
          <t xml:space="preserve">ГУ ТО "Тулаавтодор", ГЗ </t>
        </is>
      </c>
      <c r="E29" s="80">
        <f>22186.7-1061</f>
        <v/>
      </c>
      <c r="F29" s="82">
        <f>H29+L29+P29+T29</f>
        <v/>
      </c>
      <c r="G29" s="36">
        <f>F29/E29*100</f>
        <v/>
      </c>
      <c r="H29" s="83">
        <f>SUM(I29:K29)</f>
        <v/>
      </c>
      <c r="I29" s="84" t="n"/>
      <c r="J29" s="84" t="n"/>
      <c r="K29" s="84" t="n"/>
      <c r="L29" s="83">
        <f>SUM(M29:O29)</f>
        <v/>
      </c>
      <c r="M29" s="84" t="n"/>
      <c r="N29" s="84" t="n"/>
      <c r="O29" s="84" t="n"/>
      <c r="P29" s="83">
        <f>SUM(Q29:S29)</f>
        <v/>
      </c>
      <c r="Q29" s="84" t="n"/>
      <c r="R29" s="84" t="n"/>
      <c r="S29" s="84">
        <f>4118.48624+24.62536+140.6139</f>
        <v/>
      </c>
      <c r="T29" s="83">
        <f>SUM(U29:W29)</f>
        <v/>
      </c>
      <c r="U29" s="84" t="n"/>
      <c r="V29" s="84">
        <f>46.50697+937.16162+641.08123+4492.37047+3788.94225</f>
        <v/>
      </c>
      <c r="W29" s="84" t="n"/>
      <c r="Y29" s="69" t="n">
        <v>8</v>
      </c>
    </row>
    <row r="30" ht="49.5" customHeight="1" s="73">
      <c r="A30" s="104" t="n">
        <v>27</v>
      </c>
      <c r="B30" s="66" t="inlineStr">
        <is>
          <t>Ремонт участка автомобильной дороги Турдей - Кресты  км 4+070 - км 5+070 в Воловском районе</t>
        </is>
      </c>
      <c r="C30" s="80" t="n"/>
      <c r="D30" s="37" t="inlineStr">
        <is>
          <t xml:space="preserve">ГУ ТО "Тулаавтодор", ГЗ </t>
        </is>
      </c>
      <c r="E30" s="80" t="n">
        <v>12080.8</v>
      </c>
      <c r="F30" s="82">
        <f>H30+L30+P30+T30</f>
        <v/>
      </c>
      <c r="G30" s="36">
        <f>F30/E30*100</f>
        <v/>
      </c>
      <c r="H30" s="83">
        <f>SUM(I30:K30)</f>
        <v/>
      </c>
      <c r="I30" s="84" t="n"/>
      <c r="J30" s="84" t="n"/>
      <c r="K30" s="84" t="n"/>
      <c r="L30" s="83">
        <f>SUM(M30:O30)</f>
        <v/>
      </c>
      <c r="M30" s="84" t="n"/>
      <c r="N30" s="84" t="n"/>
      <c r="O30" s="84" t="n"/>
      <c r="P30" s="83">
        <f>SUM(Q30:S30)</f>
        <v/>
      </c>
      <c r="Q30" s="84" t="n"/>
      <c r="R30" s="84" t="n"/>
      <c r="S30" s="84" t="n"/>
      <c r="T30" s="83">
        <f>SUM(U30:W30)</f>
        <v/>
      </c>
      <c r="U30" s="84" t="n"/>
      <c r="V30" s="84">
        <f>7618.54797</f>
        <v/>
      </c>
      <c r="W30" s="84" t="n"/>
      <c r="Y30" s="69" t="n">
        <v>1</v>
      </c>
    </row>
    <row r="31" ht="49.5" customHeight="1" s="73">
      <c r="A31" s="104" t="n">
        <v>28</v>
      </c>
      <c r="B31" s="66" t="inlineStr">
        <is>
          <t>Ремонт автомобильной дороги «Дон» -  подъезд к населенному пункту Борятино км 0+100 - км 0+930 в Воловском районе</t>
        </is>
      </c>
      <c r="C31" s="80" t="n"/>
      <c r="D31" s="37" t="inlineStr">
        <is>
          <t xml:space="preserve">ГУ ТО "Тулаавтодор", ГЗ </t>
        </is>
      </c>
      <c r="E31" s="80" t="n">
        <v>11525.5</v>
      </c>
      <c r="F31" s="82">
        <f>H31+L31+P31+T31</f>
        <v/>
      </c>
      <c r="G31" s="36">
        <f>F31/E31*100</f>
        <v/>
      </c>
      <c r="H31" s="83">
        <f>SUM(I31:K31)</f>
        <v/>
      </c>
      <c r="I31" s="84" t="n"/>
      <c r="J31" s="84" t="n"/>
      <c r="K31" s="84" t="n"/>
      <c r="L31" s="83">
        <f>SUM(M31:O31)</f>
        <v/>
      </c>
      <c r="M31" s="84" t="n"/>
      <c r="N31" s="84" t="n"/>
      <c r="O31" s="84">
        <f>5808.63885</f>
        <v/>
      </c>
      <c r="P31" s="83">
        <f>SUM(Q31:S31)</f>
        <v/>
      </c>
      <c r="Q31" s="84">
        <f>891.82571</f>
        <v/>
      </c>
      <c r="R31" s="84">
        <f>779.79346</f>
        <v/>
      </c>
      <c r="S31" s="84" t="n"/>
      <c r="T31" s="83">
        <f>SUM(U31:W31)</f>
        <v/>
      </c>
      <c r="U31" s="84" t="n"/>
      <c r="V31" s="84">
        <f>3789.0351</f>
        <v/>
      </c>
      <c r="W31" s="84" t="n"/>
      <c r="Y31" s="69" t="n">
        <v>4</v>
      </c>
    </row>
    <row r="32" ht="49.5" customHeight="1" s="73">
      <c r="A32" s="104" t="n">
        <v>29</v>
      </c>
      <c r="B32" s="66" t="inlineStr">
        <is>
          <t>Ремонт участка автомобильной дороги «Орел - Ефремов» - Кочкино км 6+310 - км 15+380 в Ефремовском районе</t>
        </is>
      </c>
      <c r="C32" s="80" t="n"/>
      <c r="D32" s="37" t="inlineStr">
        <is>
          <t xml:space="preserve">ГУ ТО "Тулаавтодор", ГЗ </t>
        </is>
      </c>
      <c r="E32" s="80" t="n">
        <v>89004.7</v>
      </c>
      <c r="F32" s="82">
        <f>H32+L32+P32+T32</f>
        <v/>
      </c>
      <c r="G32" s="36">
        <f>F32/E32*100</f>
        <v/>
      </c>
      <c r="H32" s="83">
        <f>SUM(I32:K32)</f>
        <v/>
      </c>
      <c r="I32" s="84" t="n"/>
      <c r="J32" s="84" t="n"/>
      <c r="K32" s="84" t="n"/>
      <c r="L32" s="83">
        <f>SUM(M32:O32)</f>
        <v/>
      </c>
      <c r="M32" s="84" t="n"/>
      <c r="N32" s="84" t="n"/>
      <c r="O32" s="84" t="n"/>
      <c r="P32" s="83">
        <f>SUM(Q32:S32)</f>
        <v/>
      </c>
      <c r="Q32" s="84" t="n"/>
      <c r="R32" s="84" t="n"/>
      <c r="S32" s="84" t="n"/>
      <c r="T32" s="83">
        <f>SUM(U32:W32)</f>
        <v/>
      </c>
      <c r="U32" s="84" t="n"/>
      <c r="V32" s="84" t="n"/>
      <c r="W32" s="84" t="n"/>
      <c r="Y32" s="69" t="n"/>
    </row>
    <row r="33" ht="49.5" customHeight="1" s="73">
      <c r="A33" s="104" t="n">
        <v>30</v>
      </c>
      <c r="B33" s="66" t="inlineStr">
        <is>
          <t>Ремонт участка автомобильной дороги «Дон» - Куркино - Тормасово км 2+500 - км 8+655 в Ефремовском районе</t>
        </is>
      </c>
      <c r="C33" s="80" t="n"/>
      <c r="D33" s="37" t="inlineStr">
        <is>
          <t xml:space="preserve">ГУ ТО "Тулаавтодор", ГЗ </t>
        </is>
      </c>
      <c r="E33" s="80" t="n">
        <v>61096.33</v>
      </c>
      <c r="F33" s="82">
        <f>H33+L33+P33+T33</f>
        <v/>
      </c>
      <c r="G33" s="36">
        <f>F33/E33*100</f>
        <v/>
      </c>
      <c r="H33" s="83">
        <f>SUM(I33:K33)</f>
        <v/>
      </c>
      <c r="I33" s="84" t="n"/>
      <c r="J33" s="84" t="n"/>
      <c r="K33" s="84" t="n"/>
      <c r="L33" s="83">
        <f>SUM(M33:O33)</f>
        <v/>
      </c>
      <c r="M33" s="84" t="n"/>
      <c r="N33" s="84" t="n"/>
      <c r="O33" s="84">
        <f>21394.72535</f>
        <v/>
      </c>
      <c r="P33" s="83">
        <f>SUM(Q33:S33)</f>
        <v/>
      </c>
      <c r="Q33" s="84">
        <f>32292.93251</f>
        <v/>
      </c>
      <c r="R33" s="84">
        <f>7408.66991</f>
        <v/>
      </c>
      <c r="S33" s="84" t="n"/>
      <c r="T33" s="83">
        <f>SUM(U33:W33)</f>
        <v/>
      </c>
      <c r="U33" s="84" t="n"/>
      <c r="V33" s="84" t="n"/>
      <c r="W33" s="84" t="n"/>
      <c r="Y33" s="69" t="n">
        <v>3</v>
      </c>
    </row>
    <row r="34" ht="49.5" customHeight="1" s="73">
      <c r="A34" s="104" t="n">
        <v>31</v>
      </c>
      <c r="B34" s="66" t="inlineStr">
        <is>
          <t>Ремонт автомобильной дороги «Лапотково - Ефремов» - Поддолгое км 0+000 - км 5+082 в Ефремовском районе</t>
        </is>
      </c>
      <c r="C34" s="80" t="n"/>
      <c r="D34" s="37" t="inlineStr">
        <is>
          <t xml:space="preserve">ГУ ТО "Тулаавтодор", ГЗ </t>
        </is>
      </c>
      <c r="E34" s="80" t="n">
        <v>48321.66</v>
      </c>
      <c r="F34" s="82">
        <f>H34+L34+P34+T34</f>
        <v/>
      </c>
      <c r="G34" s="36">
        <f>F34/E34*100</f>
        <v/>
      </c>
      <c r="H34" s="83">
        <f>SUM(I34:K34)</f>
        <v/>
      </c>
      <c r="I34" s="84" t="n"/>
      <c r="J34" s="84" t="n"/>
      <c r="K34" s="84" t="n"/>
      <c r="L34" s="83">
        <f>SUM(M34:O34)</f>
        <v/>
      </c>
      <c r="M34" s="84" t="n"/>
      <c r="N34" s="84" t="n"/>
      <c r="O34" s="84" t="n"/>
      <c r="P34" s="83">
        <f>SUM(Q34:S34)</f>
        <v/>
      </c>
      <c r="Q34" s="84" t="n"/>
      <c r="R34" s="84" t="n"/>
      <c r="S34" s="84" t="n">
        <v>48321.66372</v>
      </c>
      <c r="T34" s="83">
        <f>SUM(U34:W34)</f>
        <v/>
      </c>
      <c r="U34" s="84" t="n"/>
      <c r="V34" s="84" t="n"/>
      <c r="W34" s="84" t="n"/>
      <c r="Y34" s="69" t="n"/>
    </row>
    <row r="35" ht="49.5" customHeight="1" s="73">
      <c r="A35" s="104" t="n">
        <v>32</v>
      </c>
      <c r="B35" s="66" t="inlineStr">
        <is>
          <t>Ремонт автомобильной дороги «Чернь - Медведки» - поселок Дачный км 0+000 - км 0+710 в Каменском районе</t>
        </is>
      </c>
      <c r="C35" s="80" t="n"/>
      <c r="D35" s="37" t="inlineStr">
        <is>
          <t xml:space="preserve">ГУ ТО "Тулаавтодор", ГЗ </t>
        </is>
      </c>
      <c r="E35" s="80" t="n">
        <v>4707.81</v>
      </c>
      <c r="F35" s="82">
        <f>H35+L35+P35+T35</f>
        <v/>
      </c>
      <c r="G35" s="36">
        <f>F35/E35*100</f>
        <v/>
      </c>
      <c r="H35" s="83">
        <f>SUM(I35:K35)</f>
        <v/>
      </c>
      <c r="I35" s="84" t="n"/>
      <c r="J35" s="84" t="n"/>
      <c r="K35" s="84" t="n"/>
      <c r="L35" s="83">
        <f>SUM(M35:O35)</f>
        <v/>
      </c>
      <c r="M35" s="84" t="n"/>
      <c r="N35" s="84" t="n"/>
      <c r="O35" s="84" t="n"/>
      <c r="P35" s="83">
        <f>SUM(Q35:S35)</f>
        <v/>
      </c>
      <c r="Q35" s="84" t="n"/>
      <c r="R35" s="84" t="n"/>
      <c r="S35" s="84" t="n">
        <v>4707.80954</v>
      </c>
      <c r="T35" s="83">
        <f>SUM(U35:W35)</f>
        <v/>
      </c>
      <c r="U35" s="84" t="n"/>
      <c r="V35" s="84" t="n"/>
      <c r="W35" s="84" t="n"/>
      <c r="Y35" s="69" t="n"/>
    </row>
    <row r="36" ht="49.5" customHeight="1" s="73">
      <c r="A36" s="104" t="n">
        <v>33</v>
      </c>
      <c r="B36" s="66" t="inlineStr">
        <is>
          <t>Ремонт автомобильной дороги «Архангельское - Галица» - Долгие Лески км 0+007 - км 2+411 в Каменском районе</t>
        </is>
      </c>
      <c r="C36" s="80" t="n"/>
      <c r="D36" s="37" t="inlineStr">
        <is>
          <t xml:space="preserve">ГУ ТО "Тулаавтодор", ГЗ </t>
        </is>
      </c>
      <c r="E36" s="80" t="n">
        <v>21004.83</v>
      </c>
      <c r="F36" s="82">
        <f>H36+L36+P36+T36</f>
        <v/>
      </c>
      <c r="G36" s="36">
        <f>F36/E36*100</f>
        <v/>
      </c>
      <c r="H36" s="83">
        <f>SUM(I36:K36)</f>
        <v/>
      </c>
      <c r="I36" s="84" t="n"/>
      <c r="J36" s="84" t="n"/>
      <c r="K36" s="84" t="n"/>
      <c r="L36" s="83">
        <f>SUM(M36:O36)</f>
        <v/>
      </c>
      <c r="M36" s="84" t="n"/>
      <c r="N36" s="84" t="n"/>
      <c r="O36" s="84" t="n"/>
      <c r="P36" s="83">
        <f>SUM(Q36:S36)</f>
        <v/>
      </c>
      <c r="Q36" s="84" t="n"/>
      <c r="R36" s="84" t="n"/>
      <c r="S36" s="84" t="n">
        <v>19151.65011</v>
      </c>
      <c r="T36" s="83">
        <f>SUM(U36:W36)</f>
        <v/>
      </c>
      <c r="U36" s="84">
        <f>1853.17771</f>
        <v/>
      </c>
      <c r="V36" s="84" t="n"/>
      <c r="W36" s="84" t="n"/>
      <c r="Y36" s="69" t="n">
        <v>2</v>
      </c>
    </row>
    <row r="37" ht="66" customHeight="1" s="73">
      <c r="A37" s="77" t="n">
        <v>34</v>
      </c>
      <c r="B37" s="67" t="inlineStr">
        <is>
          <t>Ремонт участка автомобильной дороги Кимовск - Епифань - Куликово поле - Кресты км 4+380 - км 5+170, км 26+794 - км 29+350 в Кимовском районе</t>
        </is>
      </c>
      <c r="C37" s="80" t="n"/>
      <c r="D37" s="37" t="inlineStr">
        <is>
          <t xml:space="preserve">ГУ ТО "Тулаавтодор", ГЗ </t>
        </is>
      </c>
      <c r="E37" s="80" t="n">
        <v>39524</v>
      </c>
      <c r="F37" s="82">
        <f>H37+L37+P37+T37</f>
        <v/>
      </c>
      <c r="G37" s="36">
        <f>F37/E37*100</f>
        <v/>
      </c>
      <c r="H37" s="83">
        <f>SUM(I37:K37)</f>
        <v/>
      </c>
      <c r="I37" s="84" t="n"/>
      <c r="J37" s="84" t="n"/>
      <c r="K37" s="84" t="n"/>
      <c r="L37" s="83">
        <f>SUM(M37:O37)</f>
        <v/>
      </c>
      <c r="M37" s="84" t="n"/>
      <c r="N37" s="84" t="n"/>
      <c r="O37" s="84">
        <f>36844.74035+498.62118</f>
        <v/>
      </c>
      <c r="P37" s="83">
        <f>SUM(Q37:S37)</f>
        <v/>
      </c>
      <c r="Q37" s="84">
        <f>1649.29031+26.02855</f>
        <v/>
      </c>
      <c r="R37" s="84" t="n"/>
      <c r="S37" s="84" t="n"/>
      <c r="T37" s="83">
        <f>SUM(U37:W37)</f>
        <v/>
      </c>
      <c r="U37" s="84" t="n"/>
      <c r="V37" s="84" t="n"/>
      <c r="W37" s="84" t="n"/>
      <c r="Y37" s="69" t="n">
        <v>4</v>
      </c>
    </row>
    <row r="38" ht="66" customHeight="1" s="73">
      <c r="A38" s="77" t="n">
        <v>35</v>
      </c>
      <c r="B38" s="66" t="inlineStr">
        <is>
          <t>Ремонт автомобильной дороги «Кашира - Серебряные пруды - Кимовск - Узловая» - автоподъезд к населенному пункту Зубовка км 0+000 - км 1+767 в Кимовском районе</t>
        </is>
      </c>
      <c r="C38" s="80" t="n"/>
      <c r="D38" s="37" t="inlineStr">
        <is>
          <t xml:space="preserve">ГУ ТО "Тулаавтодор", ГЗ </t>
        </is>
      </c>
      <c r="E38" s="80" t="n">
        <v>21549.3</v>
      </c>
      <c r="F38" s="82">
        <f>H38+L38+P38+T38</f>
        <v/>
      </c>
      <c r="G38" s="36">
        <f>F38/E38*100</f>
        <v/>
      </c>
      <c r="H38" s="83">
        <f>SUM(I38:K38)</f>
        <v/>
      </c>
      <c r="I38" s="84" t="n"/>
      <c r="J38" s="84" t="n"/>
      <c r="K38" s="84" t="n"/>
      <c r="L38" s="83">
        <f>SUM(M38:O38)</f>
        <v/>
      </c>
      <c r="M38" s="84" t="n"/>
      <c r="N38" s="84" t="n"/>
      <c r="O38" s="84" t="n"/>
      <c r="P38" s="83">
        <f>SUM(Q38:S38)</f>
        <v/>
      </c>
      <c r="Q38" s="84" t="n"/>
      <c r="R38" s="84" t="n"/>
      <c r="S38" s="84" t="n"/>
      <c r="T38" s="83">
        <f>SUM(U38:W38)</f>
        <v/>
      </c>
      <c r="U38" s="84" t="n"/>
      <c r="V38" s="84">
        <f>21230.84942</f>
        <v/>
      </c>
      <c r="W38" s="84" t="n"/>
      <c r="Y38" s="69" t="n">
        <v>1</v>
      </c>
    </row>
    <row r="39" ht="49.5" customHeight="1" s="73">
      <c r="A39" s="104" t="n">
        <v>36</v>
      </c>
      <c r="B39" s="67" t="inlineStr">
        <is>
          <t>Ремонт участка автомобильной дороги Епифань - Барановка - Саломатовка км 0+650 - км 5+950 в Кимовском районе</t>
        </is>
      </c>
      <c r="C39" s="80" t="n"/>
      <c r="D39" s="37" t="inlineStr">
        <is>
          <t xml:space="preserve">ГУ ТО "Тулаавтодор", ГЗ </t>
        </is>
      </c>
      <c r="E39" s="80" t="n">
        <v>49332.22</v>
      </c>
      <c r="F39" s="82">
        <f>H39+L39+P39+T39</f>
        <v/>
      </c>
      <c r="G39" s="36">
        <f>F39/E39*100</f>
        <v/>
      </c>
      <c r="H39" s="83">
        <f>SUM(I39:K39)</f>
        <v/>
      </c>
      <c r="I39" s="84" t="n"/>
      <c r="J39" s="84" t="n"/>
      <c r="K39" s="84" t="n"/>
      <c r="L39" s="83">
        <f>SUM(M39:O39)</f>
        <v/>
      </c>
      <c r="M39" s="84" t="n"/>
      <c r="N39" s="84" t="n"/>
      <c r="O39" s="84" t="n"/>
      <c r="P39" s="83">
        <f>SUM(Q39:S39)</f>
        <v/>
      </c>
      <c r="Q39" s="84" t="n"/>
      <c r="R39" s="84">
        <f>46638.57563</f>
        <v/>
      </c>
      <c r="S39" s="106" t="n">
        <v>2693.64555</v>
      </c>
      <c r="T39" s="83">
        <f>SUM(U39:W39)</f>
        <v/>
      </c>
      <c r="U39" s="84" t="n"/>
      <c r="V39" s="84" t="n"/>
      <c r="W39" s="84" t="n"/>
      <c r="Y39" s="69" t="n">
        <v>2</v>
      </c>
    </row>
    <row r="40" ht="33" customHeight="1" s="73">
      <c r="A40" s="104" t="n">
        <v>37</v>
      </c>
      <c r="B40" s="66" t="inlineStr">
        <is>
          <t>Ремонт автомобильной дороги «Дон» - Куркино км 13+800 - км 36+475 в Куркинском районе</t>
        </is>
      </c>
      <c r="C40" s="80" t="n"/>
      <c r="D40" s="37" t="inlineStr">
        <is>
          <t xml:space="preserve">ГУ ТО "Тулаавтодор", ГЗ </t>
        </is>
      </c>
      <c r="E40" s="80" t="n">
        <v>220528.6</v>
      </c>
      <c r="F40" s="82">
        <f>H40+L40+P40+T40</f>
        <v/>
      </c>
      <c r="G40" s="36">
        <f>F40/E40*100</f>
        <v/>
      </c>
      <c r="H40" s="83">
        <f>SUM(I40:K40)</f>
        <v/>
      </c>
      <c r="I40" s="84" t="n"/>
      <c r="J40" s="84" t="n"/>
      <c r="K40" s="84" t="n"/>
      <c r="L40" s="83">
        <f>SUM(M40:O40)</f>
        <v/>
      </c>
      <c r="M40" s="84" t="n"/>
      <c r="N40" s="84" t="n"/>
      <c r="O40" s="84" t="n"/>
      <c r="P40" s="83">
        <f>SUM(Q40:S40)</f>
        <v/>
      </c>
      <c r="Q40" s="84" t="n"/>
      <c r="R40" s="84" t="n"/>
      <c r="S40" s="84" t="n"/>
      <c r="T40" s="83">
        <f>SUM(U40:W40)</f>
        <v/>
      </c>
      <c r="U40" s="84" t="n"/>
      <c r="V40" s="84" t="n"/>
      <c r="W40" s="84" t="n"/>
      <c r="Y40" s="69" t="n"/>
    </row>
    <row r="41" ht="49.5" customHeight="1" s="73">
      <c r="A41" s="104" t="n">
        <v>38</v>
      </c>
      <c r="B41" s="66" t="inlineStr">
        <is>
          <t>Ремонт автомобильной дороги Автоподъезд к населенному пункту Самохваловка км 0+019 - км 5+085 в Куркинском районе</t>
        </is>
      </c>
      <c r="C41" s="80" t="n"/>
      <c r="D41" s="37" t="inlineStr">
        <is>
          <t xml:space="preserve">ГУ ТО "Тулаавтодор", ГЗ </t>
        </is>
      </c>
      <c r="E41" s="107" t="n">
        <v>49671.63</v>
      </c>
      <c r="F41" s="82">
        <f>H41+L41+P41+T41</f>
        <v/>
      </c>
      <c r="G41" s="36">
        <f>F41/E41*100</f>
        <v/>
      </c>
      <c r="H41" s="83">
        <f>SUM(I41:K41)</f>
        <v/>
      </c>
      <c r="I41" s="84" t="n"/>
      <c r="J41" s="84" t="n"/>
      <c r="K41" s="84" t="n"/>
      <c r="L41" s="83">
        <f>SUM(M41:O41)</f>
        <v/>
      </c>
      <c r="M41" s="84" t="n"/>
      <c r="N41" s="84" t="n"/>
      <c r="O41" s="84" t="n"/>
      <c r="P41" s="83">
        <f>SUM(Q41:S41)</f>
        <v/>
      </c>
      <c r="Q41" s="84">
        <f>49671.63422</f>
        <v/>
      </c>
      <c r="R41" s="84" t="n"/>
      <c r="S41" s="84" t="n"/>
      <c r="T41" s="83">
        <f>SUM(U41:W41)</f>
        <v/>
      </c>
      <c r="U41" s="84" t="n"/>
      <c r="V41" s="84" t="n"/>
      <c r="W41" s="84" t="n"/>
      <c r="Y41" s="69" t="n">
        <v>1</v>
      </c>
    </row>
    <row r="42" ht="66" customHeight="1" s="73">
      <c r="A42" s="104" t="n">
        <v>39</v>
      </c>
      <c r="B42" s="66" t="inlineStr">
        <is>
          <t>Ремонт участков автомобильной дороги «Тула - Алексин» - Обидимо - «Калуга - Тула - Михайлов - Рязань» км  13+250 - км 14+750, км 14+895 - км 16+455 в Ленинском районе</t>
        </is>
      </c>
      <c r="C42" s="80" t="n"/>
      <c r="D42" s="37" t="inlineStr">
        <is>
          <t xml:space="preserve">ГУ ТО "Тулаавтодор", ГЗ </t>
        </is>
      </c>
      <c r="E42" s="80" t="n">
        <v>34052.09</v>
      </c>
      <c r="F42" s="82">
        <f>H42+L42+P42+T42</f>
        <v/>
      </c>
      <c r="G42" s="36">
        <f>F42/E42*100</f>
        <v/>
      </c>
      <c r="H42" s="83">
        <f>SUM(I42:K42)</f>
        <v/>
      </c>
      <c r="I42" s="84" t="n"/>
      <c r="J42" s="84" t="n"/>
      <c r="K42" s="84" t="n"/>
      <c r="L42" s="83">
        <f>SUM(M42:O42)</f>
        <v/>
      </c>
      <c r="M42" s="84" t="n"/>
      <c r="N42" s="84" t="n"/>
      <c r="O42" s="84" t="n"/>
      <c r="P42" s="83">
        <f>SUM(Q42:S42)</f>
        <v/>
      </c>
      <c r="Q42" s="84" t="n"/>
      <c r="R42" s="84" t="n"/>
      <c r="S42" s="84" t="n"/>
      <c r="T42" s="83">
        <f>SUM(U42:W42)</f>
        <v/>
      </c>
      <c r="U42" s="84" t="n"/>
      <c r="V42" s="84">
        <f>34052.08713</f>
        <v/>
      </c>
      <c r="W42" s="84" t="n"/>
      <c r="Y42" s="69" t="n">
        <v>1</v>
      </c>
    </row>
    <row r="43" ht="49.5" customHeight="1" s="73">
      <c r="A43" s="104" t="n">
        <v>40</v>
      </c>
      <c r="B43" s="66" t="inlineStr">
        <is>
          <t>Ремонт автомобильной дороги Подъезд к населенному пункту Тетяковка км 0+000 - км 3+407 в Новомосковском районе</t>
        </is>
      </c>
      <c r="C43" s="80" t="n"/>
      <c r="D43" s="37" t="inlineStr">
        <is>
          <t xml:space="preserve">ГУ ТО "Тулаавтодор", ГЗ </t>
        </is>
      </c>
      <c r="E43" s="80" t="n">
        <v>27630.93</v>
      </c>
      <c r="F43" s="82">
        <f>H43+L43+P43+T43</f>
        <v/>
      </c>
      <c r="G43" s="36">
        <f>F43/E43*100</f>
        <v/>
      </c>
      <c r="H43" s="83">
        <f>SUM(I43:K43)</f>
        <v/>
      </c>
      <c r="I43" s="84" t="n"/>
      <c r="J43" s="84" t="n"/>
      <c r="K43" s="84" t="n"/>
      <c r="L43" s="83">
        <f>SUM(M43:O43)</f>
        <v/>
      </c>
      <c r="M43" s="84" t="n"/>
      <c r="N43" s="84" t="n"/>
      <c r="O43" s="84" t="n"/>
      <c r="P43" s="83">
        <f>SUM(Q43:S43)</f>
        <v/>
      </c>
      <c r="Q43" s="84" t="n"/>
      <c r="R43" s="84" t="n"/>
      <c r="S43" s="84" t="n"/>
      <c r="T43" s="83">
        <f>SUM(U43:W43)</f>
        <v/>
      </c>
      <c r="U43" s="84" t="n"/>
      <c r="V43" s="84">
        <f>27630.93009</f>
        <v/>
      </c>
      <c r="W43" s="84" t="n"/>
      <c r="Y43" s="69" t="n">
        <v>1</v>
      </c>
    </row>
    <row r="44" ht="49.5" customHeight="1" s="73">
      <c r="A44" s="104" t="n">
        <v>41</v>
      </c>
      <c r="B44" s="67" t="inlineStr">
        <is>
          <t>Ремонт участка автомобильной дороги Плавск - Мещерино - п. Диктатура км 14+230 - км 23+750 в Плавском районе</t>
        </is>
      </c>
      <c r="C44" s="80" t="n"/>
      <c r="D44" s="37" t="inlineStr">
        <is>
          <t xml:space="preserve">ГУ ТО "Тулаавтодор", ГЗ </t>
        </is>
      </c>
      <c r="E44" s="80" t="n">
        <v>92224.95</v>
      </c>
      <c r="F44" s="82">
        <f>H44+L44+P44+T44</f>
        <v/>
      </c>
      <c r="G44" s="36">
        <f>F44/E44*100</f>
        <v/>
      </c>
      <c r="H44" s="83">
        <f>SUM(I44:K44)</f>
        <v/>
      </c>
      <c r="I44" s="84" t="n"/>
      <c r="J44" s="84" t="n"/>
      <c r="K44" s="84" t="n"/>
      <c r="L44" s="83">
        <f>SUM(M44:O44)</f>
        <v/>
      </c>
      <c r="M44" s="84" t="n"/>
      <c r="N44" s="84" t="n"/>
      <c r="O44" s="84">
        <f>51539.31327+34166.04718</f>
        <v/>
      </c>
      <c r="P44" s="83">
        <f>SUM(Q44:S44)</f>
        <v/>
      </c>
      <c r="Q44" s="84" t="n"/>
      <c r="R44" s="84">
        <f>6519.59075</f>
        <v/>
      </c>
      <c r="S44" s="84" t="n"/>
      <c r="T44" s="83">
        <f>SUM(U44:W44)</f>
        <v/>
      </c>
      <c r="U44" s="84" t="n"/>
      <c r="V44" s="84" t="n"/>
      <c r="W44" s="84" t="n"/>
      <c r="Y44" s="69" t="n">
        <v>3</v>
      </c>
    </row>
    <row r="45" ht="49.5" customHeight="1" s="73">
      <c r="A45" s="104" t="n">
        <v>42</v>
      </c>
      <c r="B45" s="67" t="inlineStr">
        <is>
          <t>Ремонт участка автомобильной дороги Щекино - Одоев - Арсеньево км 65+967 - км 71+000 в Одоевском районе</t>
        </is>
      </c>
      <c r="C45" s="80" t="n"/>
      <c r="D45" s="37" t="inlineStr">
        <is>
          <t xml:space="preserve">ГУ ТО "Тулаавтодор", ГЗ </t>
        </is>
      </c>
      <c r="E45" s="80" t="n">
        <v>56953.07</v>
      </c>
      <c r="F45" s="82">
        <f>H45+L45+P45+T45</f>
        <v/>
      </c>
      <c r="G45" s="36">
        <f>F45/E45*100</f>
        <v/>
      </c>
      <c r="H45" s="83">
        <f>SUM(I45:K45)</f>
        <v/>
      </c>
      <c r="I45" s="84" t="n"/>
      <c r="J45" s="84" t="n"/>
      <c r="K45" s="84" t="n"/>
      <c r="L45" s="83">
        <f>SUM(M45:O45)</f>
        <v/>
      </c>
      <c r="M45" s="84" t="n"/>
      <c r="N45" s="84">
        <f>19149.0177+443.64904+34225.04725</f>
        <v/>
      </c>
      <c r="O45" s="84" t="n"/>
      <c r="P45" s="83">
        <f>SUM(Q45:S45)</f>
        <v/>
      </c>
      <c r="Q45" s="84" t="n"/>
      <c r="R45" s="84">
        <f>3135.35464</f>
        <v/>
      </c>
      <c r="S45" s="84" t="n"/>
      <c r="T45" s="83">
        <f>SUM(U45:W45)</f>
        <v/>
      </c>
      <c r="U45" s="84" t="n"/>
      <c r="V45" s="84" t="n"/>
      <c r="W45" s="84" t="n"/>
      <c r="Y45" s="69" t="n">
        <v>4</v>
      </c>
    </row>
    <row r="46" ht="49.5" customHeight="1" s="73">
      <c r="A46" s="104" t="n">
        <v>43</v>
      </c>
      <c r="B46" s="66" t="inlineStr">
        <is>
          <t>Ремонт участка автомобильной дороги Одоев - Петровское - Горбачево км 6+700 - км 13+030 в Одоевском районе</t>
        </is>
      </c>
      <c r="C46" s="80" t="n"/>
      <c r="D46" s="37" t="inlineStr">
        <is>
          <t xml:space="preserve">ГУ ТО "Тулаавтодор", ГЗ </t>
        </is>
      </c>
      <c r="E46" s="80" t="n">
        <v>61387.09</v>
      </c>
      <c r="F46" s="82">
        <f>H46+L46+P46+T46</f>
        <v/>
      </c>
      <c r="G46" s="36">
        <f>F46/E46*100</f>
        <v/>
      </c>
      <c r="H46" s="83">
        <f>SUM(I46:K46)</f>
        <v/>
      </c>
      <c r="I46" s="84" t="n"/>
      <c r="J46" s="84" t="n"/>
      <c r="K46" s="84" t="n"/>
      <c r="L46" s="83">
        <f>SUM(M46:O46)</f>
        <v/>
      </c>
      <c r="M46" s="84" t="n"/>
      <c r="N46" s="84" t="n"/>
      <c r="O46" s="84" t="n"/>
      <c r="P46" s="83">
        <f>SUM(Q46:S46)</f>
        <v/>
      </c>
      <c r="Q46" s="84" t="n"/>
      <c r="R46" s="84" t="n"/>
      <c r="S46" s="84" t="n"/>
      <c r="T46" s="83">
        <f>SUM(U46:W46)</f>
        <v/>
      </c>
      <c r="U46" s="84">
        <f>61387.09392</f>
        <v/>
      </c>
      <c r="V46" s="84" t="n"/>
      <c r="W46" s="84" t="n"/>
      <c r="Y46" s="69" t="n">
        <v>1</v>
      </c>
    </row>
    <row r="47" ht="49.5" customHeight="1" s="73">
      <c r="A47" s="104" t="n">
        <v>44</v>
      </c>
      <c r="B47" s="66" t="inlineStr">
        <is>
          <t>Ремонт автомобильной дороги «Тула - Белев» - подъезд к населенному пункту Татьево км 0+000 - км 3+200 в Одоевском районе</t>
        </is>
      </c>
      <c r="C47" s="80" t="n"/>
      <c r="D47" s="37" t="inlineStr">
        <is>
          <t xml:space="preserve">ГУ ТО "Тулаавтодор", ГЗ </t>
        </is>
      </c>
      <c r="E47" s="80" t="n">
        <v>32246.01</v>
      </c>
      <c r="F47" s="82">
        <f>H47+L47+P47+T47</f>
        <v/>
      </c>
      <c r="G47" s="36">
        <f>F47/E47*100</f>
        <v/>
      </c>
      <c r="H47" s="83">
        <f>SUM(I47:K47)</f>
        <v/>
      </c>
      <c r="I47" s="84" t="n"/>
      <c r="J47" s="84" t="n"/>
      <c r="K47" s="84" t="n"/>
      <c r="L47" s="83">
        <f>SUM(M47:O47)</f>
        <v/>
      </c>
      <c r="M47" s="84" t="n"/>
      <c r="N47" s="84" t="n"/>
      <c r="O47" s="84" t="n"/>
      <c r="P47" s="83">
        <f>SUM(Q47:S47)</f>
        <v/>
      </c>
      <c r="Q47" s="84" t="n"/>
      <c r="R47" s="84" t="n"/>
      <c r="S47" s="84" t="n"/>
      <c r="T47" s="83">
        <f>SUM(U47:W47)</f>
        <v/>
      </c>
      <c r="U47" s="84" t="n"/>
      <c r="V47" s="84">
        <f>13244.97164+19001.03482</f>
        <v/>
      </c>
      <c r="W47" s="84" t="n"/>
      <c r="Y47" s="69" t="n">
        <v>2</v>
      </c>
    </row>
    <row r="48" ht="66" customHeight="1" s="73">
      <c r="A48" s="104" t="n">
        <v>45</v>
      </c>
      <c r="B48" s="66" t="inlineStr">
        <is>
          <t>Ремонт автомобильной дороги «Чекалин - Суворов - Ханино» - автоподъезд к населенному пункту Гущино       км 0+000 - км 4+300 в Суворовском районе</t>
        </is>
      </c>
      <c r="C48" s="80" t="n"/>
      <c r="D48" s="37" t="inlineStr">
        <is>
          <t xml:space="preserve">ГУ ТО "Тулаавтодор", ГЗ </t>
        </is>
      </c>
      <c r="E48" s="80" t="n">
        <v>37172.8</v>
      </c>
      <c r="F48" s="82">
        <f>H48+L48+P48+T48</f>
        <v/>
      </c>
      <c r="G48" s="36">
        <f>F48/E48*100</f>
        <v/>
      </c>
      <c r="H48" s="83">
        <f>SUM(I48:K48)</f>
        <v/>
      </c>
      <c r="I48" s="84" t="n"/>
      <c r="J48" s="84" t="n"/>
      <c r="K48" s="84" t="n"/>
      <c r="L48" s="83">
        <f>SUM(M48:O48)</f>
        <v/>
      </c>
      <c r="M48" s="84" t="n"/>
      <c r="N48" s="84" t="n"/>
      <c r="O48" s="84" t="n"/>
      <c r="P48" s="83">
        <f>SUM(Q48:S48)</f>
        <v/>
      </c>
      <c r="Q48" s="84">
        <f>21680.35111+15492.44981</f>
        <v/>
      </c>
      <c r="R48" s="84" t="n"/>
      <c r="S48" s="84" t="n"/>
      <c r="T48" s="83">
        <f>SUM(U48:W48)</f>
        <v/>
      </c>
      <c r="U48" s="84" t="n"/>
      <c r="V48" s="84" t="n"/>
      <c r="W48" s="84" t="n"/>
      <c r="Y48" s="69" t="n">
        <v>2</v>
      </c>
    </row>
    <row r="49" ht="49.5" customHeight="1" s="73">
      <c r="A49" s="104" t="n">
        <v>46</v>
      </c>
      <c r="B49" s="66" t="inlineStr">
        <is>
          <t>Ремонт участка автомобильной дороги «Тула - Новомосковск» - Малая Россошка км 0+150 - км 2+885 в Узловском районе</t>
        </is>
      </c>
      <c r="C49" s="80" t="n"/>
      <c r="D49" s="37" t="inlineStr">
        <is>
          <t xml:space="preserve">ГУ ТО "Тулаавтодор", ГЗ </t>
        </is>
      </c>
      <c r="E49" s="80" t="n">
        <v>24915.92</v>
      </c>
      <c r="F49" s="82">
        <f>H49+L49+P49+T49</f>
        <v/>
      </c>
      <c r="G49" s="36">
        <f>F49/E49*100</f>
        <v/>
      </c>
      <c r="H49" s="83">
        <f>SUM(I49:K49)</f>
        <v/>
      </c>
      <c r="I49" s="84" t="n"/>
      <c r="J49" s="84" t="n"/>
      <c r="K49" s="84" t="n"/>
      <c r="L49" s="83">
        <f>SUM(M49:O49)</f>
        <v/>
      </c>
      <c r="M49" s="84" t="n"/>
      <c r="N49" s="84" t="n"/>
      <c r="O49" s="84" t="n"/>
      <c r="P49" s="83">
        <f>SUM(Q49:S49)</f>
        <v/>
      </c>
      <c r="Q49" s="84" t="n"/>
      <c r="R49" s="84" t="n"/>
      <c r="S49" s="84" t="n"/>
      <c r="T49" s="83">
        <f>SUM(U49:W49)</f>
        <v/>
      </c>
      <c r="U49" s="84">
        <f>24915.9239</f>
        <v/>
      </c>
      <c r="V49" s="84" t="n"/>
      <c r="W49" s="84" t="n"/>
      <c r="Y49" s="69" t="n">
        <v>1</v>
      </c>
    </row>
    <row r="50" ht="82.5" customHeight="1" s="73">
      <c r="A50" s="104" t="n">
        <v>47</v>
      </c>
      <c r="B50" s="67" t="inlineStr">
        <is>
          <t>Ремонт участков автомобильной дороги Автоподъезд к населенному пункту Лужны от автодороги «Чернь - Медведки» - Ержино км 0+000 - км 0+180, км 2+800 -       км 5+600 в Чернском районе</t>
        </is>
      </c>
      <c r="C50" s="80" t="n"/>
      <c r="D50" s="37" t="inlineStr">
        <is>
          <t xml:space="preserve">ГУ ТО "Тулаавтодор", ГЗ </t>
        </is>
      </c>
      <c r="E50" s="80" t="n">
        <v>30376.01</v>
      </c>
      <c r="F50" s="82">
        <f>H50+L50+P50+T50</f>
        <v/>
      </c>
      <c r="G50" s="36">
        <f>F50/E50*100</f>
        <v/>
      </c>
      <c r="H50" s="83">
        <f>SUM(I50:K50)</f>
        <v/>
      </c>
      <c r="I50" s="84" t="n"/>
      <c r="J50" s="84" t="n"/>
      <c r="K50" s="84" t="n"/>
      <c r="L50" s="83">
        <f>SUM(M50:O50)</f>
        <v/>
      </c>
      <c r="M50" s="84" t="n"/>
      <c r="N50" s="84">
        <f>6040.35208</f>
        <v/>
      </c>
      <c r="O50" s="84">
        <f>11436.54622</f>
        <v/>
      </c>
      <c r="P50" s="83">
        <f>SUM(Q50:S50)</f>
        <v/>
      </c>
      <c r="Q50" s="84">
        <f>10900.22622</f>
        <v/>
      </c>
      <c r="R50" s="84">
        <f>1998.88452</f>
        <v/>
      </c>
      <c r="S50" s="84" t="n"/>
      <c r="T50" s="83">
        <f>SUM(U50:W50)</f>
        <v/>
      </c>
      <c r="U50" s="84" t="n"/>
      <c r="V50" s="84" t="n"/>
      <c r="W50" s="84" t="n"/>
      <c r="Y50" s="69" t="n">
        <v>4</v>
      </c>
    </row>
    <row r="51" ht="66" customHeight="1" s="73">
      <c r="A51" s="104" t="n">
        <v>48</v>
      </c>
      <c r="B51" s="66" t="inlineStr">
        <is>
          <t>Ремонт участка автомобильной дороги «Спицино - Иваньково - Есуково» - автоподъезд к населенному пункту Григорьевское км 0+000 - км 3+400 в Ясногорском районе</t>
        </is>
      </c>
      <c r="C51" s="80" t="n"/>
      <c r="D51" s="37" t="inlineStr">
        <is>
          <t xml:space="preserve">ГУ ТО "Тулаавтодор", ГЗ </t>
        </is>
      </c>
      <c r="E51" s="80" t="n">
        <v>39469.38</v>
      </c>
      <c r="F51" s="82">
        <f>H51+L51+P51+T51</f>
        <v/>
      </c>
      <c r="G51" s="36">
        <f>F51/E51*100</f>
        <v/>
      </c>
      <c r="H51" s="83">
        <f>SUM(I51:K51)</f>
        <v/>
      </c>
      <c r="I51" s="84" t="n"/>
      <c r="J51" s="84" t="n"/>
      <c r="K51" s="84" t="n"/>
      <c r="L51" s="83">
        <f>SUM(M51:O51)</f>
        <v/>
      </c>
      <c r="M51" s="84" t="n"/>
      <c r="N51" s="84" t="n"/>
      <c r="O51" s="84" t="n"/>
      <c r="P51" s="83">
        <f>SUM(Q51:S51)</f>
        <v/>
      </c>
      <c r="Q51" s="84" t="n"/>
      <c r="R51" s="84" t="n"/>
      <c r="S51" s="84" t="n"/>
      <c r="T51" s="83">
        <f>SUM(U51:W51)</f>
        <v/>
      </c>
      <c r="U51" s="84" t="n"/>
      <c r="V51" s="84">
        <f>39469.37752</f>
        <v/>
      </c>
      <c r="W51" s="84" t="n"/>
      <c r="Y51" s="69" t="n">
        <v>1</v>
      </c>
    </row>
    <row r="52" ht="66" customHeight="1" s="73">
      <c r="A52" s="104" t="n">
        <v>49</v>
      </c>
      <c r="B52" s="66" t="inlineStr">
        <is>
          <t>Ремонт моста через р. Шиворона на км 2+195 автомобильной дороги «Быковка - Богородицк» - Дедилово - Хрущевка в Киреевском районе Тульской области</t>
        </is>
      </c>
      <c r="C52" s="80" t="n"/>
      <c r="D52" s="37" t="inlineStr">
        <is>
          <t xml:space="preserve">ГУ ТО "Тулаавтодор", ГЗ </t>
        </is>
      </c>
      <c r="E52" s="80" t="n">
        <v>3950.6</v>
      </c>
      <c r="F52" s="82">
        <f>H52+L52+P52+T52</f>
        <v/>
      </c>
      <c r="G52" s="36">
        <f>F52/E52*100</f>
        <v/>
      </c>
      <c r="H52" s="83">
        <f>SUM(I52:K52)</f>
        <v/>
      </c>
      <c r="I52" s="84" t="n"/>
      <c r="J52" s="84" t="n"/>
      <c r="K52" s="84" t="n"/>
      <c r="L52" s="83">
        <f>SUM(M52:O52)</f>
        <v/>
      </c>
      <c r="M52" s="84" t="n"/>
      <c r="N52" s="84" t="n"/>
      <c r="O52" s="84" t="n"/>
      <c r="P52" s="83">
        <f>SUM(Q52:S52)</f>
        <v/>
      </c>
      <c r="Q52" s="84" t="n"/>
      <c r="R52" s="84" t="n"/>
      <c r="S52" s="84" t="n"/>
      <c r="T52" s="83">
        <f>SUM(U52:W52)</f>
        <v/>
      </c>
      <c r="U52" s="84" t="n"/>
      <c r="V52" s="84" t="n"/>
      <c r="W52" s="84" t="n"/>
      <c r="Y52" s="69" t="n"/>
    </row>
    <row r="53" ht="66" customHeight="1" s="73">
      <c r="A53" s="104" t="n">
        <v>50</v>
      </c>
      <c r="B53" s="66" t="inlineStr">
        <is>
          <t>Ремонт моста через р. Упа на автомобильной дороге «Тула - Алексин» - Обидимо - «Калуга - Тула - Михайлов - Рязань»               км 13+200 в Ленинском районе МО г. Тула</t>
        </is>
      </c>
      <c r="C53" s="80" t="n"/>
      <c r="D53" s="37" t="inlineStr">
        <is>
          <t xml:space="preserve">ГУ ТО "Тулаавтодор", ГЗ </t>
        </is>
      </c>
      <c r="E53" s="80" t="n">
        <v>12509.3</v>
      </c>
      <c r="F53" s="82">
        <f>H53+L53+P53+T53</f>
        <v/>
      </c>
      <c r="G53" s="36">
        <f>F53/E53*100</f>
        <v/>
      </c>
      <c r="H53" s="83">
        <f>SUM(I53:K53)</f>
        <v/>
      </c>
      <c r="I53" s="84" t="n"/>
      <c r="J53" s="84">
        <f>15.902+191.015+59.431+374.403+14.727+40.618</f>
        <v/>
      </c>
      <c r="K53" s="84">
        <f>72.377+744.297</f>
        <v/>
      </c>
      <c r="L53" s="83">
        <f>SUM(M53:O53)</f>
        <v/>
      </c>
      <c r="M53" s="84">
        <f>365.982+159.031</f>
        <v/>
      </c>
      <c r="N53" s="84">
        <f>73.499+458.638+23.557</f>
        <v/>
      </c>
      <c r="O53" s="84">
        <f>442.994+173.741+116.803+13.066</f>
        <v/>
      </c>
      <c r="P53" s="83">
        <f>SUM(Q53:S53)</f>
        <v/>
      </c>
      <c r="Q53" s="84">
        <f>44.76+18.273+1787.882+222.256+19.294</f>
        <v/>
      </c>
      <c r="R53" s="84">
        <f>951.393+142.263+20.122+738.47</f>
        <v/>
      </c>
      <c r="S53" s="84">
        <f>470.277+239.33+45.281+106.21+434.301</f>
        <v/>
      </c>
      <c r="T53" s="83">
        <f>SUM(U53:W53)</f>
        <v/>
      </c>
      <c r="U53" s="84">
        <f>157.07+540.724+235.749</f>
        <v/>
      </c>
      <c r="V53" s="84">
        <f>44.903+7.185+1255.335+264.214+446.486+498.941+4.786+38.138+21.161+126.171+11.868+84.837+29.877+38.743+33.16+89.796</f>
        <v/>
      </c>
      <c r="W53" s="84" t="n"/>
      <c r="Y53" s="69" t="n">
        <v>62</v>
      </c>
    </row>
    <row r="54" ht="49.5" customHeight="1" s="73">
      <c r="A54" s="104" t="n">
        <v>51</v>
      </c>
      <c r="B54" s="66" t="inlineStr">
        <is>
          <t>Ремонт моста через р. Тресна на км 23+838 автомобильной дороги Чекалин - Суворов - Ханино в Суворовском районе Тульской области</t>
        </is>
      </c>
      <c r="C54" s="80" t="n"/>
      <c r="D54" s="37" t="inlineStr">
        <is>
          <t xml:space="preserve">ГУ ТО "Тулаавтодор", ГЗ </t>
        </is>
      </c>
      <c r="E54" s="80" t="n">
        <v>15321.3</v>
      </c>
      <c r="F54" s="82">
        <f>H54+L54+P54+T54</f>
        <v/>
      </c>
      <c r="G54" s="36">
        <f>F54/E54*100</f>
        <v/>
      </c>
      <c r="H54" s="83">
        <f>SUM(I54:K54)</f>
        <v/>
      </c>
      <c r="I54" s="84" t="n"/>
      <c r="J54" s="84">
        <f>42.59079+150.56128+597.55286+12.45035+3.40385+73.89369+67.33392</f>
        <v/>
      </c>
      <c r="K54" s="84">
        <f>21.91143+101.44013+113.84484+450.19096+26.16185</f>
        <v/>
      </c>
      <c r="L54" s="83">
        <f>SUM(M54:O54)</f>
        <v/>
      </c>
      <c r="M54" s="84">
        <f>139.28113+57.29233+829.11763+555.1452+286.97051</f>
        <v/>
      </c>
      <c r="N54" s="84">
        <f>14.10954+68.9563+147.6297+773.69943+56.85065+731.55424+27.93446</f>
        <v/>
      </c>
      <c r="O54" s="84">
        <f>120.81869+46.96549+24.79363+86.91623+576.04546+19.317+353.4323+16.23912+311.25566</f>
        <v/>
      </c>
      <c r="P54" s="83">
        <f>SUM(Q54:S54)</f>
        <v/>
      </c>
      <c r="Q54" s="84">
        <f>130.24792+12.01107+136.94486+28.19874+838.84743+601.58484+280.58201+17.6167</f>
        <v/>
      </c>
      <c r="R54" s="84">
        <f>336.10163+4.87453+1122.70155+744.70723+140.66784+776.52645+1276.9281+26.95065</f>
        <v/>
      </c>
      <c r="S54" s="84">
        <f>302.82643+80.28018+147.72789+409.53349+101.70883+142.01237+105.04643+544.48401+35.11522</f>
        <v/>
      </c>
      <c r="T54" s="83">
        <f>SUM(U54:W54)</f>
        <v/>
      </c>
      <c r="U54" s="84">
        <f>71.4404</f>
        <v/>
      </c>
      <c r="V54" s="84" t="n"/>
      <c r="W54" s="84" t="n"/>
      <c r="Y54" s="69" t="n">
        <v>59</v>
      </c>
    </row>
    <row r="55" ht="49.5" customHeight="1" s="73">
      <c r="A55" s="104" t="n">
        <v>52</v>
      </c>
      <c r="B55" s="66" t="inlineStr">
        <is>
          <t>Ремонт моста через р. Черепеть на км 24+550 автомобильной дороги Чекалин - Суворов - Ханино в Суворовском районе Тульской области</t>
        </is>
      </c>
      <c r="C55" s="80" t="n"/>
      <c r="D55" s="37" t="inlineStr">
        <is>
          <t xml:space="preserve">ГУ ТО "Тулаавтодор", ГЗ </t>
        </is>
      </c>
      <c r="E55" s="80" t="n">
        <v>15278.6</v>
      </c>
      <c r="F55" s="82">
        <f>H55+L55+P55+T55</f>
        <v/>
      </c>
      <c r="G55" s="36">
        <f>F55/E55*100</f>
        <v/>
      </c>
      <c r="H55" s="83">
        <f>SUM(I55:K55)</f>
        <v/>
      </c>
      <c r="I55" s="84" t="n"/>
      <c r="J55" s="84">
        <f>57.06008+758.96083+603.33747</f>
        <v/>
      </c>
      <c r="K55" s="84">
        <f>66.52629+491.66169</f>
        <v/>
      </c>
      <c r="L55" s="83">
        <f>SUM(M55:O55)</f>
        <v/>
      </c>
      <c r="M55" s="84">
        <f>402.43647+356.50315+375.21756+4.79515+10.59746</f>
        <v/>
      </c>
      <c r="N55" s="84">
        <f>472.38018+60.99563+136.48645</f>
        <v/>
      </c>
      <c r="O55" s="84">
        <f>17.14746+347.00784+211.46284</f>
        <v/>
      </c>
      <c r="P55" s="83">
        <f>SUM(Q55:S55)</f>
        <v/>
      </c>
      <c r="Q55" s="84">
        <f>331.88841+639.36397+497.80551+115.49297+314.73902</f>
        <v/>
      </c>
      <c r="R55" s="84">
        <f>5.46145+346.49246+22.26136+5.3576+239.6031</f>
        <v/>
      </c>
      <c r="S55" s="84">
        <f>33.32085+411.52696+264.19086+34.70148</f>
        <v/>
      </c>
      <c r="T55" s="83">
        <f>SUM(U55:W55)</f>
        <v/>
      </c>
      <c r="U55" s="84">
        <f>131.75139+46.85439</f>
        <v/>
      </c>
      <c r="V55" s="84">
        <f>618.84812+3705.69521+596.59351+1397.4137+306.27218+26.67674+61.96085+358.55446+50.20284+7.77004+165.49249</f>
        <v/>
      </c>
      <c r="W55" s="84" t="n"/>
      <c r="Y55" s="69" t="n">
        <v>43</v>
      </c>
    </row>
    <row r="56" ht="66" customHeight="1" s="73">
      <c r="A56" s="104" t="n">
        <v>53</v>
      </c>
      <c r="B56" s="66" t="inlineStr">
        <is>
          <t>Ремонт моста через р. Черепеть на км 0+230 автомобильной дороги Черепеть - Доброе - Северо-Агеевский в Суворовском районе Тульской области</t>
        </is>
      </c>
      <c r="C56" s="80" t="n"/>
      <c r="D56" s="37" t="inlineStr">
        <is>
          <t xml:space="preserve">ГУ ТО "Тулаавтодор", ГЗ </t>
        </is>
      </c>
      <c r="E56" s="80" t="n">
        <v>24764</v>
      </c>
      <c r="F56" s="82">
        <f>H56+L56+P56+T56</f>
        <v/>
      </c>
      <c r="G56" s="36">
        <f>F56/E56*100</f>
        <v/>
      </c>
      <c r="H56" s="83">
        <f>SUM(I56:K56)</f>
        <v/>
      </c>
      <c r="I56" s="84" t="n"/>
      <c r="J56" s="84" t="n"/>
      <c r="K56" s="84" t="n"/>
      <c r="L56" s="83">
        <f>SUM(M56:O56)</f>
        <v/>
      </c>
      <c r="M56" s="84" t="n"/>
      <c r="N56" s="84" t="n"/>
      <c r="O56" s="84" t="n"/>
      <c r="P56" s="83">
        <f>SUM(Q56:S56)</f>
        <v/>
      </c>
      <c r="Q56" s="84" t="n"/>
      <c r="R56" s="84" t="n"/>
      <c r="S56" s="84">
        <f>32.61205+1333.03254</f>
        <v/>
      </c>
      <c r="T56" s="83">
        <f>SUM(U56:W56)</f>
        <v/>
      </c>
      <c r="U56" s="84">
        <f>229.80304+144.15196+569.29414+16.99592+697.93187</f>
        <v/>
      </c>
      <c r="V56" s="84">
        <f>1007.18067+621.52303</f>
        <v/>
      </c>
      <c r="W56" s="84" t="n"/>
      <c r="Y56" s="69" t="n">
        <v>9</v>
      </c>
    </row>
    <row r="57" ht="82.5" customHeight="1" s="73">
      <c r="A57" s="104" t="n">
        <v>54</v>
      </c>
      <c r="B57" s="66" t="inlineStr">
        <is>
          <t>Восстановление остановочного пункта на км 37+330,5 (слева) автомобильной дороги III технической категории Тула - Белев в н.п. Воскресенское в Дубенском районе Тульской области</t>
        </is>
      </c>
      <c r="C57" s="80" t="n"/>
      <c r="D57" s="37" t="inlineStr">
        <is>
          <t xml:space="preserve">ГУ ТО "Тулаавтодор", ГЗ </t>
        </is>
      </c>
      <c r="E57" s="80" t="n">
        <v>1589.2</v>
      </c>
      <c r="F57" s="82">
        <f>H57+L57+P57+T57</f>
        <v/>
      </c>
      <c r="G57" s="36">
        <f>F57/E57*100</f>
        <v/>
      </c>
      <c r="H57" s="83">
        <f>SUM(I57:K57)</f>
        <v/>
      </c>
      <c r="I57" s="84" t="n"/>
      <c r="J57" s="84" t="n"/>
      <c r="K57" s="84" t="n"/>
      <c r="L57" s="83">
        <f>SUM(M57:O57)</f>
        <v/>
      </c>
      <c r="M57" s="84" t="n"/>
      <c r="N57" s="84" t="n"/>
      <c r="O57" s="84" t="n"/>
      <c r="P57" s="83">
        <f>SUM(Q57:S57)</f>
        <v/>
      </c>
      <c r="Q57" s="84" t="n"/>
      <c r="R57" s="84" t="n"/>
      <c r="S57" s="84" t="n"/>
      <c r="T57" s="83">
        <f>SUM(U57:W57)</f>
        <v/>
      </c>
      <c r="U57" s="84" t="n"/>
      <c r="V57" s="84" t="n"/>
      <c r="W57" s="84" t="n"/>
      <c r="Y57" s="69" t="n"/>
    </row>
    <row r="58" ht="33" customHeight="1" s="73">
      <c r="A58" s="77" t="n">
        <v>55</v>
      </c>
      <c r="B58" s="12" t="inlineStr">
        <is>
          <t>Разработка проектной и рабочей документации на ремонт</t>
        </is>
      </c>
      <c r="C58" s="59" t="n"/>
      <c r="D58" s="37" t="inlineStr">
        <is>
          <t>ГАУ ТО "Пректная контора"</t>
        </is>
      </c>
      <c r="E58" s="81" t="n">
        <v>1</v>
      </c>
      <c r="F58" s="82">
        <f>H58+L58+P58+T58</f>
        <v/>
      </c>
      <c r="G58" s="36">
        <f>F58/E58*100</f>
        <v/>
      </c>
      <c r="H58" s="83">
        <f>SUM(I58:K58)</f>
        <v/>
      </c>
      <c r="I58" s="84" t="n"/>
      <c r="J58" s="84" t="n"/>
      <c r="K58" s="84" t="n"/>
      <c r="L58" s="83">
        <f>SUM(M58:O58)</f>
        <v/>
      </c>
      <c r="M58" s="84" t="n"/>
      <c r="N58" s="84" t="n"/>
      <c r="O58" s="84" t="n"/>
      <c r="P58" s="83">
        <f>SUM(Q58:S58)</f>
        <v/>
      </c>
      <c r="Q58" s="84" t="n"/>
      <c r="R58" s="84" t="n"/>
      <c r="S58" s="84" t="n"/>
      <c r="T58" s="83">
        <f>SUM(U58:W58)</f>
        <v/>
      </c>
      <c r="U58" s="84" t="n"/>
      <c r="V58" s="84" t="n"/>
      <c r="W58" s="84" t="n"/>
    </row>
    <row r="59" ht="16.5" customHeight="1" s="73">
      <c r="A59" s="60" t="n"/>
      <c r="B59" s="65" t="inlineStr">
        <is>
          <t>ВСЕГО:</t>
        </is>
      </c>
      <c r="C59" s="60" t="n"/>
      <c r="D59" s="60" t="n"/>
      <c r="E59" s="60" t="n"/>
      <c r="F59" s="108">
        <f>SUM(F7:F58)</f>
        <v/>
      </c>
      <c r="G59" s="60" t="n"/>
      <c r="H59" s="109">
        <f>SUM(H7:H58)</f>
        <v/>
      </c>
      <c r="I59" s="110">
        <f>SUM(I7:I58)</f>
        <v/>
      </c>
      <c r="J59" s="110">
        <f>SUM(J7:J58)</f>
        <v/>
      </c>
      <c r="K59" s="110">
        <f>SUM(K7:K58)</f>
        <v/>
      </c>
      <c r="L59" s="109">
        <f>SUM(L7:L58)</f>
        <v/>
      </c>
      <c r="M59" s="110">
        <f>SUM(M7:M58)</f>
        <v/>
      </c>
      <c r="N59" s="110">
        <f>SUM(N7:N58)</f>
        <v/>
      </c>
      <c r="O59" s="110">
        <f>SUM(O7:O58)</f>
        <v/>
      </c>
      <c r="P59" s="109">
        <f>SUM(P7:P58)</f>
        <v/>
      </c>
      <c r="Q59" s="110">
        <f>SUM(Q7:Q58)</f>
        <v/>
      </c>
      <c r="R59" s="110">
        <f>SUM(R7:R58)</f>
        <v/>
      </c>
      <c r="S59" s="110">
        <f>SUM(S7:S58)</f>
        <v/>
      </c>
      <c r="T59" s="109">
        <f>SUM(T7:T58)</f>
        <v/>
      </c>
      <c r="U59" s="110">
        <f>SUM(U7:U58)</f>
        <v/>
      </c>
      <c r="V59" s="110">
        <f>SUM(V7:V58)</f>
        <v/>
      </c>
      <c r="W59" s="110">
        <f>SUM(W7:W58)</f>
        <v/>
      </c>
    </row>
    <row r="60"/>
    <row r="61" ht="31.5" customHeight="1" s="73">
      <c r="D61" s="64" t="inlineStr">
        <is>
          <t>В том числе гос. задание ГУ ТО "Тулаавтодор"</t>
        </is>
      </c>
      <c r="E61" s="81">
        <f>SUM(E7:E57)</f>
        <v/>
      </c>
      <c r="F61" s="82">
        <f>H61+L61+P61+T61</f>
        <v/>
      </c>
      <c r="G61" s="36">
        <f>F61/E61*100</f>
        <v/>
      </c>
      <c r="H61" s="83">
        <f>SUM(I61:K61)</f>
        <v/>
      </c>
      <c r="I61" s="81">
        <f>SUM(I7:I57)</f>
        <v/>
      </c>
      <c r="J61" s="81">
        <f>SUM(J7:J57)</f>
        <v/>
      </c>
      <c r="K61" s="81">
        <f>SUM(K7:K57)</f>
        <v/>
      </c>
      <c r="L61" s="83">
        <f>SUM(M61:O61)</f>
        <v/>
      </c>
      <c r="M61" s="81">
        <f>SUM(M7:M57)</f>
        <v/>
      </c>
      <c r="N61" s="81">
        <f>SUM(N7:N57)</f>
        <v/>
      </c>
      <c r="O61" s="81">
        <f>SUM(O7:O57)</f>
        <v/>
      </c>
      <c r="P61" s="83">
        <f>SUM(Q61:S61)</f>
        <v/>
      </c>
      <c r="Q61" s="81">
        <f>SUM(Q7:Q57)</f>
        <v/>
      </c>
      <c r="R61" s="81">
        <f>SUM(R7:R57)</f>
        <v/>
      </c>
      <c r="S61" s="81">
        <f>SUM(S7:S57)</f>
        <v/>
      </c>
      <c r="T61" s="83">
        <f>SUM(U61:W61)</f>
        <v/>
      </c>
      <c r="U61" s="81">
        <f>SUM(U7:U57)</f>
        <v/>
      </c>
      <c r="V61" s="81">
        <f>SUM(V7:V57)</f>
        <v/>
      </c>
      <c r="W61" s="81">
        <f>SUM(W7:W57)</f>
        <v/>
      </c>
    </row>
    <row r="62" ht="47.25" customHeight="1" s="73">
      <c r="D62" s="64" t="inlineStr">
        <is>
          <t>В том числе гос. задание ГАУ ТО "Проектная контора"</t>
        </is>
      </c>
      <c r="E62" s="81">
        <f>E58</f>
        <v/>
      </c>
      <c r="F62" s="82">
        <f>H62+L62+P62+T62</f>
        <v/>
      </c>
      <c r="G62" s="36" t="n">
        <v>0</v>
      </c>
      <c r="H62" s="83">
        <f>SUM(I62:K62)</f>
        <v/>
      </c>
      <c r="I62" s="84">
        <f>I58</f>
        <v/>
      </c>
      <c r="J62" s="84">
        <f>J58</f>
        <v/>
      </c>
      <c r="K62" s="84">
        <f>K58</f>
        <v/>
      </c>
      <c r="L62" s="83">
        <f>SUM(M62:O62)</f>
        <v/>
      </c>
      <c r="M62" s="84">
        <f>M58</f>
        <v/>
      </c>
      <c r="N62" s="84">
        <f>N58</f>
        <v/>
      </c>
      <c r="O62" s="84">
        <f>O58</f>
        <v/>
      </c>
      <c r="P62" s="83">
        <f>SUM(Q62:S62)</f>
        <v/>
      </c>
      <c r="Q62" s="84">
        <f>Q58</f>
        <v/>
      </c>
      <c r="R62" s="84">
        <f>R58</f>
        <v/>
      </c>
      <c r="S62" s="84">
        <f>S58</f>
        <v/>
      </c>
      <c r="T62" s="83">
        <f>SUM(U62:W62)</f>
        <v/>
      </c>
      <c r="U62" s="84">
        <f>U58</f>
        <v/>
      </c>
      <c r="V62" s="84">
        <f>V58</f>
        <v/>
      </c>
      <c r="W62" s="84">
        <f>W58</f>
        <v/>
      </c>
    </row>
    <row r="63"/>
    <row r="64" ht="15.75" customHeight="1" s="73">
      <c r="D64" s="64" t="inlineStr">
        <is>
          <t>БКАД</t>
        </is>
      </c>
      <c r="E64" s="81">
        <f>SUM(E7:E18)+E22+E24+E39+E37+E45+E44+E50</f>
        <v/>
      </c>
      <c r="F64" s="82">
        <f>H64+L64+P64+T64</f>
        <v/>
      </c>
      <c r="G64" s="36">
        <f>F64/E64*100</f>
        <v/>
      </c>
      <c r="H64" s="83">
        <f>SUM(I64:K64)</f>
        <v/>
      </c>
      <c r="I64" s="81">
        <f>SUM(I7:I18,I22,I24,I37,I39,I44:I45,I50)</f>
        <v/>
      </c>
      <c r="J64" s="81">
        <f>SUM(J7:J18,J22,J24,J37,J39,J44:J45,J50)</f>
        <v/>
      </c>
      <c r="K64" s="81">
        <f>SUM(K7:K18,K22,K24,K37,K39,K44:K45,K50)</f>
        <v/>
      </c>
      <c r="L64" s="83">
        <f>SUM(M64:O64)</f>
        <v/>
      </c>
      <c r="M64" s="81">
        <f>SUM(M7:M18,M22,M24,M37,M39,M44:M45,M50)</f>
        <v/>
      </c>
      <c r="N64" s="81">
        <f>SUM(N7:N18,N22,N24,N37,N39,N44:N45,N50)</f>
        <v/>
      </c>
      <c r="O64" s="81">
        <f>SUM(O7:O18,O22,O24,O37,O39,O44:O45,O50)</f>
        <v/>
      </c>
      <c r="P64" s="83">
        <f>SUM(Q64:S64)</f>
        <v/>
      </c>
      <c r="Q64" s="81">
        <f>SUM(Q7:Q18,Q22,Q24,Q37,Q39,Q44:Q45,Q50)</f>
        <v/>
      </c>
      <c r="R64" s="81">
        <f>SUM(R7:R18,R22,R24,R37,R39,R44:R45,R50)</f>
        <v/>
      </c>
      <c r="S64" s="81">
        <f>SUM(S7:S18,S22,S24,S37,S39,S44:S45,S50)</f>
        <v/>
      </c>
      <c r="T64" s="83">
        <f>SUM(U64:W64)</f>
        <v/>
      </c>
      <c r="U64" s="81">
        <f>SUM(U7:U18,U22,U24,U37,U39,U44:U45,U50)</f>
        <v/>
      </c>
      <c r="V64" s="81">
        <f>SUM(V7:V18,V22,V24,V37,V39,V44:V45,V50)</f>
        <v/>
      </c>
      <c r="W64" s="81">
        <f>SUM(W7:W18,W22,W24,W37,W39,W44:W45,W50)</f>
        <v/>
      </c>
    </row>
    <row r="65" ht="15.75" customHeight="1" s="73">
      <c r="D65" s="64" t="inlineStr">
        <is>
          <t>Не БКАД</t>
        </is>
      </c>
      <c r="E65" s="81">
        <f>E61-E64</f>
        <v/>
      </c>
      <c r="F65" s="82">
        <f>H65+L65+P65+T65</f>
        <v/>
      </c>
      <c r="G65" s="36">
        <f>F65/E65*100</f>
        <v/>
      </c>
      <c r="H65" s="83">
        <f>SUM(I65:K65)</f>
        <v/>
      </c>
      <c r="I65" s="81">
        <f>I61-I64</f>
        <v/>
      </c>
      <c r="J65" s="81">
        <f>J61-J64</f>
        <v/>
      </c>
      <c r="K65" s="81">
        <f>K61-K64</f>
        <v/>
      </c>
      <c r="L65" s="83">
        <f>SUM(M65:O65)</f>
        <v/>
      </c>
      <c r="M65" s="81">
        <f>M61-M64</f>
        <v/>
      </c>
      <c r="N65" s="81">
        <f>N61-N64</f>
        <v/>
      </c>
      <c r="O65" s="81">
        <f>O61-O64</f>
        <v/>
      </c>
      <c r="P65" s="83">
        <f>SUM(Q65:S65)</f>
        <v/>
      </c>
      <c r="Q65" s="81">
        <f>Q61-Q64</f>
        <v/>
      </c>
      <c r="R65" s="81">
        <f>R61-R64</f>
        <v/>
      </c>
      <c r="S65" s="81">
        <f>S61-S64</f>
        <v/>
      </c>
      <c r="T65" s="83">
        <f>SUM(U65:W65)</f>
        <v/>
      </c>
      <c r="U65" s="81">
        <f>U61-U64</f>
        <v/>
      </c>
      <c r="V65" s="81">
        <f>V61-V64</f>
        <v/>
      </c>
      <c r="W65" s="81">
        <f>W61-W64</f>
        <v/>
      </c>
    </row>
    <row r="66">
      <c r="S66" t="inlineStr">
        <is>
          <t>,</t>
        </is>
      </c>
    </row>
    <row r="67">
      <c r="R67" s="98" t="n"/>
    </row>
    <row r="68" ht="15.75" customHeight="1" s="73">
      <c r="I68" s="111" t="n"/>
      <c r="J68" s="111" t="n"/>
      <c r="K68" s="111" t="n"/>
      <c r="L68" s="112" t="n"/>
      <c r="M68" s="111" t="n"/>
      <c r="N68" s="111" t="n"/>
      <c r="O68" s="111" t="n"/>
      <c r="Q68" s="113" t="n"/>
    </row>
    <row r="69" ht="15.75" customHeight="1" s="73">
      <c r="B69" s="13" t="inlineStr">
        <is>
          <t>Начальник экономико-аналитического отдела</t>
        </is>
      </c>
      <c r="C69" s="13" t="n"/>
      <c r="D69" s="13" t="inlineStr">
        <is>
          <t>Силаева Т.В.</t>
        </is>
      </c>
      <c r="I69" s="111" t="n"/>
      <c r="J69" s="111" t="n"/>
      <c r="K69" s="111" t="n"/>
      <c r="L69" s="112" t="n"/>
      <c r="M69" s="111" t="n"/>
      <c r="N69" s="111" t="n"/>
      <c r="O69" s="111" t="n"/>
      <c r="Q69" s="113" t="n"/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conditionalFormatting sqref="G7:G53 G56 G58">
    <cfRule type="expression" priority="4" dxfId="0">
      <formula>F7-E7&gt;0.1</formula>
    </cfRule>
  </conditionalFormatting>
  <conditionalFormatting sqref="G54">
    <cfRule type="expression" priority="3" dxfId="0">
      <formula>F54-E54&gt;0.1</formula>
    </cfRule>
  </conditionalFormatting>
  <conditionalFormatting sqref="G55">
    <cfRule type="expression" priority="2" dxfId="0">
      <formula>F55-E55&gt;0.1</formula>
    </cfRule>
  </conditionalFormatting>
  <conditionalFormatting sqref="G57">
    <cfRule type="expression" priority="1" dxfId="0">
      <formula>F57-E57&gt;0.1</formula>
    </cfRule>
  </conditionalFormatting>
  <pageMargins left="0.7" right="0.7" top="0.75" bottom="0.75" header="0.3" footer="0.3"/>
  <pageSetup orientation="landscape" paperSize="8" scale="73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morozova</dc:creator>
  <dc:language>ru-RU</dc:language>
  <dcterms:created xsi:type="dcterms:W3CDTF">2014-01-14T05:21:09Z</dcterms:created>
  <dcterms:modified xsi:type="dcterms:W3CDTF">2021-12-21T13:28:30Z</dcterms:modified>
  <cp:lastModifiedBy>eremin</cp:lastModifiedBy>
  <cp:revision>0</cp:revision>
  <cp:lastPrinted>2021-04-02T10:44:27Z</cp:lastPrinted>
</cp:coreProperties>
</file>