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rnestolugo/Work/gestion-pacientes/"/>
    </mc:Choice>
  </mc:AlternateContent>
  <xr:revisionPtr revIDLastSave="0" documentId="13_ncr:1_{7EEC52E9-2E5E-1741-9638-F7AEECF019D1}" xr6:coauthVersionLast="47" xr6:coauthVersionMax="47" xr10:uidLastSave="{00000000-0000-0000-0000-000000000000}"/>
  <bookViews>
    <workbookView xWindow="0" yWindow="680" windowWidth="30240" windowHeight="18960" tabRatio="664" activeTab="7" xr2:uid="{00000000-000D-0000-FFFF-FFFF00000000}"/>
  </bookViews>
  <sheets>
    <sheet name="HISTORIA" sheetId="1" r:id="rId1"/>
    <sheet name="LABORATORIO" sheetId="5" r:id="rId2"/>
    <sheet name="ANTROPOMETRÍA DEPORTISTAS" sheetId="9" r:id="rId3"/>
    <sheet name="5 COMPONENTES" sheetId="23" r:id="rId4"/>
    <sheet name="ARGO-REF" sheetId="19" r:id="rId5"/>
    <sheet name="Predicción de Talla" sheetId="20" r:id="rId6"/>
    <sheet name="PHV" sheetId="21" r:id="rId7"/>
    <sheet name="REQUERIMIENTOS" sheetId="13" r:id="rId8"/>
    <sheet name="RESUMEN ANTROPOMETRICO" sheetId="17" r:id="rId9"/>
    <sheet name="Hoja1" sheetId="29" r:id="rId10"/>
    <sheet name="DATOS ANTROPOMÉTRICOS" sheetId="2" state="hidden" r:id="rId11"/>
    <sheet name="SOMATOCARTA" sheetId="3" state="hidden" r:id="rId12"/>
    <sheet name="INFORME 2 COMPONENTES PEDIATRIA" sheetId="8" state="hidden" r:id="rId13"/>
  </sheets>
  <definedNames>
    <definedName name="_xlnm._FilterDatabase" localSheetId="0" hidden="1">HISTORIA!$A$3:$M$43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3" l="1"/>
  <c r="B52" i="9"/>
  <c r="B9" i="9"/>
  <c r="F53" i="9"/>
  <c r="J9" i="17" s="1"/>
  <c r="O9" i="17"/>
  <c r="D8" i="17"/>
  <c r="D9" i="17"/>
  <c r="G53" i="9"/>
  <c r="K9" i="17" s="1"/>
  <c r="H53" i="9"/>
  <c r="L9" i="17" s="1"/>
  <c r="I53" i="9"/>
  <c r="M9" i="17" s="1"/>
  <c r="J53" i="9"/>
  <c r="N9" i="17" s="1"/>
  <c r="K53" i="9"/>
  <c r="L53" i="9"/>
  <c r="M53" i="9"/>
  <c r="N53" i="9"/>
  <c r="O53" i="9"/>
  <c r="P53" i="9"/>
  <c r="Q53" i="9"/>
  <c r="R53" i="9"/>
  <c r="S53" i="9"/>
  <c r="G19" i="17"/>
  <c r="H19" i="17"/>
  <c r="I19" i="17"/>
  <c r="J19" i="17"/>
  <c r="K19" i="17"/>
  <c r="L19" i="17"/>
  <c r="M19" i="17"/>
  <c r="N19" i="17"/>
  <c r="O19" i="17"/>
  <c r="P19" i="17"/>
  <c r="G20" i="17"/>
  <c r="H20" i="17"/>
  <c r="I20" i="17"/>
  <c r="J20" i="17"/>
  <c r="K20" i="17"/>
  <c r="L20" i="17"/>
  <c r="M20" i="17"/>
  <c r="N20" i="17"/>
  <c r="O20" i="17"/>
  <c r="P20" i="17"/>
  <c r="G21" i="17"/>
  <c r="H21" i="17"/>
  <c r="I21" i="17"/>
  <c r="J21" i="17"/>
  <c r="K21" i="17"/>
  <c r="L21" i="17"/>
  <c r="M21" i="17"/>
  <c r="N21" i="17"/>
  <c r="O21" i="17"/>
  <c r="P21" i="17"/>
  <c r="G22" i="17"/>
  <c r="H22" i="17"/>
  <c r="I22" i="17"/>
  <c r="J22" i="17"/>
  <c r="K22" i="17"/>
  <c r="L22" i="17"/>
  <c r="M22" i="17"/>
  <c r="N22" i="17"/>
  <c r="O22" i="17"/>
  <c r="P22" i="17"/>
  <c r="G23" i="17"/>
  <c r="H23" i="17"/>
  <c r="I23" i="17"/>
  <c r="J23" i="17"/>
  <c r="K23" i="17"/>
  <c r="L23" i="17"/>
  <c r="M23" i="17"/>
  <c r="N23" i="17"/>
  <c r="O23" i="17"/>
  <c r="P23" i="17"/>
  <c r="G24" i="17"/>
  <c r="H24" i="17"/>
  <c r="I24" i="17"/>
  <c r="J24" i="17"/>
  <c r="K24" i="17"/>
  <c r="L24" i="17"/>
  <c r="M24" i="17"/>
  <c r="N24" i="17"/>
  <c r="O24" i="17"/>
  <c r="P24" i="17"/>
  <c r="G25" i="17"/>
  <c r="H25" i="17"/>
  <c r="I25" i="17"/>
  <c r="J25" i="17"/>
  <c r="K25" i="17"/>
  <c r="L25" i="17"/>
  <c r="M25" i="17"/>
  <c r="N25" i="17"/>
  <c r="O25" i="17"/>
  <c r="P25" i="17"/>
  <c r="G26" i="17"/>
  <c r="H26" i="17"/>
  <c r="I26" i="17"/>
  <c r="J26" i="17"/>
  <c r="K26" i="17"/>
  <c r="L26" i="17"/>
  <c r="M26" i="17"/>
  <c r="N26" i="17"/>
  <c r="O26" i="17"/>
  <c r="P26" i="17"/>
  <c r="G27" i="17"/>
  <c r="H27" i="17"/>
  <c r="I27" i="17"/>
  <c r="J27" i="17"/>
  <c r="K27" i="17"/>
  <c r="L27" i="17"/>
  <c r="M27" i="17"/>
  <c r="N27" i="17"/>
  <c r="O27" i="17"/>
  <c r="P27" i="17"/>
  <c r="G28" i="17"/>
  <c r="H28" i="17"/>
  <c r="I28" i="17"/>
  <c r="J28" i="17"/>
  <c r="K28" i="17"/>
  <c r="L28" i="17"/>
  <c r="M28" i="17"/>
  <c r="N28" i="17"/>
  <c r="O28" i="17"/>
  <c r="P28" i="17"/>
  <c r="G29" i="17"/>
  <c r="H29" i="17"/>
  <c r="I29" i="17"/>
  <c r="J29" i="17"/>
  <c r="K29" i="17"/>
  <c r="L29" i="17"/>
  <c r="M29" i="17"/>
  <c r="N29" i="17"/>
  <c r="O29" i="17"/>
  <c r="P29" i="17"/>
  <c r="G30" i="17"/>
  <c r="H30" i="17"/>
  <c r="I30" i="17"/>
  <c r="J30" i="17"/>
  <c r="K30" i="17"/>
  <c r="L30" i="17"/>
  <c r="M30" i="17"/>
  <c r="N30" i="17"/>
  <c r="O30" i="17"/>
  <c r="P30" i="17"/>
  <c r="G32" i="17"/>
  <c r="H32" i="17"/>
  <c r="I32" i="17"/>
  <c r="J32" i="17"/>
  <c r="K32" i="17"/>
  <c r="L32" i="17"/>
  <c r="M32" i="17"/>
  <c r="N32" i="17"/>
  <c r="O32" i="17"/>
  <c r="P32" i="17"/>
  <c r="F32" i="17"/>
  <c r="F30" i="17"/>
  <c r="F29" i="17"/>
  <c r="F28" i="17"/>
  <c r="D28" i="17"/>
  <c r="F27" i="17"/>
  <c r="F26" i="17"/>
  <c r="F25" i="17"/>
  <c r="F24" i="17"/>
  <c r="F23" i="17"/>
  <c r="F22" i="17"/>
  <c r="F21" i="17"/>
  <c r="F20" i="17"/>
  <c r="F19" i="17"/>
  <c r="D7" i="23"/>
  <c r="E7" i="23"/>
  <c r="F7" i="23"/>
  <c r="G7" i="23"/>
  <c r="G51" i="23" s="1"/>
  <c r="H7" i="23"/>
  <c r="I7" i="23"/>
  <c r="J7" i="23"/>
  <c r="K7" i="23"/>
  <c r="L7" i="23"/>
  <c r="C7" i="23"/>
  <c r="I35" i="13"/>
  <c r="D4" i="23"/>
  <c r="C3" i="23"/>
  <c r="C4" i="23" s="1"/>
  <c r="C1" i="23"/>
  <c r="C90" i="23" s="1"/>
  <c r="L101" i="23"/>
  <c r="K101" i="23"/>
  <c r="J101" i="23"/>
  <c r="I101" i="23"/>
  <c r="H101" i="23"/>
  <c r="G101" i="23"/>
  <c r="F101" i="23"/>
  <c r="E101" i="23"/>
  <c r="D101" i="23"/>
  <c r="C101" i="23"/>
  <c r="L100" i="23"/>
  <c r="K100" i="23"/>
  <c r="J100" i="23"/>
  <c r="I100" i="23"/>
  <c r="H100" i="23"/>
  <c r="G100" i="23"/>
  <c r="F100" i="23"/>
  <c r="E100" i="23"/>
  <c r="D100" i="23"/>
  <c r="C100" i="23"/>
  <c r="L99" i="23"/>
  <c r="K99" i="23"/>
  <c r="J99" i="23"/>
  <c r="I99" i="23"/>
  <c r="H99" i="23"/>
  <c r="G99" i="23"/>
  <c r="G107" i="23" s="1"/>
  <c r="F99" i="23"/>
  <c r="E99" i="23"/>
  <c r="D99" i="23"/>
  <c r="C99" i="23"/>
  <c r="C107" i="23" s="1"/>
  <c r="L98" i="23"/>
  <c r="K98" i="23"/>
  <c r="J98" i="23"/>
  <c r="I98" i="23"/>
  <c r="I106" i="23" s="1"/>
  <c r="H98" i="23"/>
  <c r="G98" i="23"/>
  <c r="F98" i="23"/>
  <c r="E98" i="23"/>
  <c r="D98" i="23"/>
  <c r="C98" i="23"/>
  <c r="L97" i="23"/>
  <c r="K97" i="23"/>
  <c r="J97" i="23"/>
  <c r="I97" i="23"/>
  <c r="H97" i="23"/>
  <c r="G97" i="23"/>
  <c r="F97" i="23"/>
  <c r="E97" i="23"/>
  <c r="D97" i="23"/>
  <c r="C97" i="23"/>
  <c r="L96" i="23"/>
  <c r="K96" i="23"/>
  <c r="J96" i="23"/>
  <c r="I96" i="23"/>
  <c r="H96" i="23"/>
  <c r="G96" i="23"/>
  <c r="F96" i="23"/>
  <c r="E96" i="23"/>
  <c r="D96" i="23"/>
  <c r="C96" i="23"/>
  <c r="L95" i="23"/>
  <c r="K95" i="23"/>
  <c r="J95" i="23"/>
  <c r="I95" i="23"/>
  <c r="H95" i="23"/>
  <c r="G95" i="23"/>
  <c r="F95" i="23"/>
  <c r="E95" i="23"/>
  <c r="D95" i="23"/>
  <c r="C95" i="23"/>
  <c r="L94" i="23"/>
  <c r="K94" i="23"/>
  <c r="J94" i="23"/>
  <c r="J102" i="23" s="1"/>
  <c r="I94" i="23"/>
  <c r="I102" i="23" s="1"/>
  <c r="H94" i="23"/>
  <c r="G94" i="23"/>
  <c r="F94" i="23"/>
  <c r="F102" i="23" s="1"/>
  <c r="E94" i="23"/>
  <c r="E102" i="23" s="1"/>
  <c r="D94" i="23"/>
  <c r="C94" i="23"/>
  <c r="L92" i="23"/>
  <c r="K92" i="23"/>
  <c r="J92" i="23"/>
  <c r="I92" i="23"/>
  <c r="H92" i="23"/>
  <c r="G92" i="23"/>
  <c r="F92" i="23"/>
  <c r="E92" i="23"/>
  <c r="D92" i="23"/>
  <c r="C92" i="23"/>
  <c r="L91" i="23"/>
  <c r="K91" i="23"/>
  <c r="K93" i="23" s="1"/>
  <c r="K110" i="23" s="1"/>
  <c r="J91" i="23"/>
  <c r="I91" i="23"/>
  <c r="H91" i="23"/>
  <c r="G91" i="23"/>
  <c r="G93" i="23" s="1"/>
  <c r="G110" i="23" s="1"/>
  <c r="F91" i="23"/>
  <c r="E91" i="23"/>
  <c r="D91" i="23"/>
  <c r="C91" i="23"/>
  <c r="L90" i="23"/>
  <c r="K90" i="23"/>
  <c r="J90" i="23"/>
  <c r="I90" i="23"/>
  <c r="H90" i="23"/>
  <c r="G90" i="23"/>
  <c r="F90" i="23"/>
  <c r="E90" i="23"/>
  <c r="D90" i="23"/>
  <c r="G81" i="23"/>
  <c r="G82" i="23" s="1"/>
  <c r="G86" i="23" s="1"/>
  <c r="G88" i="23" s="1"/>
  <c r="C81" i="23"/>
  <c r="C82" i="23" s="1"/>
  <c r="C86" i="23" s="1"/>
  <c r="C88" i="23" s="1"/>
  <c r="L80" i="23"/>
  <c r="L81" i="23" s="1"/>
  <c r="L82" i="23" s="1"/>
  <c r="K80" i="23"/>
  <c r="K81" i="23" s="1"/>
  <c r="K82" i="23" s="1"/>
  <c r="J80" i="23"/>
  <c r="J81" i="23" s="1"/>
  <c r="J82" i="23" s="1"/>
  <c r="I80" i="23"/>
  <c r="I81" i="23" s="1"/>
  <c r="I82" i="23" s="1"/>
  <c r="H80" i="23"/>
  <c r="H81" i="23" s="1"/>
  <c r="H82" i="23" s="1"/>
  <c r="G80" i="23"/>
  <c r="F80" i="23"/>
  <c r="F81" i="23" s="1"/>
  <c r="F82" i="23" s="1"/>
  <c r="E80" i="23"/>
  <c r="E81" i="23" s="1"/>
  <c r="E82" i="23" s="1"/>
  <c r="D80" i="23"/>
  <c r="D81" i="23" s="1"/>
  <c r="D82" i="23" s="1"/>
  <c r="C80" i="23"/>
  <c r="L79" i="23"/>
  <c r="K79" i="23"/>
  <c r="J79" i="23"/>
  <c r="I79" i="23"/>
  <c r="H79" i="23"/>
  <c r="G79" i="23"/>
  <c r="F79" i="23"/>
  <c r="E79" i="23"/>
  <c r="D79" i="23"/>
  <c r="C79" i="23"/>
  <c r="L78" i="23"/>
  <c r="K78" i="23"/>
  <c r="J78" i="23"/>
  <c r="I78" i="23"/>
  <c r="H78" i="23"/>
  <c r="G78" i="23"/>
  <c r="F78" i="23"/>
  <c r="E78" i="23"/>
  <c r="D78" i="23"/>
  <c r="C78" i="23"/>
  <c r="L77" i="23"/>
  <c r="K77" i="23"/>
  <c r="J77" i="23"/>
  <c r="I77" i="23"/>
  <c r="H77" i="23"/>
  <c r="G77" i="23"/>
  <c r="F77" i="23"/>
  <c r="E77" i="23"/>
  <c r="D77" i="23"/>
  <c r="C77" i="23"/>
  <c r="L76" i="23"/>
  <c r="K76" i="23"/>
  <c r="J76" i="23"/>
  <c r="I76" i="23"/>
  <c r="H76" i="23"/>
  <c r="G76" i="23"/>
  <c r="F76" i="23"/>
  <c r="E76" i="23"/>
  <c r="D76" i="23"/>
  <c r="C76" i="23"/>
  <c r="L75" i="23"/>
  <c r="K75" i="23"/>
  <c r="J75" i="23"/>
  <c r="I75" i="23"/>
  <c r="H75" i="23"/>
  <c r="G75" i="23"/>
  <c r="F75" i="23"/>
  <c r="E75" i="23"/>
  <c r="D75" i="23"/>
  <c r="C75" i="23"/>
  <c r="L74" i="23"/>
  <c r="K74" i="23"/>
  <c r="J74" i="23"/>
  <c r="I74" i="23"/>
  <c r="H74" i="23"/>
  <c r="G74" i="23"/>
  <c r="F74" i="23"/>
  <c r="E74" i="23"/>
  <c r="D74" i="23"/>
  <c r="C74" i="23"/>
  <c r="L73" i="23"/>
  <c r="K73" i="23"/>
  <c r="J73" i="23"/>
  <c r="I73" i="23"/>
  <c r="H73" i="23"/>
  <c r="G73" i="23"/>
  <c r="F73" i="23"/>
  <c r="E73" i="23"/>
  <c r="D73" i="23"/>
  <c r="C73" i="23"/>
  <c r="L72" i="23"/>
  <c r="K72" i="23"/>
  <c r="J72" i="23"/>
  <c r="I72" i="23"/>
  <c r="H72" i="23"/>
  <c r="G72" i="23"/>
  <c r="F72" i="23"/>
  <c r="E72" i="23"/>
  <c r="D72" i="23"/>
  <c r="C72" i="23"/>
  <c r="L70" i="23"/>
  <c r="K70" i="23"/>
  <c r="J70" i="23"/>
  <c r="I70" i="23"/>
  <c r="H70" i="23"/>
  <c r="G70" i="23"/>
  <c r="F70" i="23"/>
  <c r="E70" i="23"/>
  <c r="D70" i="23"/>
  <c r="C70" i="23"/>
  <c r="H51" i="23"/>
  <c r="L49" i="23"/>
  <c r="K49" i="23"/>
  <c r="J49" i="23"/>
  <c r="I49" i="23"/>
  <c r="H49" i="23"/>
  <c r="G49" i="23"/>
  <c r="F49" i="23"/>
  <c r="E49" i="23"/>
  <c r="D49" i="23"/>
  <c r="C49" i="23"/>
  <c r="L48" i="23"/>
  <c r="K48" i="23"/>
  <c r="J48" i="23"/>
  <c r="I48" i="23"/>
  <c r="H48" i="23"/>
  <c r="G48" i="23"/>
  <c r="F48" i="23"/>
  <c r="E48" i="23"/>
  <c r="D48" i="23"/>
  <c r="C48" i="23"/>
  <c r="L47" i="23"/>
  <c r="K47" i="23"/>
  <c r="J47" i="23"/>
  <c r="I47" i="23"/>
  <c r="H47" i="23"/>
  <c r="G47" i="23"/>
  <c r="F47" i="23"/>
  <c r="E47" i="23"/>
  <c r="D47" i="23"/>
  <c r="C47" i="23"/>
  <c r="L45" i="23"/>
  <c r="L51" i="23" s="1"/>
  <c r="K45" i="23"/>
  <c r="J45" i="23"/>
  <c r="J51" i="23" s="1"/>
  <c r="I45" i="23"/>
  <c r="I51" i="23" s="1"/>
  <c r="H45" i="23"/>
  <c r="G45" i="23"/>
  <c r="F45" i="23"/>
  <c r="F51" i="23" s="1"/>
  <c r="E45" i="23"/>
  <c r="E51" i="23" s="1"/>
  <c r="D45" i="23"/>
  <c r="D51" i="23" s="1"/>
  <c r="C45" i="23"/>
  <c r="C51" i="23" s="1"/>
  <c r="L44" i="23"/>
  <c r="K44" i="23"/>
  <c r="J44" i="23"/>
  <c r="I44" i="23"/>
  <c r="H44" i="23"/>
  <c r="G44" i="23"/>
  <c r="F44" i="23"/>
  <c r="E44" i="23"/>
  <c r="D44" i="23"/>
  <c r="C44" i="23"/>
  <c r="L43" i="23"/>
  <c r="K43" i="23"/>
  <c r="J43" i="23"/>
  <c r="I43" i="23"/>
  <c r="H43" i="23"/>
  <c r="G43" i="23"/>
  <c r="F43" i="23"/>
  <c r="E43" i="23"/>
  <c r="D43" i="23"/>
  <c r="C43" i="23"/>
  <c r="L42" i="23"/>
  <c r="K42" i="23"/>
  <c r="J42" i="23"/>
  <c r="I42" i="23"/>
  <c r="H42" i="23"/>
  <c r="G42" i="23"/>
  <c r="F42" i="23"/>
  <c r="E42" i="23"/>
  <c r="D42" i="23"/>
  <c r="C42" i="23"/>
  <c r="L41" i="23"/>
  <c r="K41" i="23"/>
  <c r="J41" i="23"/>
  <c r="J50" i="23" s="1"/>
  <c r="I41" i="23"/>
  <c r="I50" i="23" s="1"/>
  <c r="H41" i="23"/>
  <c r="G41" i="23"/>
  <c r="F41" i="23"/>
  <c r="F50" i="23" s="1"/>
  <c r="E41" i="23"/>
  <c r="E50" i="23" s="1"/>
  <c r="D41" i="23"/>
  <c r="C41" i="23"/>
  <c r="L4" i="23"/>
  <c r="K4" i="23"/>
  <c r="J4" i="23"/>
  <c r="I4" i="23"/>
  <c r="H4" i="23"/>
  <c r="G4" i="23"/>
  <c r="E4" i="23"/>
  <c r="F4" i="23"/>
  <c r="D56" i="13"/>
  <c r="C9" i="9"/>
  <c r="B44" i="9"/>
  <c r="C7" i="1"/>
  <c r="D53" i="9" s="1"/>
  <c r="H9" i="17" s="1"/>
  <c r="E53" i="9" l="1"/>
  <c r="I9" i="17" s="1"/>
  <c r="B53" i="9"/>
  <c r="C53" i="9"/>
  <c r="K51" i="23"/>
  <c r="K86" i="23"/>
  <c r="K88" i="23" s="1"/>
  <c r="K89" i="23"/>
  <c r="F106" i="23"/>
  <c r="F109" i="23" s="1"/>
  <c r="D107" i="23"/>
  <c r="L107" i="23"/>
  <c r="G50" i="23"/>
  <c r="C89" i="23"/>
  <c r="C102" i="23"/>
  <c r="C103" i="23" s="1"/>
  <c r="G102" i="23"/>
  <c r="G103" i="23" s="1"/>
  <c r="K102" i="23"/>
  <c r="K103" i="23" s="1"/>
  <c r="K104" i="23" s="1"/>
  <c r="K108" i="23" s="1"/>
  <c r="C106" i="23"/>
  <c r="G106" i="23"/>
  <c r="G109" i="23" s="1"/>
  <c r="K106" i="23"/>
  <c r="E107" i="23"/>
  <c r="I107" i="23"/>
  <c r="C83" i="23"/>
  <c r="E106" i="23"/>
  <c r="K107" i="23"/>
  <c r="K109" i="23" s="1"/>
  <c r="C87" i="23"/>
  <c r="J106" i="23"/>
  <c r="H107" i="23"/>
  <c r="C50" i="23"/>
  <c r="C71" i="23" s="1"/>
  <c r="K50" i="23"/>
  <c r="D50" i="23"/>
  <c r="H50" i="23"/>
  <c r="L50" i="23"/>
  <c r="L52" i="23" s="1"/>
  <c r="E103" i="23"/>
  <c r="E105" i="23" s="1"/>
  <c r="I103" i="23"/>
  <c r="I105" i="23" s="1"/>
  <c r="D102" i="23"/>
  <c r="H102" i="23"/>
  <c r="L102" i="23"/>
  <c r="D106" i="23"/>
  <c r="H106" i="23"/>
  <c r="H109" i="23" s="1"/>
  <c r="L106" i="23"/>
  <c r="L109" i="23" s="1"/>
  <c r="F107" i="23"/>
  <c r="J107" i="23"/>
  <c r="C109" i="23"/>
  <c r="E71" i="23"/>
  <c r="I71" i="23"/>
  <c r="I89" i="23"/>
  <c r="I87" i="23"/>
  <c r="I83" i="23"/>
  <c r="I86" i="23"/>
  <c r="I88" i="23" s="1"/>
  <c r="F71" i="23"/>
  <c r="J71" i="23"/>
  <c r="G71" i="23"/>
  <c r="K71" i="23"/>
  <c r="K105" i="23"/>
  <c r="D71" i="23"/>
  <c r="H71" i="23"/>
  <c r="E52" i="23"/>
  <c r="E59" i="23" s="1"/>
  <c r="I52" i="23"/>
  <c r="F89" i="23"/>
  <c r="F87" i="23"/>
  <c r="F83" i="23"/>
  <c r="F86" i="23"/>
  <c r="F88" i="23" s="1"/>
  <c r="J89" i="23"/>
  <c r="J87" i="23"/>
  <c r="J83" i="23"/>
  <c r="J86" i="23"/>
  <c r="J88" i="23" s="1"/>
  <c r="J109" i="23"/>
  <c r="G104" i="23"/>
  <c r="G108" i="23" s="1"/>
  <c r="F52" i="23"/>
  <c r="F57" i="23" s="1"/>
  <c r="K52" i="23"/>
  <c r="G83" i="23"/>
  <c r="F103" i="23"/>
  <c r="J103" i="23"/>
  <c r="G105" i="23"/>
  <c r="G52" i="23"/>
  <c r="G59" i="23" s="1"/>
  <c r="D86" i="23"/>
  <c r="D88" i="23" s="1"/>
  <c r="D89" i="23"/>
  <c r="D87" i="23"/>
  <c r="D83" i="23"/>
  <c r="H86" i="23"/>
  <c r="H88" i="23" s="1"/>
  <c r="H89" i="23"/>
  <c r="H87" i="23"/>
  <c r="H83" i="23"/>
  <c r="L86" i="23"/>
  <c r="L88" i="23" s="1"/>
  <c r="L89" i="23"/>
  <c r="L87" i="23"/>
  <c r="L83" i="23"/>
  <c r="E89" i="23"/>
  <c r="E87" i="23"/>
  <c r="E83" i="23"/>
  <c r="K83" i="23"/>
  <c r="G87" i="23"/>
  <c r="C93" i="23"/>
  <c r="C110" i="23" s="1"/>
  <c r="D109" i="23"/>
  <c r="E104" i="23"/>
  <c r="E108" i="23" s="1"/>
  <c r="J52" i="23"/>
  <c r="J58" i="23" s="1"/>
  <c r="D52" i="23"/>
  <c r="H52" i="23"/>
  <c r="H56" i="23" s="1"/>
  <c r="E86" i="23"/>
  <c r="E88" i="23" s="1"/>
  <c r="K87" i="23"/>
  <c r="G89" i="23"/>
  <c r="D103" i="23"/>
  <c r="H103" i="23"/>
  <c r="L103" i="23"/>
  <c r="E109" i="23"/>
  <c r="I109" i="23"/>
  <c r="I104" i="23"/>
  <c r="I108" i="23" s="1"/>
  <c r="D93" i="23"/>
  <c r="D110" i="23" s="1"/>
  <c r="H93" i="23"/>
  <c r="H110" i="23" s="1"/>
  <c r="L93" i="23"/>
  <c r="L110" i="23" s="1"/>
  <c r="E93" i="23"/>
  <c r="E110" i="23" s="1"/>
  <c r="I93" i="23"/>
  <c r="I110" i="23" s="1"/>
  <c r="F93" i="23"/>
  <c r="F110" i="23" s="1"/>
  <c r="J93" i="23"/>
  <c r="J110" i="23" s="1"/>
  <c r="J35" i="13"/>
  <c r="J34" i="13"/>
  <c r="G9" i="17" l="1"/>
  <c r="G10" i="17"/>
  <c r="F10" i="17"/>
  <c r="F9" i="17"/>
  <c r="F60" i="23"/>
  <c r="H60" i="23"/>
  <c r="H59" i="23"/>
  <c r="C104" i="23"/>
  <c r="C105" i="23"/>
  <c r="C52" i="23"/>
  <c r="C58" i="23" s="1"/>
  <c r="H58" i="23"/>
  <c r="H61" i="23" s="1"/>
  <c r="E57" i="23"/>
  <c r="E60" i="23"/>
  <c r="L71" i="23"/>
  <c r="C108" i="23"/>
  <c r="C116" i="23" s="1"/>
  <c r="G115" i="23"/>
  <c r="G116" i="23"/>
  <c r="K116" i="23"/>
  <c r="K115" i="23"/>
  <c r="E116" i="23"/>
  <c r="D53" i="23"/>
  <c r="D54" i="23"/>
  <c r="L53" i="23"/>
  <c r="L54" i="23"/>
  <c r="K53" i="23"/>
  <c r="K54" i="23"/>
  <c r="L58" i="23"/>
  <c r="D58" i="23"/>
  <c r="K57" i="23"/>
  <c r="I115" i="23"/>
  <c r="L104" i="23"/>
  <c r="L108" i="23" s="1"/>
  <c r="L105" i="23"/>
  <c r="L57" i="23"/>
  <c r="D57" i="23"/>
  <c r="J54" i="23"/>
  <c r="J53" i="23"/>
  <c r="G53" i="23"/>
  <c r="G57" i="23"/>
  <c r="G54" i="23"/>
  <c r="J105" i="23"/>
  <c r="J104" i="23"/>
  <c r="J108" i="23" s="1"/>
  <c r="F54" i="23"/>
  <c r="F53" i="23"/>
  <c r="I54" i="23"/>
  <c r="I53" i="23"/>
  <c r="I58" i="23"/>
  <c r="G60" i="23"/>
  <c r="K58" i="23"/>
  <c r="G56" i="23"/>
  <c r="L59" i="23"/>
  <c r="F59" i="23"/>
  <c r="E115" i="23"/>
  <c r="H104" i="23"/>
  <c r="H105" i="23"/>
  <c r="F56" i="23"/>
  <c r="F105" i="23"/>
  <c r="F104" i="23"/>
  <c r="L60" i="23"/>
  <c r="D60" i="23"/>
  <c r="J57" i="23"/>
  <c r="L56" i="23"/>
  <c r="D56" i="23"/>
  <c r="E54" i="23"/>
  <c r="E53" i="23"/>
  <c r="I56" i="23"/>
  <c r="K59" i="23"/>
  <c r="J60" i="23"/>
  <c r="J59" i="23"/>
  <c r="I59" i="23"/>
  <c r="I116" i="23"/>
  <c r="D104" i="23"/>
  <c r="D108" i="23" s="1"/>
  <c r="D105" i="23"/>
  <c r="H53" i="23"/>
  <c r="H54" i="23"/>
  <c r="F58" i="23"/>
  <c r="H57" i="23"/>
  <c r="J56" i="23"/>
  <c r="K60" i="23"/>
  <c r="G58" i="23"/>
  <c r="I57" i="23"/>
  <c r="K56" i="23"/>
  <c r="D59" i="23"/>
  <c r="E58" i="23"/>
  <c r="E56" i="23"/>
  <c r="I60" i="23"/>
  <c r="J33" i="13"/>
  <c r="B57" i="9" l="1"/>
  <c r="F8" i="17"/>
  <c r="D61" i="23"/>
  <c r="J61" i="23"/>
  <c r="I61" i="23"/>
  <c r="L61" i="23"/>
  <c r="G61" i="23"/>
  <c r="F61" i="23"/>
  <c r="K61" i="23"/>
  <c r="E61" i="23"/>
  <c r="C57" i="23"/>
  <c r="D115" i="23"/>
  <c r="D116" i="23"/>
  <c r="C54" i="23"/>
  <c r="H108" i="23"/>
  <c r="H115" i="23" s="1"/>
  <c r="C59" i="23"/>
  <c r="C56" i="23"/>
  <c r="C60" i="23"/>
  <c r="F108" i="23"/>
  <c r="F115" i="23" s="1"/>
  <c r="C53" i="23"/>
  <c r="C65" i="23" s="1"/>
  <c r="C115" i="23"/>
  <c r="H116" i="23"/>
  <c r="J115" i="23"/>
  <c r="J116" i="23"/>
  <c r="F116" i="23"/>
  <c r="L115" i="23"/>
  <c r="L116" i="23"/>
  <c r="F63" i="23"/>
  <c r="F66" i="23"/>
  <c r="F67" i="23"/>
  <c r="F64" i="23"/>
  <c r="F65" i="23"/>
  <c r="D63" i="23"/>
  <c r="D67" i="23"/>
  <c r="D64" i="23"/>
  <c r="D65" i="23"/>
  <c r="D66" i="23"/>
  <c r="H65" i="23"/>
  <c r="H66" i="23"/>
  <c r="H63" i="23"/>
  <c r="H67" i="23"/>
  <c r="H64" i="23"/>
  <c r="E63" i="23"/>
  <c r="E66" i="23"/>
  <c r="E64" i="23"/>
  <c r="E65" i="23"/>
  <c r="E67" i="23"/>
  <c r="J66" i="23"/>
  <c r="J67" i="23"/>
  <c r="J64" i="23"/>
  <c r="J65" i="23"/>
  <c r="J63" i="23"/>
  <c r="J68" i="23" s="1"/>
  <c r="L63" i="23"/>
  <c r="L67" i="23"/>
  <c r="L66" i="23"/>
  <c r="L64" i="23"/>
  <c r="L65" i="23"/>
  <c r="I66" i="23"/>
  <c r="I63" i="23"/>
  <c r="I67" i="23"/>
  <c r="I65" i="23"/>
  <c r="I64" i="23"/>
  <c r="G64" i="23"/>
  <c r="G66" i="23"/>
  <c r="G63" i="23"/>
  <c r="G67" i="23"/>
  <c r="G65" i="23"/>
  <c r="K64" i="23"/>
  <c r="K65" i="23"/>
  <c r="K66" i="23"/>
  <c r="K63" i="23"/>
  <c r="K67" i="23"/>
  <c r="E36" i="17"/>
  <c r="B3" i="13"/>
  <c r="C66" i="23" l="1"/>
  <c r="C67" i="23"/>
  <c r="I68" i="23"/>
  <c r="D68" i="23"/>
  <c r="H68" i="23"/>
  <c r="F68" i="23"/>
  <c r="K68" i="23"/>
  <c r="G68" i="23"/>
  <c r="L68" i="23"/>
  <c r="E68" i="23"/>
  <c r="C63" i="23"/>
  <c r="C64" i="23"/>
  <c r="C61" i="23"/>
  <c r="U14" i="13"/>
  <c r="U13" i="13"/>
  <c r="U15" i="13"/>
  <c r="C44" i="9"/>
  <c r="D44" i="9"/>
  <c r="E44" i="9"/>
  <c r="F44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P45" i="9"/>
  <c r="Q45" i="9"/>
  <c r="R45" i="9"/>
  <c r="S45" i="9"/>
  <c r="C46" i="9"/>
  <c r="D46" i="9"/>
  <c r="E46" i="9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C47" i="9"/>
  <c r="D47" i="9"/>
  <c r="E47" i="9"/>
  <c r="F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C48" i="9"/>
  <c r="D48" i="9"/>
  <c r="E48" i="9"/>
  <c r="F48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C49" i="9"/>
  <c r="D49" i="9"/>
  <c r="E49" i="9"/>
  <c r="F49" i="9"/>
  <c r="G49" i="9"/>
  <c r="H49" i="9"/>
  <c r="I49" i="9"/>
  <c r="J49" i="9"/>
  <c r="K49" i="9"/>
  <c r="L49" i="9"/>
  <c r="M49" i="9"/>
  <c r="N49" i="9"/>
  <c r="O49" i="9"/>
  <c r="P49" i="9"/>
  <c r="Q49" i="9"/>
  <c r="R49" i="9"/>
  <c r="S49" i="9"/>
  <c r="C50" i="9"/>
  <c r="D50" i="9"/>
  <c r="E50" i="9"/>
  <c r="F5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C51" i="9"/>
  <c r="D51" i="9"/>
  <c r="E51" i="9"/>
  <c r="F51" i="9"/>
  <c r="G51" i="9"/>
  <c r="H51" i="9"/>
  <c r="I51" i="9"/>
  <c r="J51" i="9"/>
  <c r="K51" i="9"/>
  <c r="L51" i="9"/>
  <c r="M51" i="9"/>
  <c r="N51" i="9"/>
  <c r="O51" i="9"/>
  <c r="P51" i="9"/>
  <c r="Q51" i="9"/>
  <c r="R51" i="9"/>
  <c r="S51" i="9"/>
  <c r="C52" i="9"/>
  <c r="D52" i="9"/>
  <c r="E52" i="9"/>
  <c r="F52" i="9"/>
  <c r="G52" i="9"/>
  <c r="H52" i="9"/>
  <c r="I52" i="9"/>
  <c r="J52" i="9"/>
  <c r="K52" i="9"/>
  <c r="L52" i="9"/>
  <c r="L57" i="9" s="1"/>
  <c r="M52" i="9"/>
  <c r="M57" i="9" s="1"/>
  <c r="N52" i="9"/>
  <c r="N57" i="9" s="1"/>
  <c r="O52" i="9"/>
  <c r="O57" i="9" s="1"/>
  <c r="P52" i="9"/>
  <c r="P57" i="9" s="1"/>
  <c r="Q52" i="9"/>
  <c r="Q57" i="9" s="1"/>
  <c r="R52" i="9"/>
  <c r="R57" i="9" s="1"/>
  <c r="S52" i="9"/>
  <c r="S57" i="9" s="1"/>
  <c r="S58" i="9" s="1"/>
  <c r="S60" i="9" s="1"/>
  <c r="C54" i="9"/>
  <c r="D54" i="9"/>
  <c r="E54" i="9"/>
  <c r="F54" i="9"/>
  <c r="G54" i="9"/>
  <c r="H54" i="9"/>
  <c r="I54" i="9"/>
  <c r="J54" i="9"/>
  <c r="K54" i="9"/>
  <c r="L54" i="9"/>
  <c r="M54" i="9"/>
  <c r="N54" i="9"/>
  <c r="O54" i="9"/>
  <c r="P54" i="9"/>
  <c r="Q54" i="9"/>
  <c r="R54" i="9"/>
  <c r="S54" i="9"/>
  <c r="C55" i="9"/>
  <c r="D55" i="9"/>
  <c r="E55" i="9"/>
  <c r="F55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C56" i="9"/>
  <c r="D56" i="9"/>
  <c r="E56" i="9"/>
  <c r="F56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Q74" i="9"/>
  <c r="Q75" i="9" s="1"/>
  <c r="Q77" i="9" s="1"/>
  <c r="P63" i="9"/>
  <c r="Q63" i="9"/>
  <c r="R63" i="9"/>
  <c r="S63" i="9"/>
  <c r="P64" i="9"/>
  <c r="Q64" i="9"/>
  <c r="R64" i="9"/>
  <c r="S64" i="9"/>
  <c r="C81" i="9"/>
  <c r="C82" i="9" s="1"/>
  <c r="D81" i="9"/>
  <c r="D82" i="9" s="1"/>
  <c r="E81" i="9"/>
  <c r="E84" i="9" s="1"/>
  <c r="E88" i="9" s="1"/>
  <c r="F81" i="9"/>
  <c r="F82" i="9" s="1"/>
  <c r="G81" i="9"/>
  <c r="G84" i="9" s="1"/>
  <c r="G88" i="9" s="1"/>
  <c r="H81" i="9"/>
  <c r="H82" i="9" s="1"/>
  <c r="I81" i="9"/>
  <c r="I83" i="9" s="1"/>
  <c r="I87" i="9" s="1"/>
  <c r="J81" i="9"/>
  <c r="J82" i="9" s="1"/>
  <c r="K81" i="9"/>
  <c r="K82" i="9" s="1"/>
  <c r="L81" i="9"/>
  <c r="L82" i="9" s="1"/>
  <c r="M81" i="9"/>
  <c r="M82" i="9" s="1"/>
  <c r="N81" i="9"/>
  <c r="N82" i="9" s="1"/>
  <c r="O81" i="9"/>
  <c r="O84" i="9" s="1"/>
  <c r="O88" i="9" s="1"/>
  <c r="P81" i="9"/>
  <c r="P82" i="9" s="1"/>
  <c r="Q81" i="9"/>
  <c r="Q82" i="9" s="1"/>
  <c r="R81" i="9"/>
  <c r="R82" i="9" s="1"/>
  <c r="S81" i="9"/>
  <c r="S82" i="9" s="1"/>
  <c r="C92" i="9"/>
  <c r="D92" i="9"/>
  <c r="E92" i="9"/>
  <c r="F92" i="9"/>
  <c r="G92" i="9"/>
  <c r="H92" i="9"/>
  <c r="I92" i="9"/>
  <c r="J92" i="9"/>
  <c r="K92" i="9"/>
  <c r="L92" i="9"/>
  <c r="M92" i="9"/>
  <c r="N92" i="9"/>
  <c r="O92" i="9"/>
  <c r="P92" i="9"/>
  <c r="P93" i="9" s="1"/>
  <c r="Q92" i="9"/>
  <c r="Q93" i="9" s="1"/>
  <c r="R92" i="9"/>
  <c r="R93" i="9" s="1"/>
  <c r="R95" i="9" s="1"/>
  <c r="S92" i="9"/>
  <c r="S93" i="9" s="1"/>
  <c r="C96" i="9"/>
  <c r="D96" i="9"/>
  <c r="E96" i="9"/>
  <c r="F96" i="9"/>
  <c r="G96" i="9"/>
  <c r="H96" i="9"/>
  <c r="I96" i="9"/>
  <c r="J96" i="9"/>
  <c r="K96" i="9"/>
  <c r="L96" i="9"/>
  <c r="M96" i="9"/>
  <c r="N96" i="9"/>
  <c r="O96" i="9"/>
  <c r="P96" i="9"/>
  <c r="Q96" i="9"/>
  <c r="R96" i="9"/>
  <c r="S96" i="9"/>
  <c r="C97" i="9"/>
  <c r="D97" i="9"/>
  <c r="E97" i="9"/>
  <c r="F97" i="9"/>
  <c r="G97" i="9"/>
  <c r="H97" i="9"/>
  <c r="I97" i="9"/>
  <c r="J97" i="9"/>
  <c r="K97" i="9"/>
  <c r="L97" i="9"/>
  <c r="M97" i="9"/>
  <c r="N97" i="9"/>
  <c r="O97" i="9"/>
  <c r="P97" i="9"/>
  <c r="Q97" i="9"/>
  <c r="R97" i="9"/>
  <c r="S97" i="9"/>
  <c r="P98" i="9"/>
  <c r="P66" i="9" s="1"/>
  <c r="Q98" i="9"/>
  <c r="Q66" i="9" s="1"/>
  <c r="R98" i="9"/>
  <c r="R66" i="9" s="1"/>
  <c r="S98" i="9"/>
  <c r="S66" i="9" s="1"/>
  <c r="B97" i="9"/>
  <c r="B96" i="9"/>
  <c r="B92" i="9"/>
  <c r="B54" i="9"/>
  <c r="B51" i="9"/>
  <c r="B50" i="9"/>
  <c r="B49" i="9"/>
  <c r="B48" i="9"/>
  <c r="B47" i="9"/>
  <c r="B46" i="9"/>
  <c r="K57" i="9" l="1"/>
  <c r="K58" i="9" s="1"/>
  <c r="K60" i="9" s="1"/>
  <c r="O8" i="17"/>
  <c r="C57" i="9"/>
  <c r="C74" i="9" s="1"/>
  <c r="C75" i="9" s="1"/>
  <c r="C77" i="9" s="1"/>
  <c r="C79" i="9" s="1"/>
  <c r="G8" i="17"/>
  <c r="J8" i="17"/>
  <c r="F57" i="9"/>
  <c r="I57" i="9"/>
  <c r="I74" i="9" s="1"/>
  <c r="I75" i="9" s="1"/>
  <c r="I77" i="9" s="1"/>
  <c r="I80" i="9" s="1"/>
  <c r="M8" i="17"/>
  <c r="E57" i="9"/>
  <c r="I8" i="17"/>
  <c r="G57" i="9"/>
  <c r="G58" i="9" s="1"/>
  <c r="G60" i="9" s="1"/>
  <c r="K8" i="17"/>
  <c r="N8" i="17"/>
  <c r="J57" i="9"/>
  <c r="H57" i="9"/>
  <c r="H74" i="9" s="1"/>
  <c r="H75" i="9" s="1"/>
  <c r="H77" i="9" s="1"/>
  <c r="L8" i="17"/>
  <c r="D57" i="9"/>
  <c r="H8" i="17"/>
  <c r="C68" i="23"/>
  <c r="I82" i="9"/>
  <c r="Q83" i="9"/>
  <c r="Q87" i="9" s="1"/>
  <c r="M83" i="9"/>
  <c r="M87" i="9" s="1"/>
  <c r="E82" i="9"/>
  <c r="Q84" i="9"/>
  <c r="Q88" i="9" s="1"/>
  <c r="Q89" i="9" s="1"/>
  <c r="E83" i="9"/>
  <c r="E87" i="9" s="1"/>
  <c r="E89" i="9" s="1"/>
  <c r="O58" i="9"/>
  <c r="O60" i="9" s="1"/>
  <c r="M84" i="9"/>
  <c r="M88" i="9" s="1"/>
  <c r="D83" i="9"/>
  <c r="D87" i="9" s="1"/>
  <c r="K74" i="9"/>
  <c r="K75" i="9" s="1"/>
  <c r="K77" i="9" s="1"/>
  <c r="K79" i="9" s="1"/>
  <c r="E58" i="9"/>
  <c r="E76" i="9" s="1"/>
  <c r="E78" i="9" s="1"/>
  <c r="I84" i="9"/>
  <c r="I88" i="9" s="1"/>
  <c r="I89" i="9" s="1"/>
  <c r="L83" i="9"/>
  <c r="L87" i="9" s="1"/>
  <c r="S74" i="9"/>
  <c r="S75" i="9" s="1"/>
  <c r="S77" i="9" s="1"/>
  <c r="S80" i="9" s="1"/>
  <c r="O74" i="9"/>
  <c r="O75" i="9" s="1"/>
  <c r="O77" i="9" s="1"/>
  <c r="O80" i="9" s="1"/>
  <c r="C58" i="9"/>
  <c r="P83" i="9"/>
  <c r="P87" i="9" s="1"/>
  <c r="H83" i="9"/>
  <c r="H87" i="9" s="1"/>
  <c r="E74" i="9"/>
  <c r="E75" i="9" s="1"/>
  <c r="E77" i="9" s="1"/>
  <c r="E80" i="9" s="1"/>
  <c r="M74" i="9"/>
  <c r="M75" i="9" s="1"/>
  <c r="M77" i="9" s="1"/>
  <c r="M79" i="9" s="1"/>
  <c r="C84" i="9"/>
  <c r="C88" i="9" s="1"/>
  <c r="K84" i="9"/>
  <c r="K88" i="9" s="1"/>
  <c r="G82" i="9"/>
  <c r="S84" i="9"/>
  <c r="S88" i="9" s="1"/>
  <c r="O82" i="9"/>
  <c r="U16" i="13"/>
  <c r="M58" i="9"/>
  <c r="P94" i="9"/>
  <c r="P95" i="9"/>
  <c r="S83" i="9"/>
  <c r="S87" i="9" s="1"/>
  <c r="O83" i="9"/>
  <c r="O87" i="9" s="1"/>
  <c r="O89" i="9" s="1"/>
  <c r="K83" i="9"/>
  <c r="K87" i="9" s="1"/>
  <c r="G83" i="9"/>
  <c r="G87" i="9" s="1"/>
  <c r="G89" i="9" s="1"/>
  <c r="C83" i="9"/>
  <c r="C87" i="9" s="1"/>
  <c r="Q58" i="9"/>
  <c r="R83" i="9"/>
  <c r="R87" i="9" s="1"/>
  <c r="N83" i="9"/>
  <c r="N87" i="9" s="1"/>
  <c r="J83" i="9"/>
  <c r="J87" i="9" s="1"/>
  <c r="F83" i="9"/>
  <c r="F87" i="9" s="1"/>
  <c r="S67" i="9"/>
  <c r="Q67" i="9"/>
  <c r="R67" i="9"/>
  <c r="P67" i="9"/>
  <c r="U17" i="13"/>
  <c r="S95" i="9"/>
  <c r="S94" i="9"/>
  <c r="Q94" i="9"/>
  <c r="Q95" i="9"/>
  <c r="Q80" i="9"/>
  <c r="Q79" i="9"/>
  <c r="Q85" i="9"/>
  <c r="Q86" i="9" s="1"/>
  <c r="I79" i="9"/>
  <c r="I85" i="9"/>
  <c r="I86" i="9" s="1"/>
  <c r="R94" i="9"/>
  <c r="R68" i="9" s="1"/>
  <c r="R84" i="9"/>
  <c r="R88" i="9" s="1"/>
  <c r="P84" i="9"/>
  <c r="P88" i="9" s="1"/>
  <c r="N84" i="9"/>
  <c r="N88" i="9" s="1"/>
  <c r="L84" i="9"/>
  <c r="L88" i="9" s="1"/>
  <c r="J84" i="9"/>
  <c r="J88" i="9" s="1"/>
  <c r="H84" i="9"/>
  <c r="H88" i="9" s="1"/>
  <c r="F84" i="9"/>
  <c r="F88" i="9" s="1"/>
  <c r="F89" i="9" s="1"/>
  <c r="D84" i="9"/>
  <c r="D88" i="9" s="1"/>
  <c r="R74" i="9"/>
  <c r="R75" i="9" s="1"/>
  <c r="R77" i="9" s="1"/>
  <c r="P74" i="9"/>
  <c r="P75" i="9" s="1"/>
  <c r="P77" i="9" s="1"/>
  <c r="N74" i="9"/>
  <c r="N75" i="9" s="1"/>
  <c r="N77" i="9" s="1"/>
  <c r="L74" i="9"/>
  <c r="L75" i="9" s="1"/>
  <c r="L77" i="9" s="1"/>
  <c r="J74" i="9"/>
  <c r="J75" i="9" s="1"/>
  <c r="J77" i="9" s="1"/>
  <c r="F74" i="9"/>
  <c r="F75" i="9" s="1"/>
  <c r="F77" i="9" s="1"/>
  <c r="D74" i="9"/>
  <c r="D75" i="9" s="1"/>
  <c r="D77" i="9" s="1"/>
  <c r="S59" i="9"/>
  <c r="S61" i="9" s="1"/>
  <c r="S76" i="9"/>
  <c r="S78" i="9" s="1"/>
  <c r="K59" i="9"/>
  <c r="K61" i="9" s="1"/>
  <c r="K76" i="9"/>
  <c r="K78" i="9" s="1"/>
  <c r="R58" i="9"/>
  <c r="R60" i="9" s="1"/>
  <c r="P58" i="9"/>
  <c r="P60" i="9" s="1"/>
  <c r="N58" i="9"/>
  <c r="N60" i="9" s="1"/>
  <c r="L58" i="9"/>
  <c r="L60" i="9" s="1"/>
  <c r="J58" i="9"/>
  <c r="J60" i="9" s="1"/>
  <c r="H58" i="9"/>
  <c r="H60" i="9" s="1"/>
  <c r="F58" i="9"/>
  <c r="F60" i="9" s="1"/>
  <c r="D58" i="9"/>
  <c r="D60" i="9" s="1"/>
  <c r="G59" i="9" l="1"/>
  <c r="G61" i="9" s="1"/>
  <c r="C89" i="9"/>
  <c r="E85" i="9"/>
  <c r="E86" i="9" s="1"/>
  <c r="G76" i="9"/>
  <c r="G78" i="9" s="1"/>
  <c r="E79" i="9"/>
  <c r="I58" i="9"/>
  <c r="I76" i="9" s="1"/>
  <c r="I78" i="9" s="1"/>
  <c r="G74" i="9"/>
  <c r="G75" i="9" s="1"/>
  <c r="G77" i="9" s="1"/>
  <c r="G80" i="9" s="1"/>
  <c r="O59" i="9"/>
  <c r="O61" i="9" s="1"/>
  <c r="E59" i="9"/>
  <c r="E61" i="9" s="1"/>
  <c r="E60" i="9"/>
  <c r="Q59" i="9"/>
  <c r="Q61" i="9" s="1"/>
  <c r="Q60" i="9"/>
  <c r="O76" i="9"/>
  <c r="O78" i="9" s="1"/>
  <c r="G79" i="9"/>
  <c r="M59" i="9"/>
  <c r="M61" i="9" s="1"/>
  <c r="M60" i="9"/>
  <c r="C59" i="9"/>
  <c r="C61" i="9" s="1"/>
  <c r="C60" i="9"/>
  <c r="H89" i="9"/>
  <c r="K85" i="9"/>
  <c r="K86" i="9" s="1"/>
  <c r="K80" i="9"/>
  <c r="O85" i="9"/>
  <c r="O86" i="9" s="1"/>
  <c r="D89" i="9"/>
  <c r="K89" i="9"/>
  <c r="S79" i="9"/>
  <c r="P89" i="9"/>
  <c r="M89" i="9"/>
  <c r="S89" i="9"/>
  <c r="C76" i="9"/>
  <c r="C78" i="9" s="1"/>
  <c r="Q76" i="9"/>
  <c r="Q78" i="9" s="1"/>
  <c r="M80" i="9"/>
  <c r="S85" i="9"/>
  <c r="S86" i="9" s="1"/>
  <c r="O79" i="9"/>
  <c r="P68" i="9"/>
  <c r="P71" i="9" s="1"/>
  <c r="L89" i="9"/>
  <c r="J89" i="9"/>
  <c r="C80" i="9"/>
  <c r="M76" i="9"/>
  <c r="M78" i="9" s="1"/>
  <c r="C85" i="9"/>
  <c r="C86" i="9" s="1"/>
  <c r="M85" i="9"/>
  <c r="M86" i="9" s="1"/>
  <c r="N89" i="9"/>
  <c r="R89" i="9"/>
  <c r="Q68" i="9"/>
  <c r="Q71" i="9" s="1"/>
  <c r="S68" i="9"/>
  <c r="S72" i="9" s="1"/>
  <c r="R72" i="9"/>
  <c r="R71" i="9"/>
  <c r="D79" i="9"/>
  <c r="D85" i="9"/>
  <c r="D86" i="9" s="1"/>
  <c r="D80" i="9"/>
  <c r="H79" i="9"/>
  <c r="H85" i="9"/>
  <c r="H86" i="9" s="1"/>
  <c r="H80" i="9"/>
  <c r="L79" i="9"/>
  <c r="L85" i="9"/>
  <c r="L86" i="9" s="1"/>
  <c r="L80" i="9"/>
  <c r="P79" i="9"/>
  <c r="P85" i="9"/>
  <c r="P86" i="9" s="1"/>
  <c r="P80" i="9"/>
  <c r="D76" i="9"/>
  <c r="D78" i="9" s="1"/>
  <c r="D59" i="9"/>
  <c r="D61" i="9" s="1"/>
  <c r="F59" i="9"/>
  <c r="F61" i="9" s="1"/>
  <c r="F76" i="9"/>
  <c r="F78" i="9" s="1"/>
  <c r="H76" i="9"/>
  <c r="H78" i="9" s="1"/>
  <c r="H59" i="9"/>
  <c r="H61" i="9" s="1"/>
  <c r="J59" i="9"/>
  <c r="J61" i="9" s="1"/>
  <c r="J76" i="9"/>
  <c r="J78" i="9" s="1"/>
  <c r="L76" i="9"/>
  <c r="L78" i="9" s="1"/>
  <c r="L59" i="9"/>
  <c r="L61" i="9" s="1"/>
  <c r="N59" i="9"/>
  <c r="N61" i="9" s="1"/>
  <c r="N76" i="9"/>
  <c r="N78" i="9" s="1"/>
  <c r="P76" i="9"/>
  <c r="P78" i="9" s="1"/>
  <c r="P59" i="9"/>
  <c r="P61" i="9" s="1"/>
  <c r="R59" i="9"/>
  <c r="R61" i="9" s="1"/>
  <c r="R76" i="9"/>
  <c r="R78" i="9" s="1"/>
  <c r="F79" i="9"/>
  <c r="F80" i="9"/>
  <c r="F85" i="9"/>
  <c r="F86" i="9" s="1"/>
  <c r="J79" i="9"/>
  <c r="J85" i="9"/>
  <c r="J86" i="9" s="1"/>
  <c r="J80" i="9"/>
  <c r="N79" i="9"/>
  <c r="N80" i="9"/>
  <c r="N85" i="9"/>
  <c r="N86" i="9" s="1"/>
  <c r="R79" i="9"/>
  <c r="R80" i="9"/>
  <c r="R85" i="9"/>
  <c r="R86" i="9" s="1"/>
  <c r="G85" i="9" l="1"/>
  <c r="G86" i="9" s="1"/>
  <c r="I60" i="9"/>
  <c r="I59" i="9"/>
  <c r="I61" i="9" s="1"/>
  <c r="P72" i="9"/>
  <c r="Q72" i="9"/>
  <c r="S71" i="9"/>
  <c r="B56" i="9"/>
  <c r="B42" i="9"/>
  <c r="B41" i="9"/>
  <c r="B40" i="9"/>
  <c r="B39" i="9"/>
  <c r="B38" i="9"/>
  <c r="B4" i="13"/>
  <c r="D9" i="9"/>
  <c r="B64" i="9" l="1"/>
  <c r="C45" i="9"/>
  <c r="C63" i="9"/>
  <c r="C98" i="9"/>
  <c r="C66" i="9" s="1"/>
  <c r="C93" i="9"/>
  <c r="C67" i="9"/>
  <c r="D98" i="9"/>
  <c r="D66" i="9" s="1"/>
  <c r="D45" i="9"/>
  <c r="D63" i="9"/>
  <c r="D93" i="9"/>
  <c r="D67" i="9"/>
  <c r="B63" i="9"/>
  <c r="B45" i="9"/>
  <c r="B93" i="9"/>
  <c r="B67" i="9"/>
  <c r="B98" i="9"/>
  <c r="B66" i="9" s="1"/>
  <c r="B55" i="9"/>
  <c r="D94" i="9" l="1"/>
  <c r="D95" i="9"/>
  <c r="D68" i="9" s="1"/>
  <c r="C94" i="9"/>
  <c r="C95" i="9"/>
  <c r="F13" i="17"/>
  <c r="F14" i="17"/>
  <c r="I74" i="1"/>
  <c r="C68" i="9" l="1"/>
  <c r="C72" i="9" s="1"/>
  <c r="D71" i="9"/>
  <c r="D72" i="9"/>
  <c r="C11" i="20"/>
  <c r="C9" i="20"/>
  <c r="C8" i="20"/>
  <c r="C31" i="20" s="1"/>
  <c r="C7" i="20"/>
  <c r="C71" i="9" l="1"/>
  <c r="C15" i="20"/>
  <c r="C10" i="20"/>
  <c r="C12" i="20" s="1"/>
  <c r="C14" i="20"/>
  <c r="C13" i="20" l="1"/>
  <c r="C20" i="20" s="1"/>
  <c r="C23" i="20" s="1"/>
  <c r="K36" i="17"/>
  <c r="K37" i="17"/>
  <c r="K38" i="17"/>
  <c r="K41" i="17"/>
  <c r="K42" i="17"/>
  <c r="K43" i="17"/>
  <c r="K44" i="17"/>
  <c r="K45" i="17"/>
  <c r="K46" i="17"/>
  <c r="K47" i="17"/>
  <c r="K48" i="17"/>
  <c r="K49" i="17"/>
  <c r="K51" i="17"/>
  <c r="K52" i="17"/>
  <c r="K53" i="17"/>
  <c r="K54" i="17"/>
  <c r="K55" i="17"/>
  <c r="K56" i="17"/>
  <c r="K57" i="17"/>
  <c r="K58" i="17"/>
  <c r="K60" i="17"/>
  <c r="K61" i="17"/>
  <c r="I36" i="17"/>
  <c r="J36" i="17"/>
  <c r="I37" i="17"/>
  <c r="J37" i="17"/>
  <c r="I38" i="17"/>
  <c r="J38" i="17"/>
  <c r="I41" i="17"/>
  <c r="J41" i="17"/>
  <c r="I42" i="17"/>
  <c r="J42" i="17"/>
  <c r="I43" i="17"/>
  <c r="J43" i="17"/>
  <c r="I44" i="17"/>
  <c r="J44" i="17"/>
  <c r="I45" i="17"/>
  <c r="J45" i="17"/>
  <c r="I46" i="17"/>
  <c r="J46" i="17"/>
  <c r="I47" i="17"/>
  <c r="J47" i="17"/>
  <c r="I48" i="17"/>
  <c r="J48" i="17"/>
  <c r="I49" i="17"/>
  <c r="J49" i="17"/>
  <c r="I51" i="17"/>
  <c r="J51" i="17"/>
  <c r="I52" i="17"/>
  <c r="J52" i="17"/>
  <c r="I53" i="17"/>
  <c r="J53" i="17"/>
  <c r="I54" i="17"/>
  <c r="J54" i="17"/>
  <c r="I55" i="17"/>
  <c r="J55" i="17"/>
  <c r="I56" i="17"/>
  <c r="J56" i="17"/>
  <c r="I57" i="17"/>
  <c r="J57" i="17"/>
  <c r="I58" i="17"/>
  <c r="J58" i="17"/>
  <c r="I60" i="17"/>
  <c r="J60" i="17"/>
  <c r="I61" i="17"/>
  <c r="J61" i="17"/>
  <c r="H36" i="17"/>
  <c r="H37" i="17"/>
  <c r="H38" i="17"/>
  <c r="H39" i="17"/>
  <c r="H41" i="17"/>
  <c r="H42" i="17"/>
  <c r="H43" i="17"/>
  <c r="H44" i="17"/>
  <c r="H45" i="17"/>
  <c r="H46" i="17"/>
  <c r="H47" i="17"/>
  <c r="H48" i="17"/>
  <c r="H49" i="17"/>
  <c r="H51" i="17"/>
  <c r="H52" i="17"/>
  <c r="H53" i="17"/>
  <c r="H54" i="17"/>
  <c r="H55" i="17"/>
  <c r="H56" i="17"/>
  <c r="H57" i="17"/>
  <c r="H58" i="17"/>
  <c r="H60" i="17"/>
  <c r="H61" i="17"/>
  <c r="F36" i="17"/>
  <c r="G36" i="17"/>
  <c r="E37" i="17"/>
  <c r="F37" i="17"/>
  <c r="G37" i="17"/>
  <c r="E38" i="17"/>
  <c r="F38" i="17"/>
  <c r="G38" i="17"/>
  <c r="E39" i="17"/>
  <c r="F39" i="17"/>
  <c r="G39" i="17"/>
  <c r="E40" i="17"/>
  <c r="E41" i="17"/>
  <c r="F41" i="17"/>
  <c r="G41" i="17"/>
  <c r="E42" i="17"/>
  <c r="F42" i="17"/>
  <c r="G42" i="17"/>
  <c r="E43" i="17"/>
  <c r="F43" i="17"/>
  <c r="G43" i="17"/>
  <c r="E44" i="17"/>
  <c r="F44" i="17"/>
  <c r="G44" i="17"/>
  <c r="E45" i="17"/>
  <c r="F45" i="17"/>
  <c r="G45" i="17"/>
  <c r="E46" i="17"/>
  <c r="F46" i="17"/>
  <c r="G46" i="17"/>
  <c r="E47" i="17"/>
  <c r="F47" i="17"/>
  <c r="G47" i="17"/>
  <c r="E48" i="17"/>
  <c r="F48" i="17"/>
  <c r="G48" i="17"/>
  <c r="E49" i="17"/>
  <c r="F49" i="17"/>
  <c r="G49" i="17"/>
  <c r="E50" i="17"/>
  <c r="E51" i="17"/>
  <c r="F51" i="17"/>
  <c r="G51" i="17"/>
  <c r="E52" i="17"/>
  <c r="F52" i="17"/>
  <c r="G52" i="17"/>
  <c r="E53" i="17"/>
  <c r="F53" i="17"/>
  <c r="G53" i="17"/>
  <c r="E54" i="17"/>
  <c r="F54" i="17"/>
  <c r="G54" i="17"/>
  <c r="E55" i="17"/>
  <c r="F55" i="17"/>
  <c r="G55" i="17"/>
  <c r="E56" i="17"/>
  <c r="F56" i="17"/>
  <c r="G56" i="17"/>
  <c r="E57" i="17"/>
  <c r="F57" i="17"/>
  <c r="G57" i="17"/>
  <c r="E58" i="17"/>
  <c r="F58" i="17"/>
  <c r="G58" i="17"/>
  <c r="E59" i="17"/>
  <c r="E60" i="17"/>
  <c r="F60" i="17"/>
  <c r="G60" i="17"/>
  <c r="E61" i="17"/>
  <c r="F61" i="17"/>
  <c r="G61" i="17"/>
  <c r="R309" i="19"/>
  <c r="S309" i="19"/>
  <c r="R310" i="19"/>
  <c r="S310" i="19"/>
  <c r="R311" i="19"/>
  <c r="S311" i="19"/>
  <c r="R312" i="19"/>
  <c r="S312" i="19"/>
  <c r="R313" i="19"/>
  <c r="S313" i="19"/>
  <c r="R314" i="19"/>
  <c r="S314" i="19"/>
  <c r="R315" i="19"/>
  <c r="S315" i="19"/>
  <c r="R316" i="19"/>
  <c r="S316" i="19"/>
  <c r="R317" i="19"/>
  <c r="S317" i="19"/>
  <c r="R318" i="19"/>
  <c r="S318" i="19"/>
  <c r="R319" i="19"/>
  <c r="S319" i="19"/>
  <c r="R320" i="19"/>
  <c r="S320" i="19"/>
  <c r="R321" i="19"/>
  <c r="S321" i="19"/>
  <c r="H649" i="19" l="1"/>
  <c r="I649" i="19"/>
  <c r="H650" i="19"/>
  <c r="I650" i="19"/>
  <c r="H651" i="19"/>
  <c r="I651" i="19"/>
  <c r="H652" i="19"/>
  <c r="I652" i="19"/>
  <c r="H653" i="19"/>
  <c r="I653" i="19"/>
  <c r="H654" i="19"/>
  <c r="I654" i="19"/>
  <c r="H655" i="19"/>
  <c r="I655" i="19"/>
  <c r="H656" i="19"/>
  <c r="I656" i="19"/>
  <c r="H657" i="19"/>
  <c r="I657" i="19"/>
  <c r="H658" i="19"/>
  <c r="I658" i="19"/>
  <c r="H659" i="19"/>
  <c r="I659" i="19"/>
  <c r="H660" i="19"/>
  <c r="I660" i="19"/>
  <c r="H661" i="19"/>
  <c r="I661" i="19"/>
  <c r="F5" i="17" l="1"/>
  <c r="F6" i="17"/>
  <c r="S55" i="13"/>
  <c r="S53" i="13"/>
  <c r="H5" i="17"/>
  <c r="I5" i="17"/>
  <c r="J5" i="17"/>
  <c r="K5" i="17"/>
  <c r="L5" i="17"/>
  <c r="M5" i="17"/>
  <c r="N5" i="17"/>
  <c r="O5" i="17"/>
  <c r="H6" i="17"/>
  <c r="I6" i="17"/>
  <c r="J6" i="17"/>
  <c r="K6" i="17"/>
  <c r="L6" i="17"/>
  <c r="M6" i="17"/>
  <c r="N6" i="17"/>
  <c r="O6" i="17"/>
  <c r="G6" i="17"/>
  <c r="P15" i="13"/>
  <c r="I678" i="19" l="1"/>
  <c r="H678" i="19"/>
  <c r="I677" i="19"/>
  <c r="H677" i="19"/>
  <c r="I676" i="19"/>
  <c r="H676" i="19"/>
  <c r="I675" i="19"/>
  <c r="H675" i="19"/>
  <c r="I674" i="19"/>
  <c r="H674" i="19"/>
  <c r="I673" i="19"/>
  <c r="H673" i="19"/>
  <c r="I672" i="19"/>
  <c r="H672" i="19"/>
  <c r="I671" i="19"/>
  <c r="H671" i="19"/>
  <c r="I670" i="19"/>
  <c r="H670" i="19"/>
  <c r="I669" i="19"/>
  <c r="H669" i="19"/>
  <c r="I668" i="19"/>
  <c r="H668" i="19"/>
  <c r="I667" i="19"/>
  <c r="H667" i="19"/>
  <c r="I666" i="19"/>
  <c r="H666" i="19"/>
  <c r="I644" i="19"/>
  <c r="H644" i="19"/>
  <c r="I643" i="19"/>
  <c r="H643" i="19"/>
  <c r="I642" i="19"/>
  <c r="H642" i="19"/>
  <c r="I641" i="19"/>
  <c r="H641" i="19"/>
  <c r="I640" i="19"/>
  <c r="H640" i="19"/>
  <c r="I639" i="19"/>
  <c r="H639" i="19"/>
  <c r="I638" i="19"/>
  <c r="H638" i="19"/>
  <c r="I637" i="19"/>
  <c r="H637" i="19"/>
  <c r="I636" i="19"/>
  <c r="H636" i="19"/>
  <c r="I635" i="19"/>
  <c r="H635" i="19"/>
  <c r="I634" i="19"/>
  <c r="H634" i="19"/>
  <c r="I633" i="19"/>
  <c r="H633" i="19"/>
  <c r="I632" i="19"/>
  <c r="H632" i="19"/>
  <c r="I627" i="19"/>
  <c r="H627" i="19"/>
  <c r="I626" i="19"/>
  <c r="H626" i="19"/>
  <c r="I625" i="19"/>
  <c r="H625" i="19"/>
  <c r="I624" i="19"/>
  <c r="H624" i="19"/>
  <c r="I623" i="19"/>
  <c r="H623" i="19"/>
  <c r="I622" i="19"/>
  <c r="H622" i="19"/>
  <c r="I621" i="19"/>
  <c r="H621" i="19"/>
  <c r="I620" i="19"/>
  <c r="H620" i="19"/>
  <c r="I619" i="19"/>
  <c r="H619" i="19"/>
  <c r="I618" i="19"/>
  <c r="H618" i="19"/>
  <c r="I617" i="19"/>
  <c r="H617" i="19"/>
  <c r="I616" i="19"/>
  <c r="H616" i="19"/>
  <c r="I615" i="19"/>
  <c r="H615" i="19"/>
  <c r="I610" i="19"/>
  <c r="H610" i="19"/>
  <c r="I609" i="19"/>
  <c r="H609" i="19"/>
  <c r="I608" i="19"/>
  <c r="H608" i="19"/>
  <c r="I607" i="19"/>
  <c r="H607" i="19"/>
  <c r="I606" i="19"/>
  <c r="H606" i="19"/>
  <c r="I605" i="19"/>
  <c r="H605" i="19"/>
  <c r="I604" i="19"/>
  <c r="H604" i="19"/>
  <c r="I603" i="19"/>
  <c r="H603" i="19"/>
  <c r="I602" i="19"/>
  <c r="H602" i="19"/>
  <c r="I601" i="19"/>
  <c r="H601" i="19"/>
  <c r="I600" i="19"/>
  <c r="H600" i="19"/>
  <c r="I599" i="19"/>
  <c r="H599" i="19"/>
  <c r="I598" i="19"/>
  <c r="H598" i="19"/>
  <c r="I593" i="19"/>
  <c r="H593" i="19"/>
  <c r="I592" i="19"/>
  <c r="H592" i="19"/>
  <c r="I591" i="19"/>
  <c r="H591" i="19"/>
  <c r="I590" i="19"/>
  <c r="H590" i="19"/>
  <c r="I589" i="19"/>
  <c r="H589" i="19"/>
  <c r="I588" i="19"/>
  <c r="H588" i="19"/>
  <c r="I587" i="19"/>
  <c r="H587" i="19"/>
  <c r="I586" i="19"/>
  <c r="H586" i="19"/>
  <c r="I585" i="19"/>
  <c r="H585" i="19"/>
  <c r="I584" i="19"/>
  <c r="H584" i="19"/>
  <c r="I583" i="19"/>
  <c r="H583" i="19"/>
  <c r="I582" i="19"/>
  <c r="H582" i="19"/>
  <c r="I581" i="19"/>
  <c r="H581" i="19"/>
  <c r="I576" i="19"/>
  <c r="H576" i="19"/>
  <c r="I575" i="19"/>
  <c r="H575" i="19"/>
  <c r="I574" i="19"/>
  <c r="H574" i="19"/>
  <c r="I573" i="19"/>
  <c r="H573" i="19"/>
  <c r="I572" i="19"/>
  <c r="H572" i="19"/>
  <c r="I571" i="19"/>
  <c r="H571" i="19"/>
  <c r="I570" i="19"/>
  <c r="H570" i="19"/>
  <c r="I569" i="19"/>
  <c r="H569" i="19"/>
  <c r="I568" i="19"/>
  <c r="H568" i="19"/>
  <c r="I567" i="19"/>
  <c r="H567" i="19"/>
  <c r="I566" i="19"/>
  <c r="H566" i="19"/>
  <c r="I565" i="19"/>
  <c r="H565" i="19"/>
  <c r="I564" i="19"/>
  <c r="H564" i="19"/>
  <c r="I559" i="19"/>
  <c r="H559" i="19"/>
  <c r="I558" i="19"/>
  <c r="H558" i="19"/>
  <c r="I557" i="19"/>
  <c r="H557" i="19"/>
  <c r="I556" i="19"/>
  <c r="H556" i="19"/>
  <c r="I555" i="19"/>
  <c r="H555" i="19"/>
  <c r="I554" i="19"/>
  <c r="H554" i="19"/>
  <c r="I553" i="19"/>
  <c r="H553" i="19"/>
  <c r="I552" i="19"/>
  <c r="H552" i="19"/>
  <c r="I551" i="19"/>
  <c r="H551" i="19"/>
  <c r="I550" i="19"/>
  <c r="H550" i="19"/>
  <c r="I549" i="19"/>
  <c r="H549" i="19"/>
  <c r="I548" i="19"/>
  <c r="H548" i="19"/>
  <c r="I547" i="19"/>
  <c r="H547" i="19"/>
  <c r="I542" i="19"/>
  <c r="H542" i="19"/>
  <c r="I541" i="19"/>
  <c r="H541" i="19"/>
  <c r="I540" i="19"/>
  <c r="H540" i="19"/>
  <c r="I539" i="19"/>
  <c r="H539" i="19"/>
  <c r="I538" i="19"/>
  <c r="H538" i="19"/>
  <c r="I537" i="19"/>
  <c r="H537" i="19"/>
  <c r="I536" i="19"/>
  <c r="H536" i="19"/>
  <c r="I535" i="19"/>
  <c r="H535" i="19"/>
  <c r="I534" i="19"/>
  <c r="H534" i="19"/>
  <c r="I533" i="19"/>
  <c r="H533" i="19"/>
  <c r="I532" i="19"/>
  <c r="H532" i="19"/>
  <c r="I531" i="19"/>
  <c r="H531" i="19"/>
  <c r="I530" i="19"/>
  <c r="H530" i="19"/>
  <c r="I525" i="19"/>
  <c r="H525" i="19"/>
  <c r="I524" i="19"/>
  <c r="H524" i="19"/>
  <c r="I523" i="19"/>
  <c r="H523" i="19"/>
  <c r="I522" i="19"/>
  <c r="H522" i="19"/>
  <c r="I521" i="19"/>
  <c r="H521" i="19"/>
  <c r="I520" i="19"/>
  <c r="H520" i="19"/>
  <c r="I519" i="19"/>
  <c r="H519" i="19"/>
  <c r="I518" i="19"/>
  <c r="H518" i="19"/>
  <c r="I517" i="19"/>
  <c r="H517" i="19"/>
  <c r="I516" i="19"/>
  <c r="H516" i="19"/>
  <c r="I515" i="19"/>
  <c r="H515" i="19"/>
  <c r="I514" i="19"/>
  <c r="H514" i="19"/>
  <c r="I513" i="19"/>
  <c r="H513" i="19"/>
  <c r="I508" i="19"/>
  <c r="H508" i="19"/>
  <c r="I507" i="19"/>
  <c r="H507" i="19"/>
  <c r="I506" i="19"/>
  <c r="H506" i="19"/>
  <c r="I505" i="19"/>
  <c r="H505" i="19"/>
  <c r="I504" i="19"/>
  <c r="H504" i="19"/>
  <c r="I503" i="19"/>
  <c r="H503" i="19"/>
  <c r="I502" i="19"/>
  <c r="H502" i="19"/>
  <c r="I501" i="19"/>
  <c r="H501" i="19"/>
  <c r="I500" i="19"/>
  <c r="H500" i="19"/>
  <c r="I499" i="19"/>
  <c r="H499" i="19"/>
  <c r="I498" i="19"/>
  <c r="H498" i="19"/>
  <c r="I497" i="19"/>
  <c r="H497" i="19"/>
  <c r="I496" i="19"/>
  <c r="H496" i="19"/>
  <c r="I491" i="19"/>
  <c r="H491" i="19"/>
  <c r="I490" i="19"/>
  <c r="H490" i="19"/>
  <c r="I489" i="19"/>
  <c r="H489" i="19"/>
  <c r="I488" i="19"/>
  <c r="H488" i="19"/>
  <c r="I487" i="19"/>
  <c r="H487" i="19"/>
  <c r="I486" i="19"/>
  <c r="H486" i="19"/>
  <c r="I485" i="19"/>
  <c r="H485" i="19"/>
  <c r="I484" i="19"/>
  <c r="H484" i="19"/>
  <c r="I483" i="19"/>
  <c r="H483" i="19"/>
  <c r="I482" i="19"/>
  <c r="H482" i="19"/>
  <c r="I481" i="19"/>
  <c r="H481" i="19"/>
  <c r="I480" i="19"/>
  <c r="H480" i="19"/>
  <c r="I479" i="19"/>
  <c r="H479" i="19"/>
  <c r="I474" i="19"/>
  <c r="H474" i="19"/>
  <c r="I473" i="19"/>
  <c r="H473" i="19"/>
  <c r="I472" i="19"/>
  <c r="H472" i="19"/>
  <c r="I471" i="19"/>
  <c r="H471" i="19"/>
  <c r="I470" i="19"/>
  <c r="H470" i="19"/>
  <c r="I469" i="19"/>
  <c r="H469" i="19"/>
  <c r="I468" i="19"/>
  <c r="H468" i="19"/>
  <c r="I467" i="19"/>
  <c r="H467" i="19"/>
  <c r="I466" i="19"/>
  <c r="H466" i="19"/>
  <c r="I465" i="19"/>
  <c r="H465" i="19"/>
  <c r="I464" i="19"/>
  <c r="H464" i="19"/>
  <c r="I463" i="19"/>
  <c r="H463" i="19"/>
  <c r="I462" i="19"/>
  <c r="H462" i="19"/>
  <c r="I457" i="19"/>
  <c r="H457" i="19"/>
  <c r="I456" i="19"/>
  <c r="H456" i="19"/>
  <c r="I455" i="19"/>
  <c r="H455" i="19"/>
  <c r="I454" i="19"/>
  <c r="H454" i="19"/>
  <c r="I453" i="19"/>
  <c r="H453" i="19"/>
  <c r="I452" i="19"/>
  <c r="H452" i="19"/>
  <c r="I451" i="19"/>
  <c r="H451" i="19"/>
  <c r="I450" i="19"/>
  <c r="H450" i="19"/>
  <c r="I449" i="19"/>
  <c r="H449" i="19"/>
  <c r="I448" i="19"/>
  <c r="H448" i="19"/>
  <c r="I447" i="19"/>
  <c r="H447" i="19"/>
  <c r="I446" i="19"/>
  <c r="H446" i="19"/>
  <c r="I445" i="19"/>
  <c r="H445" i="19"/>
  <c r="I440" i="19"/>
  <c r="H440" i="19"/>
  <c r="I439" i="19"/>
  <c r="H439" i="19"/>
  <c r="I438" i="19"/>
  <c r="H438" i="19"/>
  <c r="I437" i="19"/>
  <c r="H437" i="19"/>
  <c r="I436" i="19"/>
  <c r="H436" i="19"/>
  <c r="I435" i="19"/>
  <c r="H435" i="19"/>
  <c r="I434" i="19"/>
  <c r="H434" i="19"/>
  <c r="I433" i="19"/>
  <c r="H433" i="19"/>
  <c r="I432" i="19"/>
  <c r="H432" i="19"/>
  <c r="I431" i="19"/>
  <c r="H431" i="19"/>
  <c r="I430" i="19"/>
  <c r="H430" i="19"/>
  <c r="I429" i="19"/>
  <c r="H429" i="19"/>
  <c r="I428" i="19"/>
  <c r="H428" i="19"/>
  <c r="I423" i="19"/>
  <c r="H423" i="19"/>
  <c r="I422" i="19"/>
  <c r="H422" i="19"/>
  <c r="I421" i="19"/>
  <c r="H421" i="19"/>
  <c r="I420" i="19"/>
  <c r="H420" i="19"/>
  <c r="I419" i="19"/>
  <c r="H419" i="19"/>
  <c r="I418" i="19"/>
  <c r="H418" i="19"/>
  <c r="I417" i="19"/>
  <c r="H417" i="19"/>
  <c r="I416" i="19"/>
  <c r="H416" i="19"/>
  <c r="I415" i="19"/>
  <c r="H415" i="19"/>
  <c r="I414" i="19"/>
  <c r="H414" i="19"/>
  <c r="I413" i="19"/>
  <c r="H413" i="19"/>
  <c r="I412" i="19"/>
  <c r="H412" i="19"/>
  <c r="I411" i="19"/>
  <c r="H411" i="19"/>
  <c r="I406" i="19"/>
  <c r="H406" i="19"/>
  <c r="I405" i="19"/>
  <c r="H405" i="19"/>
  <c r="I404" i="19"/>
  <c r="H404" i="19"/>
  <c r="I403" i="19"/>
  <c r="H403" i="19"/>
  <c r="I402" i="19"/>
  <c r="H402" i="19"/>
  <c r="I401" i="19"/>
  <c r="H401" i="19"/>
  <c r="I400" i="19"/>
  <c r="H400" i="19"/>
  <c r="I399" i="19"/>
  <c r="H399" i="19"/>
  <c r="I398" i="19"/>
  <c r="H398" i="19"/>
  <c r="I397" i="19"/>
  <c r="H397" i="19"/>
  <c r="I396" i="19"/>
  <c r="H396" i="19"/>
  <c r="I395" i="19"/>
  <c r="H395" i="19"/>
  <c r="I394" i="19"/>
  <c r="H394" i="19"/>
  <c r="I389" i="19"/>
  <c r="H389" i="19"/>
  <c r="I388" i="19"/>
  <c r="H388" i="19"/>
  <c r="I387" i="19"/>
  <c r="H387" i="19"/>
  <c r="I386" i="19"/>
  <c r="H386" i="19"/>
  <c r="I385" i="19"/>
  <c r="H385" i="19"/>
  <c r="I384" i="19"/>
  <c r="H384" i="19"/>
  <c r="I383" i="19"/>
  <c r="H383" i="19"/>
  <c r="I382" i="19"/>
  <c r="H382" i="19"/>
  <c r="I381" i="19"/>
  <c r="H381" i="19"/>
  <c r="I380" i="19"/>
  <c r="H380" i="19"/>
  <c r="I379" i="19"/>
  <c r="H379" i="19"/>
  <c r="I378" i="19"/>
  <c r="H378" i="19"/>
  <c r="I377" i="19"/>
  <c r="H377" i="19"/>
  <c r="I372" i="19"/>
  <c r="H372" i="19"/>
  <c r="I371" i="19"/>
  <c r="H371" i="19"/>
  <c r="I370" i="19"/>
  <c r="H370" i="19"/>
  <c r="I369" i="19"/>
  <c r="H369" i="19"/>
  <c r="I368" i="19"/>
  <c r="H368" i="19"/>
  <c r="I367" i="19"/>
  <c r="H367" i="19"/>
  <c r="I366" i="19"/>
  <c r="H366" i="19"/>
  <c r="I365" i="19"/>
  <c r="H365" i="19"/>
  <c r="I364" i="19"/>
  <c r="H364" i="19"/>
  <c r="I363" i="19"/>
  <c r="H363" i="19"/>
  <c r="I362" i="19"/>
  <c r="H362" i="19"/>
  <c r="I361" i="19"/>
  <c r="H361" i="19"/>
  <c r="I360" i="19"/>
  <c r="H360" i="19"/>
  <c r="S355" i="19"/>
  <c r="R355" i="19"/>
  <c r="I355" i="19"/>
  <c r="H355" i="19"/>
  <c r="S354" i="19"/>
  <c r="R354" i="19"/>
  <c r="I354" i="19"/>
  <c r="H354" i="19"/>
  <c r="S353" i="19"/>
  <c r="R353" i="19"/>
  <c r="I353" i="19"/>
  <c r="H353" i="19"/>
  <c r="S352" i="19"/>
  <c r="R352" i="19"/>
  <c r="I352" i="19"/>
  <c r="H352" i="19"/>
  <c r="S351" i="19"/>
  <c r="R351" i="19"/>
  <c r="I351" i="19"/>
  <c r="H351" i="19"/>
  <c r="S350" i="19"/>
  <c r="R350" i="19"/>
  <c r="I350" i="19"/>
  <c r="H350" i="19"/>
  <c r="S349" i="19"/>
  <c r="R349" i="19"/>
  <c r="I349" i="19"/>
  <c r="H349" i="19"/>
  <c r="S348" i="19"/>
  <c r="R348" i="19"/>
  <c r="I348" i="19"/>
  <c r="H348" i="19"/>
  <c r="S347" i="19"/>
  <c r="R347" i="19"/>
  <c r="I347" i="19"/>
  <c r="H347" i="19"/>
  <c r="S346" i="19"/>
  <c r="R346" i="19"/>
  <c r="I346" i="19"/>
  <c r="H346" i="19"/>
  <c r="S345" i="19"/>
  <c r="R345" i="19"/>
  <c r="I345" i="19"/>
  <c r="H345" i="19"/>
  <c r="S344" i="19"/>
  <c r="R344" i="19"/>
  <c r="I344" i="19"/>
  <c r="H344" i="19"/>
  <c r="S343" i="19"/>
  <c r="R343" i="19"/>
  <c r="I343" i="19"/>
  <c r="H343" i="19"/>
  <c r="S338" i="19"/>
  <c r="R338" i="19"/>
  <c r="I338" i="19"/>
  <c r="H338" i="19"/>
  <c r="S337" i="19"/>
  <c r="R337" i="19"/>
  <c r="I337" i="19"/>
  <c r="H337" i="19"/>
  <c r="S336" i="19"/>
  <c r="R336" i="19"/>
  <c r="I336" i="19"/>
  <c r="H336" i="19"/>
  <c r="S335" i="19"/>
  <c r="R335" i="19"/>
  <c r="I335" i="19"/>
  <c r="H335" i="19"/>
  <c r="S334" i="19"/>
  <c r="R334" i="19"/>
  <c r="I334" i="19"/>
  <c r="H334" i="19"/>
  <c r="S333" i="19"/>
  <c r="R333" i="19"/>
  <c r="I333" i="19"/>
  <c r="H333" i="19"/>
  <c r="S332" i="19"/>
  <c r="R332" i="19"/>
  <c r="I332" i="19"/>
  <c r="H332" i="19"/>
  <c r="S331" i="19"/>
  <c r="R331" i="19"/>
  <c r="I331" i="19"/>
  <c r="H331" i="19"/>
  <c r="S330" i="19"/>
  <c r="R330" i="19"/>
  <c r="I330" i="19"/>
  <c r="H330" i="19"/>
  <c r="S329" i="19"/>
  <c r="R329" i="19"/>
  <c r="I329" i="19"/>
  <c r="H329" i="19"/>
  <c r="S328" i="19"/>
  <c r="R328" i="19"/>
  <c r="I328" i="19"/>
  <c r="H328" i="19"/>
  <c r="S327" i="19"/>
  <c r="R327" i="19"/>
  <c r="I327" i="19"/>
  <c r="H327" i="19"/>
  <c r="S326" i="19"/>
  <c r="R326" i="19"/>
  <c r="I326" i="19"/>
  <c r="H326" i="19"/>
  <c r="I321" i="19"/>
  <c r="H321" i="19"/>
  <c r="I320" i="19"/>
  <c r="H320" i="19"/>
  <c r="I319" i="19"/>
  <c r="H319" i="19"/>
  <c r="I318" i="19"/>
  <c r="H318" i="19"/>
  <c r="I317" i="19"/>
  <c r="H317" i="19"/>
  <c r="I316" i="19"/>
  <c r="H316" i="19"/>
  <c r="I315" i="19"/>
  <c r="H315" i="19"/>
  <c r="I314" i="19"/>
  <c r="H314" i="19"/>
  <c r="I313" i="19"/>
  <c r="H313" i="19"/>
  <c r="I312" i="19"/>
  <c r="H312" i="19"/>
  <c r="I311" i="19"/>
  <c r="H311" i="19"/>
  <c r="I310" i="19"/>
  <c r="H310" i="19"/>
  <c r="I309" i="19"/>
  <c r="H309" i="19"/>
  <c r="S304" i="19"/>
  <c r="R304" i="19"/>
  <c r="I304" i="19"/>
  <c r="H304" i="19"/>
  <c r="S303" i="19"/>
  <c r="R303" i="19"/>
  <c r="I303" i="19"/>
  <c r="H303" i="19"/>
  <c r="S302" i="19"/>
  <c r="R302" i="19"/>
  <c r="I302" i="19"/>
  <c r="H302" i="19"/>
  <c r="S301" i="19"/>
  <c r="R301" i="19"/>
  <c r="I301" i="19"/>
  <c r="H301" i="19"/>
  <c r="S300" i="19"/>
  <c r="R300" i="19"/>
  <c r="I300" i="19"/>
  <c r="H300" i="19"/>
  <c r="S299" i="19"/>
  <c r="R299" i="19"/>
  <c r="I299" i="19"/>
  <c r="H299" i="19"/>
  <c r="S298" i="19"/>
  <c r="R298" i="19"/>
  <c r="I298" i="19"/>
  <c r="H298" i="19"/>
  <c r="S297" i="19"/>
  <c r="R297" i="19"/>
  <c r="I297" i="19"/>
  <c r="H297" i="19"/>
  <c r="S296" i="19"/>
  <c r="R296" i="19"/>
  <c r="I296" i="19"/>
  <c r="H296" i="19"/>
  <c r="S295" i="19"/>
  <c r="R295" i="19"/>
  <c r="I295" i="19"/>
  <c r="H295" i="19"/>
  <c r="S294" i="19"/>
  <c r="R294" i="19"/>
  <c r="I294" i="19"/>
  <c r="H294" i="19"/>
  <c r="S293" i="19"/>
  <c r="R293" i="19"/>
  <c r="I293" i="19"/>
  <c r="H293" i="19"/>
  <c r="S292" i="19"/>
  <c r="R292" i="19"/>
  <c r="I292" i="19"/>
  <c r="H292" i="19"/>
  <c r="S287" i="19"/>
  <c r="R287" i="19"/>
  <c r="I287" i="19"/>
  <c r="H287" i="19"/>
  <c r="S286" i="19"/>
  <c r="R286" i="19"/>
  <c r="I286" i="19"/>
  <c r="H286" i="19"/>
  <c r="S285" i="19"/>
  <c r="R285" i="19"/>
  <c r="I285" i="19"/>
  <c r="H285" i="19"/>
  <c r="S284" i="19"/>
  <c r="R284" i="19"/>
  <c r="I284" i="19"/>
  <c r="H284" i="19"/>
  <c r="S283" i="19"/>
  <c r="R283" i="19"/>
  <c r="I283" i="19"/>
  <c r="H283" i="19"/>
  <c r="S282" i="19"/>
  <c r="R282" i="19"/>
  <c r="I282" i="19"/>
  <c r="H282" i="19"/>
  <c r="S281" i="19"/>
  <c r="R281" i="19"/>
  <c r="I281" i="19"/>
  <c r="H281" i="19"/>
  <c r="S280" i="19"/>
  <c r="R280" i="19"/>
  <c r="I280" i="19"/>
  <c r="H280" i="19"/>
  <c r="S279" i="19"/>
  <c r="R279" i="19"/>
  <c r="I279" i="19"/>
  <c r="H279" i="19"/>
  <c r="S278" i="19"/>
  <c r="R278" i="19"/>
  <c r="I278" i="19"/>
  <c r="H278" i="19"/>
  <c r="S277" i="19"/>
  <c r="R277" i="19"/>
  <c r="I277" i="19"/>
  <c r="H277" i="19"/>
  <c r="S276" i="19"/>
  <c r="R276" i="19"/>
  <c r="I276" i="19"/>
  <c r="H276" i="19"/>
  <c r="S275" i="19"/>
  <c r="R275" i="19"/>
  <c r="I275" i="19"/>
  <c r="H275" i="19"/>
  <c r="S270" i="19"/>
  <c r="R270" i="19"/>
  <c r="I270" i="19"/>
  <c r="H270" i="19"/>
  <c r="S269" i="19"/>
  <c r="R269" i="19"/>
  <c r="I269" i="19"/>
  <c r="H269" i="19"/>
  <c r="S268" i="19"/>
  <c r="R268" i="19"/>
  <c r="I268" i="19"/>
  <c r="H268" i="19"/>
  <c r="S267" i="19"/>
  <c r="R267" i="19"/>
  <c r="I267" i="19"/>
  <c r="H267" i="19"/>
  <c r="S266" i="19"/>
  <c r="R266" i="19"/>
  <c r="I266" i="19"/>
  <c r="H266" i="19"/>
  <c r="S265" i="19"/>
  <c r="R265" i="19"/>
  <c r="I265" i="19"/>
  <c r="H265" i="19"/>
  <c r="S264" i="19"/>
  <c r="R264" i="19"/>
  <c r="I264" i="19"/>
  <c r="H264" i="19"/>
  <c r="S263" i="19"/>
  <c r="R263" i="19"/>
  <c r="I263" i="19"/>
  <c r="H263" i="19"/>
  <c r="S262" i="19"/>
  <c r="R262" i="19"/>
  <c r="I262" i="19"/>
  <c r="H262" i="19"/>
  <c r="S261" i="19"/>
  <c r="R261" i="19"/>
  <c r="I261" i="19"/>
  <c r="H261" i="19"/>
  <c r="S260" i="19"/>
  <c r="R260" i="19"/>
  <c r="I260" i="19"/>
  <c r="H260" i="19"/>
  <c r="S259" i="19"/>
  <c r="R259" i="19"/>
  <c r="I259" i="19"/>
  <c r="H259" i="19"/>
  <c r="S258" i="19"/>
  <c r="R258" i="19"/>
  <c r="I258" i="19"/>
  <c r="H258" i="19"/>
  <c r="S253" i="19"/>
  <c r="R253" i="19"/>
  <c r="I253" i="19"/>
  <c r="H253" i="19"/>
  <c r="S252" i="19"/>
  <c r="R252" i="19"/>
  <c r="I252" i="19"/>
  <c r="H252" i="19"/>
  <c r="S251" i="19"/>
  <c r="R251" i="19"/>
  <c r="I251" i="19"/>
  <c r="H251" i="19"/>
  <c r="S250" i="19"/>
  <c r="R250" i="19"/>
  <c r="I250" i="19"/>
  <c r="H250" i="19"/>
  <c r="S249" i="19"/>
  <c r="R249" i="19"/>
  <c r="I249" i="19"/>
  <c r="H249" i="19"/>
  <c r="S248" i="19"/>
  <c r="R248" i="19"/>
  <c r="I248" i="19"/>
  <c r="H248" i="19"/>
  <c r="S247" i="19"/>
  <c r="R247" i="19"/>
  <c r="I247" i="19"/>
  <c r="H247" i="19"/>
  <c r="S246" i="19"/>
  <c r="R246" i="19"/>
  <c r="I246" i="19"/>
  <c r="H246" i="19"/>
  <c r="S245" i="19"/>
  <c r="R245" i="19"/>
  <c r="I245" i="19"/>
  <c r="H245" i="19"/>
  <c r="S244" i="19"/>
  <c r="R244" i="19"/>
  <c r="I244" i="19"/>
  <c r="H244" i="19"/>
  <c r="S243" i="19"/>
  <c r="R243" i="19"/>
  <c r="I243" i="19"/>
  <c r="H243" i="19"/>
  <c r="S242" i="19"/>
  <c r="R242" i="19"/>
  <c r="I242" i="19"/>
  <c r="H242" i="19"/>
  <c r="S241" i="19"/>
  <c r="R241" i="19"/>
  <c r="I241" i="19"/>
  <c r="H241" i="19"/>
  <c r="S236" i="19"/>
  <c r="R236" i="19"/>
  <c r="I236" i="19"/>
  <c r="H236" i="19"/>
  <c r="S235" i="19"/>
  <c r="R235" i="19"/>
  <c r="I235" i="19"/>
  <c r="H235" i="19"/>
  <c r="S234" i="19"/>
  <c r="R234" i="19"/>
  <c r="I234" i="19"/>
  <c r="H234" i="19"/>
  <c r="S233" i="19"/>
  <c r="R233" i="19"/>
  <c r="I233" i="19"/>
  <c r="H233" i="19"/>
  <c r="S232" i="19"/>
  <c r="R232" i="19"/>
  <c r="I232" i="19"/>
  <c r="H232" i="19"/>
  <c r="S231" i="19"/>
  <c r="R231" i="19"/>
  <c r="I231" i="19"/>
  <c r="H231" i="19"/>
  <c r="S230" i="19"/>
  <c r="R230" i="19"/>
  <c r="I230" i="19"/>
  <c r="H230" i="19"/>
  <c r="S229" i="19"/>
  <c r="R229" i="19"/>
  <c r="I229" i="19"/>
  <c r="H229" i="19"/>
  <c r="S228" i="19"/>
  <c r="R228" i="19"/>
  <c r="I228" i="19"/>
  <c r="H228" i="19"/>
  <c r="S227" i="19"/>
  <c r="R227" i="19"/>
  <c r="I227" i="19"/>
  <c r="H227" i="19"/>
  <c r="S226" i="19"/>
  <c r="R226" i="19"/>
  <c r="I226" i="19"/>
  <c r="H226" i="19"/>
  <c r="S225" i="19"/>
  <c r="R225" i="19"/>
  <c r="I225" i="19"/>
  <c r="H225" i="19"/>
  <c r="S224" i="19"/>
  <c r="R224" i="19"/>
  <c r="I224" i="19"/>
  <c r="H224" i="19"/>
  <c r="S219" i="19"/>
  <c r="R219" i="19"/>
  <c r="I219" i="19"/>
  <c r="H219" i="19"/>
  <c r="S218" i="19"/>
  <c r="R218" i="19"/>
  <c r="I218" i="19"/>
  <c r="H218" i="19"/>
  <c r="S217" i="19"/>
  <c r="R217" i="19"/>
  <c r="I217" i="19"/>
  <c r="H217" i="19"/>
  <c r="S216" i="19"/>
  <c r="R216" i="19"/>
  <c r="I216" i="19"/>
  <c r="H216" i="19"/>
  <c r="S215" i="19"/>
  <c r="R215" i="19"/>
  <c r="I215" i="19"/>
  <c r="H215" i="19"/>
  <c r="S214" i="19"/>
  <c r="R214" i="19"/>
  <c r="I214" i="19"/>
  <c r="H214" i="19"/>
  <c r="S213" i="19"/>
  <c r="R213" i="19"/>
  <c r="I213" i="19"/>
  <c r="H213" i="19"/>
  <c r="S212" i="19"/>
  <c r="R212" i="19"/>
  <c r="I212" i="19"/>
  <c r="H212" i="19"/>
  <c r="S211" i="19"/>
  <c r="R211" i="19"/>
  <c r="I211" i="19"/>
  <c r="H211" i="19"/>
  <c r="S210" i="19"/>
  <c r="R210" i="19"/>
  <c r="I210" i="19"/>
  <c r="H210" i="19"/>
  <c r="S209" i="19"/>
  <c r="R209" i="19"/>
  <c r="I209" i="19"/>
  <c r="H209" i="19"/>
  <c r="S208" i="19"/>
  <c r="R208" i="19"/>
  <c r="I208" i="19"/>
  <c r="H208" i="19"/>
  <c r="S207" i="19"/>
  <c r="R207" i="19"/>
  <c r="I207" i="19"/>
  <c r="H207" i="19"/>
  <c r="S202" i="19"/>
  <c r="R202" i="19"/>
  <c r="I202" i="19"/>
  <c r="H202" i="19"/>
  <c r="S201" i="19"/>
  <c r="R201" i="19"/>
  <c r="I201" i="19"/>
  <c r="H201" i="19"/>
  <c r="S200" i="19"/>
  <c r="R200" i="19"/>
  <c r="I200" i="19"/>
  <c r="H200" i="19"/>
  <c r="S199" i="19"/>
  <c r="R199" i="19"/>
  <c r="I199" i="19"/>
  <c r="H199" i="19"/>
  <c r="S198" i="19"/>
  <c r="R198" i="19"/>
  <c r="I198" i="19"/>
  <c r="H198" i="19"/>
  <c r="S197" i="19"/>
  <c r="R197" i="19"/>
  <c r="I197" i="19"/>
  <c r="H197" i="19"/>
  <c r="S196" i="19"/>
  <c r="R196" i="19"/>
  <c r="I196" i="19"/>
  <c r="H196" i="19"/>
  <c r="S195" i="19"/>
  <c r="R195" i="19"/>
  <c r="I195" i="19"/>
  <c r="H195" i="19"/>
  <c r="S194" i="19"/>
  <c r="R194" i="19"/>
  <c r="I194" i="19"/>
  <c r="H194" i="19"/>
  <c r="S193" i="19"/>
  <c r="R193" i="19"/>
  <c r="I193" i="19"/>
  <c r="H193" i="19"/>
  <c r="S192" i="19"/>
  <c r="R192" i="19"/>
  <c r="I192" i="19"/>
  <c r="H192" i="19"/>
  <c r="S191" i="19"/>
  <c r="R191" i="19"/>
  <c r="I191" i="19"/>
  <c r="H191" i="19"/>
  <c r="S190" i="19"/>
  <c r="R190" i="19"/>
  <c r="I190" i="19"/>
  <c r="H190" i="19"/>
  <c r="S185" i="19"/>
  <c r="R185" i="19"/>
  <c r="I185" i="19"/>
  <c r="H185" i="19"/>
  <c r="S184" i="19"/>
  <c r="R184" i="19"/>
  <c r="I184" i="19"/>
  <c r="H184" i="19"/>
  <c r="S183" i="19"/>
  <c r="R183" i="19"/>
  <c r="I183" i="19"/>
  <c r="H183" i="19"/>
  <c r="S182" i="19"/>
  <c r="R182" i="19"/>
  <c r="I182" i="19"/>
  <c r="H182" i="19"/>
  <c r="S181" i="19"/>
  <c r="R181" i="19"/>
  <c r="I181" i="19"/>
  <c r="H181" i="19"/>
  <c r="S180" i="19"/>
  <c r="R180" i="19"/>
  <c r="I180" i="19"/>
  <c r="H180" i="19"/>
  <c r="S179" i="19"/>
  <c r="R179" i="19"/>
  <c r="I179" i="19"/>
  <c r="H179" i="19"/>
  <c r="S178" i="19"/>
  <c r="R178" i="19"/>
  <c r="I178" i="19"/>
  <c r="H178" i="19"/>
  <c r="S177" i="19"/>
  <c r="R177" i="19"/>
  <c r="I177" i="19"/>
  <c r="H177" i="19"/>
  <c r="S176" i="19"/>
  <c r="R176" i="19"/>
  <c r="I176" i="19"/>
  <c r="H176" i="19"/>
  <c r="S175" i="19"/>
  <c r="R175" i="19"/>
  <c r="I175" i="19"/>
  <c r="H175" i="19"/>
  <c r="S174" i="19"/>
  <c r="R174" i="19"/>
  <c r="I174" i="19"/>
  <c r="H174" i="19"/>
  <c r="S173" i="19"/>
  <c r="R173" i="19"/>
  <c r="I173" i="19"/>
  <c r="H173" i="19"/>
  <c r="S168" i="19"/>
  <c r="R168" i="19"/>
  <c r="I168" i="19"/>
  <c r="H168" i="19"/>
  <c r="S167" i="19"/>
  <c r="R167" i="19"/>
  <c r="I167" i="19"/>
  <c r="H167" i="19"/>
  <c r="S166" i="19"/>
  <c r="R166" i="19"/>
  <c r="I166" i="19"/>
  <c r="H166" i="19"/>
  <c r="S165" i="19"/>
  <c r="R165" i="19"/>
  <c r="I165" i="19"/>
  <c r="H165" i="19"/>
  <c r="S164" i="19"/>
  <c r="R164" i="19"/>
  <c r="I164" i="19"/>
  <c r="H164" i="19"/>
  <c r="S163" i="19"/>
  <c r="R163" i="19"/>
  <c r="I163" i="19"/>
  <c r="H163" i="19"/>
  <c r="S162" i="19"/>
  <c r="R162" i="19"/>
  <c r="I162" i="19"/>
  <c r="H162" i="19"/>
  <c r="S161" i="19"/>
  <c r="R161" i="19"/>
  <c r="I161" i="19"/>
  <c r="H161" i="19"/>
  <c r="S160" i="19"/>
  <c r="R160" i="19"/>
  <c r="I160" i="19"/>
  <c r="H160" i="19"/>
  <c r="S159" i="19"/>
  <c r="R159" i="19"/>
  <c r="I159" i="19"/>
  <c r="H159" i="19"/>
  <c r="S158" i="19"/>
  <c r="R158" i="19"/>
  <c r="I158" i="19"/>
  <c r="H158" i="19"/>
  <c r="S157" i="19"/>
  <c r="R157" i="19"/>
  <c r="I157" i="19"/>
  <c r="H157" i="19"/>
  <c r="S156" i="19"/>
  <c r="R156" i="19"/>
  <c r="I156" i="19"/>
  <c r="H156" i="19"/>
  <c r="S151" i="19"/>
  <c r="R151" i="19"/>
  <c r="I151" i="19"/>
  <c r="H151" i="19"/>
  <c r="S150" i="19"/>
  <c r="R150" i="19"/>
  <c r="I150" i="19"/>
  <c r="H150" i="19"/>
  <c r="S149" i="19"/>
  <c r="R149" i="19"/>
  <c r="I149" i="19"/>
  <c r="H149" i="19"/>
  <c r="S148" i="19"/>
  <c r="R148" i="19"/>
  <c r="I148" i="19"/>
  <c r="H148" i="19"/>
  <c r="S147" i="19"/>
  <c r="R147" i="19"/>
  <c r="I147" i="19"/>
  <c r="H147" i="19"/>
  <c r="S146" i="19"/>
  <c r="R146" i="19"/>
  <c r="I146" i="19"/>
  <c r="H146" i="19"/>
  <c r="S145" i="19"/>
  <c r="R145" i="19"/>
  <c r="I145" i="19"/>
  <c r="H145" i="19"/>
  <c r="S144" i="19"/>
  <c r="R144" i="19"/>
  <c r="I144" i="19"/>
  <c r="H144" i="19"/>
  <c r="S143" i="19"/>
  <c r="R143" i="19"/>
  <c r="I143" i="19"/>
  <c r="H143" i="19"/>
  <c r="S142" i="19"/>
  <c r="R142" i="19"/>
  <c r="I142" i="19"/>
  <c r="H142" i="19"/>
  <c r="S141" i="19"/>
  <c r="R141" i="19"/>
  <c r="I141" i="19"/>
  <c r="H141" i="19"/>
  <c r="S140" i="19"/>
  <c r="R140" i="19"/>
  <c r="I140" i="19"/>
  <c r="H140" i="19"/>
  <c r="S139" i="19"/>
  <c r="R139" i="19"/>
  <c r="I139" i="19"/>
  <c r="H139" i="19"/>
  <c r="S134" i="19"/>
  <c r="R134" i="19"/>
  <c r="I134" i="19"/>
  <c r="H134" i="19"/>
  <c r="S133" i="19"/>
  <c r="R133" i="19"/>
  <c r="I133" i="19"/>
  <c r="H133" i="19"/>
  <c r="S132" i="19"/>
  <c r="R132" i="19"/>
  <c r="I132" i="19"/>
  <c r="H132" i="19"/>
  <c r="S131" i="19"/>
  <c r="R131" i="19"/>
  <c r="I131" i="19"/>
  <c r="H131" i="19"/>
  <c r="S130" i="19"/>
  <c r="R130" i="19"/>
  <c r="I130" i="19"/>
  <c r="H130" i="19"/>
  <c r="S129" i="19"/>
  <c r="R129" i="19"/>
  <c r="I129" i="19"/>
  <c r="H129" i="19"/>
  <c r="S128" i="19"/>
  <c r="R128" i="19"/>
  <c r="I128" i="19"/>
  <c r="H128" i="19"/>
  <c r="S127" i="19"/>
  <c r="R127" i="19"/>
  <c r="I127" i="19"/>
  <c r="H127" i="19"/>
  <c r="S126" i="19"/>
  <c r="R126" i="19"/>
  <c r="I126" i="19"/>
  <c r="H126" i="19"/>
  <c r="S125" i="19"/>
  <c r="R125" i="19"/>
  <c r="I125" i="19"/>
  <c r="H125" i="19"/>
  <c r="S124" i="19"/>
  <c r="R124" i="19"/>
  <c r="I124" i="19"/>
  <c r="H124" i="19"/>
  <c r="S123" i="19"/>
  <c r="R123" i="19"/>
  <c r="I123" i="19"/>
  <c r="H123" i="19"/>
  <c r="S122" i="19"/>
  <c r="R122" i="19"/>
  <c r="I122" i="19"/>
  <c r="H122" i="19"/>
  <c r="S117" i="19"/>
  <c r="R117" i="19"/>
  <c r="I117" i="19"/>
  <c r="H117" i="19"/>
  <c r="S116" i="19"/>
  <c r="R116" i="19"/>
  <c r="I116" i="19"/>
  <c r="H116" i="19"/>
  <c r="S115" i="19"/>
  <c r="R115" i="19"/>
  <c r="I115" i="19"/>
  <c r="H115" i="19"/>
  <c r="S114" i="19"/>
  <c r="R114" i="19"/>
  <c r="I114" i="19"/>
  <c r="H114" i="19"/>
  <c r="S113" i="19"/>
  <c r="R113" i="19"/>
  <c r="I113" i="19"/>
  <c r="H113" i="19"/>
  <c r="S112" i="19"/>
  <c r="R112" i="19"/>
  <c r="I112" i="19"/>
  <c r="H112" i="19"/>
  <c r="S111" i="19"/>
  <c r="R111" i="19"/>
  <c r="I111" i="19"/>
  <c r="H111" i="19"/>
  <c r="S110" i="19"/>
  <c r="R110" i="19"/>
  <c r="I110" i="19"/>
  <c r="H110" i="19"/>
  <c r="S109" i="19"/>
  <c r="R109" i="19"/>
  <c r="I109" i="19"/>
  <c r="H109" i="19"/>
  <c r="S108" i="19"/>
  <c r="R108" i="19"/>
  <c r="I108" i="19"/>
  <c r="H108" i="19"/>
  <c r="S107" i="19"/>
  <c r="R107" i="19"/>
  <c r="I107" i="19"/>
  <c r="H107" i="19"/>
  <c r="S106" i="19"/>
  <c r="R106" i="19"/>
  <c r="I106" i="19"/>
  <c r="H106" i="19"/>
  <c r="S105" i="19"/>
  <c r="R105" i="19"/>
  <c r="I105" i="19"/>
  <c r="H105" i="19"/>
  <c r="S100" i="19"/>
  <c r="R100" i="19"/>
  <c r="I100" i="19"/>
  <c r="H100" i="19"/>
  <c r="S99" i="19"/>
  <c r="R99" i="19"/>
  <c r="I99" i="19"/>
  <c r="H99" i="19"/>
  <c r="S98" i="19"/>
  <c r="R98" i="19"/>
  <c r="I98" i="19"/>
  <c r="H98" i="19"/>
  <c r="S97" i="19"/>
  <c r="R97" i="19"/>
  <c r="I97" i="19"/>
  <c r="H97" i="19"/>
  <c r="S96" i="19"/>
  <c r="R96" i="19"/>
  <c r="I96" i="19"/>
  <c r="H96" i="19"/>
  <c r="S95" i="19"/>
  <c r="R95" i="19"/>
  <c r="I95" i="19"/>
  <c r="H95" i="19"/>
  <c r="S94" i="19"/>
  <c r="R94" i="19"/>
  <c r="I94" i="19"/>
  <c r="H94" i="19"/>
  <c r="S93" i="19"/>
  <c r="R93" i="19"/>
  <c r="I93" i="19"/>
  <c r="H93" i="19"/>
  <c r="S92" i="19"/>
  <c r="R92" i="19"/>
  <c r="I92" i="19"/>
  <c r="H92" i="19"/>
  <c r="S91" i="19"/>
  <c r="R91" i="19"/>
  <c r="I91" i="19"/>
  <c r="H91" i="19"/>
  <c r="S90" i="19"/>
  <c r="R90" i="19"/>
  <c r="I90" i="19"/>
  <c r="H90" i="19"/>
  <c r="S89" i="19"/>
  <c r="R89" i="19"/>
  <c r="I89" i="19"/>
  <c r="H89" i="19"/>
  <c r="S88" i="19"/>
  <c r="R88" i="19"/>
  <c r="I88" i="19"/>
  <c r="H88" i="19"/>
  <c r="S83" i="19"/>
  <c r="R83" i="19"/>
  <c r="I83" i="19"/>
  <c r="H83" i="19"/>
  <c r="S82" i="19"/>
  <c r="R82" i="19"/>
  <c r="I82" i="19"/>
  <c r="H82" i="19"/>
  <c r="S81" i="19"/>
  <c r="R81" i="19"/>
  <c r="I81" i="19"/>
  <c r="H81" i="19"/>
  <c r="S80" i="19"/>
  <c r="R80" i="19"/>
  <c r="I80" i="19"/>
  <c r="H80" i="19"/>
  <c r="S79" i="19"/>
  <c r="R79" i="19"/>
  <c r="I79" i="19"/>
  <c r="H79" i="19"/>
  <c r="S78" i="19"/>
  <c r="R78" i="19"/>
  <c r="I78" i="19"/>
  <c r="H78" i="19"/>
  <c r="S77" i="19"/>
  <c r="R77" i="19"/>
  <c r="I77" i="19"/>
  <c r="H77" i="19"/>
  <c r="S76" i="19"/>
  <c r="R76" i="19"/>
  <c r="I76" i="19"/>
  <c r="H76" i="19"/>
  <c r="S75" i="19"/>
  <c r="R75" i="19"/>
  <c r="I75" i="19"/>
  <c r="H75" i="19"/>
  <c r="S74" i="19"/>
  <c r="R74" i="19"/>
  <c r="I74" i="19"/>
  <c r="H74" i="19"/>
  <c r="S73" i="19"/>
  <c r="R73" i="19"/>
  <c r="I73" i="19"/>
  <c r="H73" i="19"/>
  <c r="S72" i="19"/>
  <c r="R72" i="19"/>
  <c r="I72" i="19"/>
  <c r="H72" i="19"/>
  <c r="S71" i="19"/>
  <c r="R71" i="19"/>
  <c r="I71" i="19"/>
  <c r="H71" i="19"/>
  <c r="S66" i="19"/>
  <c r="R66" i="19"/>
  <c r="I66" i="19"/>
  <c r="H66" i="19"/>
  <c r="S65" i="19"/>
  <c r="R65" i="19"/>
  <c r="I65" i="19"/>
  <c r="H65" i="19"/>
  <c r="S64" i="19"/>
  <c r="R64" i="19"/>
  <c r="I64" i="19"/>
  <c r="H64" i="19"/>
  <c r="S63" i="19"/>
  <c r="R63" i="19"/>
  <c r="I63" i="19"/>
  <c r="H63" i="19"/>
  <c r="S62" i="19"/>
  <c r="R62" i="19"/>
  <c r="I62" i="19"/>
  <c r="H62" i="19"/>
  <c r="S61" i="19"/>
  <c r="R61" i="19"/>
  <c r="I61" i="19"/>
  <c r="H61" i="19"/>
  <c r="S60" i="19"/>
  <c r="R60" i="19"/>
  <c r="I60" i="19"/>
  <c r="H60" i="19"/>
  <c r="S59" i="19"/>
  <c r="R59" i="19"/>
  <c r="I59" i="19"/>
  <c r="H59" i="19"/>
  <c r="S58" i="19"/>
  <c r="R58" i="19"/>
  <c r="I58" i="19"/>
  <c r="H58" i="19"/>
  <c r="S57" i="19"/>
  <c r="R57" i="19"/>
  <c r="I57" i="19"/>
  <c r="H57" i="19"/>
  <c r="S56" i="19"/>
  <c r="R56" i="19"/>
  <c r="I56" i="19"/>
  <c r="H56" i="19"/>
  <c r="S55" i="19"/>
  <c r="R55" i="19"/>
  <c r="I55" i="19"/>
  <c r="H55" i="19"/>
  <c r="S54" i="19"/>
  <c r="R54" i="19"/>
  <c r="I54" i="19"/>
  <c r="H54" i="19"/>
  <c r="S49" i="19"/>
  <c r="R49" i="19"/>
  <c r="I49" i="19"/>
  <c r="H49" i="19"/>
  <c r="S48" i="19"/>
  <c r="R48" i="19"/>
  <c r="I48" i="19"/>
  <c r="H48" i="19"/>
  <c r="S47" i="19"/>
  <c r="R47" i="19"/>
  <c r="I47" i="19"/>
  <c r="H47" i="19"/>
  <c r="S46" i="19"/>
  <c r="R46" i="19"/>
  <c r="I46" i="19"/>
  <c r="H46" i="19"/>
  <c r="S45" i="19"/>
  <c r="R45" i="19"/>
  <c r="I45" i="19"/>
  <c r="H45" i="19"/>
  <c r="S44" i="19"/>
  <c r="R44" i="19"/>
  <c r="I44" i="19"/>
  <c r="H44" i="19"/>
  <c r="S43" i="19"/>
  <c r="R43" i="19"/>
  <c r="I43" i="19"/>
  <c r="H43" i="19"/>
  <c r="S42" i="19"/>
  <c r="R42" i="19"/>
  <c r="I42" i="19"/>
  <c r="H42" i="19"/>
  <c r="S41" i="19"/>
  <c r="R41" i="19"/>
  <c r="I41" i="19"/>
  <c r="H41" i="19"/>
  <c r="S40" i="19"/>
  <c r="R40" i="19"/>
  <c r="I40" i="19"/>
  <c r="H40" i="19"/>
  <c r="S39" i="19"/>
  <c r="R39" i="19"/>
  <c r="I39" i="19"/>
  <c r="H39" i="19"/>
  <c r="S38" i="19"/>
  <c r="R38" i="19"/>
  <c r="I38" i="19"/>
  <c r="H38" i="19"/>
  <c r="S37" i="19"/>
  <c r="R37" i="19"/>
  <c r="I37" i="19"/>
  <c r="H37" i="19"/>
  <c r="S32" i="19"/>
  <c r="R32" i="19"/>
  <c r="I32" i="19"/>
  <c r="H32" i="19"/>
  <c r="S31" i="19"/>
  <c r="R31" i="19"/>
  <c r="I31" i="19"/>
  <c r="H31" i="19"/>
  <c r="S30" i="19"/>
  <c r="R30" i="19"/>
  <c r="I30" i="19"/>
  <c r="H30" i="19"/>
  <c r="S29" i="19"/>
  <c r="R29" i="19"/>
  <c r="I29" i="19"/>
  <c r="H29" i="19"/>
  <c r="S28" i="19"/>
  <c r="R28" i="19"/>
  <c r="I28" i="19"/>
  <c r="H28" i="19"/>
  <c r="S27" i="19"/>
  <c r="R27" i="19"/>
  <c r="I27" i="19"/>
  <c r="H27" i="19"/>
  <c r="S26" i="19"/>
  <c r="R26" i="19"/>
  <c r="I26" i="19"/>
  <c r="H26" i="19"/>
  <c r="S25" i="19"/>
  <c r="R25" i="19"/>
  <c r="I25" i="19"/>
  <c r="H25" i="19"/>
  <c r="S24" i="19"/>
  <c r="R24" i="19"/>
  <c r="I24" i="19"/>
  <c r="H24" i="19"/>
  <c r="S23" i="19"/>
  <c r="R23" i="19"/>
  <c r="I23" i="19"/>
  <c r="H23" i="19"/>
  <c r="S22" i="19"/>
  <c r="R22" i="19"/>
  <c r="I22" i="19"/>
  <c r="H22" i="19"/>
  <c r="S21" i="19"/>
  <c r="R21" i="19"/>
  <c r="I21" i="19"/>
  <c r="H21" i="19"/>
  <c r="S20" i="19"/>
  <c r="R20" i="19"/>
  <c r="I20" i="19"/>
  <c r="H20" i="19"/>
  <c r="S15" i="19"/>
  <c r="R15" i="19"/>
  <c r="I15" i="19"/>
  <c r="H15" i="19"/>
  <c r="S14" i="19"/>
  <c r="R14" i="19"/>
  <c r="I14" i="19"/>
  <c r="H14" i="19"/>
  <c r="S13" i="19"/>
  <c r="R13" i="19"/>
  <c r="I13" i="19"/>
  <c r="H13" i="19"/>
  <c r="S12" i="19"/>
  <c r="R12" i="19"/>
  <c r="I12" i="19"/>
  <c r="H12" i="19"/>
  <c r="S11" i="19"/>
  <c r="R11" i="19"/>
  <c r="I11" i="19"/>
  <c r="H11" i="19"/>
  <c r="S10" i="19"/>
  <c r="R10" i="19"/>
  <c r="I10" i="19"/>
  <c r="H10" i="19"/>
  <c r="S9" i="19"/>
  <c r="R9" i="19"/>
  <c r="I9" i="19"/>
  <c r="H9" i="19"/>
  <c r="S8" i="19"/>
  <c r="R8" i="19"/>
  <c r="I8" i="19"/>
  <c r="H8" i="19"/>
  <c r="S7" i="19"/>
  <c r="R7" i="19"/>
  <c r="I7" i="19"/>
  <c r="H7" i="19"/>
  <c r="S6" i="19"/>
  <c r="R6" i="19"/>
  <c r="I6" i="19"/>
  <c r="H6" i="19"/>
  <c r="S5" i="19"/>
  <c r="R5" i="19"/>
  <c r="I5" i="19"/>
  <c r="H5" i="19"/>
  <c r="S4" i="19"/>
  <c r="R4" i="19"/>
  <c r="I4" i="19"/>
  <c r="H4" i="19"/>
  <c r="S3" i="19"/>
  <c r="R3" i="19"/>
  <c r="I3" i="19"/>
  <c r="H3" i="19"/>
  <c r="J3" i="13" l="1"/>
  <c r="D38" i="9"/>
  <c r="E38" i="9"/>
  <c r="F38" i="9"/>
  <c r="G38" i="9"/>
  <c r="H38" i="9"/>
  <c r="I38" i="9"/>
  <c r="J38" i="9"/>
  <c r="K38" i="9"/>
  <c r="L38" i="9"/>
  <c r="M38" i="9"/>
  <c r="N38" i="9"/>
  <c r="O38" i="9"/>
  <c r="D39" i="9"/>
  <c r="E39" i="9"/>
  <c r="F39" i="9"/>
  <c r="G39" i="9"/>
  <c r="H39" i="9"/>
  <c r="I39" i="9"/>
  <c r="J39" i="9"/>
  <c r="K39" i="9"/>
  <c r="L39" i="9"/>
  <c r="M39" i="9"/>
  <c r="N39" i="9"/>
  <c r="O39" i="9"/>
  <c r="D40" i="9"/>
  <c r="E40" i="9"/>
  <c r="F40" i="9"/>
  <c r="G40" i="9"/>
  <c r="H40" i="9"/>
  <c r="I40" i="9"/>
  <c r="J40" i="9"/>
  <c r="K40" i="9"/>
  <c r="L40" i="9"/>
  <c r="M40" i="9"/>
  <c r="N40" i="9"/>
  <c r="O40" i="9"/>
  <c r="D41" i="9"/>
  <c r="E41" i="9"/>
  <c r="F41" i="9"/>
  <c r="G41" i="9"/>
  <c r="H41" i="9"/>
  <c r="I41" i="9"/>
  <c r="J41" i="9"/>
  <c r="K41" i="9"/>
  <c r="L41" i="9"/>
  <c r="M41" i="9"/>
  <c r="N41" i="9"/>
  <c r="O41" i="9"/>
  <c r="D42" i="9"/>
  <c r="E42" i="9"/>
  <c r="F42" i="9"/>
  <c r="G42" i="9"/>
  <c r="H42" i="9"/>
  <c r="I42" i="9"/>
  <c r="J42" i="9"/>
  <c r="K42" i="9"/>
  <c r="L42" i="9"/>
  <c r="M42" i="9"/>
  <c r="N42" i="9"/>
  <c r="O42" i="9"/>
  <c r="C38" i="9"/>
  <c r="C39" i="9"/>
  <c r="C40" i="9"/>
  <c r="C41" i="9"/>
  <c r="C42" i="9"/>
  <c r="U21" i="13" l="1"/>
  <c r="C64" i="9"/>
  <c r="D64" i="9"/>
  <c r="H21" i="13"/>
  <c r="E9" i="9"/>
  <c r="F9" i="9"/>
  <c r="G9" i="9"/>
  <c r="H9" i="9"/>
  <c r="H64" i="9" s="1"/>
  <c r="I9" i="9"/>
  <c r="J9" i="9"/>
  <c r="K9" i="9"/>
  <c r="L9" i="9"/>
  <c r="L64" i="9" s="1"/>
  <c r="M9" i="9"/>
  <c r="N9" i="9"/>
  <c r="O9" i="9"/>
  <c r="G5" i="17"/>
  <c r="B81" i="9"/>
  <c r="B83" i="9" s="1"/>
  <c r="B87" i="9" s="1"/>
  <c r="O45" i="9" l="1"/>
  <c r="O63" i="9"/>
  <c r="O98" i="9"/>
  <c r="O66" i="9" s="1"/>
  <c r="O93" i="9"/>
  <c r="O67" i="9"/>
  <c r="M45" i="9"/>
  <c r="M63" i="9"/>
  <c r="M98" i="9"/>
  <c r="M66" i="9" s="1"/>
  <c r="M67" i="9"/>
  <c r="M93" i="9"/>
  <c r="K45" i="9"/>
  <c r="K63" i="9"/>
  <c r="O14" i="17" s="1"/>
  <c r="K98" i="9"/>
  <c r="K66" i="9" s="1"/>
  <c r="K93" i="9"/>
  <c r="K67" i="9"/>
  <c r="I45" i="9"/>
  <c r="I63" i="9"/>
  <c r="I98" i="9"/>
  <c r="I66" i="9" s="1"/>
  <c r="I67" i="9"/>
  <c r="I93" i="9"/>
  <c r="G45" i="9"/>
  <c r="G63" i="9"/>
  <c r="G98" i="9"/>
  <c r="G66" i="9" s="1"/>
  <c r="G93" i="9"/>
  <c r="G67" i="9"/>
  <c r="E45" i="9"/>
  <c r="E63" i="9"/>
  <c r="E98" i="9"/>
  <c r="E66" i="9" s="1"/>
  <c r="E67" i="9"/>
  <c r="E93" i="9"/>
  <c r="G64" i="9"/>
  <c r="K64" i="9"/>
  <c r="O13" i="17" s="1"/>
  <c r="O64" i="9"/>
  <c r="N93" i="9"/>
  <c r="N98" i="9"/>
  <c r="N66" i="9" s="1"/>
  <c r="N45" i="9"/>
  <c r="N63" i="9"/>
  <c r="N67" i="9"/>
  <c r="L98" i="9"/>
  <c r="L66" i="9" s="1"/>
  <c r="L45" i="9"/>
  <c r="L63" i="9"/>
  <c r="L93" i="9"/>
  <c r="L67" i="9"/>
  <c r="J93" i="9"/>
  <c r="J98" i="9"/>
  <c r="J66" i="9" s="1"/>
  <c r="J45" i="9"/>
  <c r="J63" i="9"/>
  <c r="N14" i="17" s="1"/>
  <c r="J67" i="9"/>
  <c r="H98" i="9"/>
  <c r="H66" i="9" s="1"/>
  <c r="H45" i="9"/>
  <c r="H63" i="9"/>
  <c r="H93" i="9"/>
  <c r="H67" i="9"/>
  <c r="F93" i="9"/>
  <c r="F98" i="9"/>
  <c r="F66" i="9" s="1"/>
  <c r="F45" i="9"/>
  <c r="F63" i="9"/>
  <c r="F67" i="9"/>
  <c r="F64" i="9"/>
  <c r="J64" i="9"/>
  <c r="N13" i="17" s="1"/>
  <c r="N64" i="9"/>
  <c r="E64" i="9"/>
  <c r="I64" i="9"/>
  <c r="M13" i="17" s="1"/>
  <c r="M64" i="9"/>
  <c r="M14" i="17"/>
  <c r="K39" i="17"/>
  <c r="I39" i="17"/>
  <c r="J39" i="17"/>
  <c r="G15" i="17"/>
  <c r="F15" i="17"/>
  <c r="G13" i="17"/>
  <c r="B58" i="9"/>
  <c r="F7" i="17"/>
  <c r="N7" i="17"/>
  <c r="L7" i="17"/>
  <c r="L14" i="17"/>
  <c r="J7" i="17"/>
  <c r="H7" i="17"/>
  <c r="H14" i="17"/>
  <c r="H13" i="17"/>
  <c r="O7" i="17"/>
  <c r="M7" i="17"/>
  <c r="K7" i="17"/>
  <c r="I7" i="17"/>
  <c r="G7" i="17"/>
  <c r="B82" i="9"/>
  <c r="B84" i="9"/>
  <c r="B88" i="9" s="1"/>
  <c r="B89" i="9" s="1"/>
  <c r="B94" i="9"/>
  <c r="B95" i="9"/>
  <c r="B59" i="9" l="1"/>
  <c r="B61" i="9" s="1"/>
  <c r="B60" i="9"/>
  <c r="K13" i="17"/>
  <c r="F95" i="9"/>
  <c r="F94" i="9"/>
  <c r="H94" i="9"/>
  <c r="H95" i="9"/>
  <c r="J95" i="9"/>
  <c r="J94" i="9"/>
  <c r="L94" i="9"/>
  <c r="L95" i="9"/>
  <c r="N95" i="9"/>
  <c r="N94" i="9"/>
  <c r="E95" i="9"/>
  <c r="E94" i="9"/>
  <c r="G95" i="9"/>
  <c r="G94" i="9"/>
  <c r="I94" i="9"/>
  <c r="I95" i="9"/>
  <c r="K95" i="9"/>
  <c r="K94" i="9"/>
  <c r="M94" i="9"/>
  <c r="M95" i="9"/>
  <c r="O95" i="9"/>
  <c r="O94" i="9"/>
  <c r="J13" i="17"/>
  <c r="B68" i="9"/>
  <c r="F16" i="17" s="1"/>
  <c r="I14" i="17"/>
  <c r="K14" i="17"/>
  <c r="J14" i="17"/>
  <c r="L13" i="17"/>
  <c r="I13" i="17"/>
  <c r="B74" i="9"/>
  <c r="B75" i="9" s="1"/>
  <c r="B77" i="9" s="1"/>
  <c r="B80" i="9" s="1"/>
  <c r="G14" i="17"/>
  <c r="F11" i="17"/>
  <c r="P14" i="13"/>
  <c r="P17" i="13" s="1"/>
  <c r="P13" i="13"/>
  <c r="P16" i="13" s="1"/>
  <c r="B76" i="9"/>
  <c r="B78" i="9" s="1"/>
  <c r="F68" i="9" l="1"/>
  <c r="F71" i="9" s="1"/>
  <c r="L68" i="9"/>
  <c r="L72" i="9" s="1"/>
  <c r="H68" i="9"/>
  <c r="H71" i="9" s="1"/>
  <c r="B85" i="9"/>
  <c r="B86" i="9" s="1"/>
  <c r="O68" i="9"/>
  <c r="O71" i="9" s="1"/>
  <c r="K68" i="9"/>
  <c r="K72" i="9" s="1"/>
  <c r="G68" i="9"/>
  <c r="G72" i="9" s="1"/>
  <c r="E68" i="9"/>
  <c r="E72" i="9" s="1"/>
  <c r="N68" i="9"/>
  <c r="B72" i="9"/>
  <c r="M68" i="9"/>
  <c r="I68" i="9"/>
  <c r="J68" i="9"/>
  <c r="B79" i="9"/>
  <c r="B71" i="9"/>
  <c r="F12" i="17"/>
  <c r="E71" i="9" l="1"/>
  <c r="F72" i="9"/>
  <c r="H72" i="9"/>
  <c r="K71" i="9"/>
  <c r="O72" i="9"/>
  <c r="L71" i="9"/>
  <c r="N71" i="9"/>
  <c r="N72" i="9"/>
  <c r="G71" i="9"/>
  <c r="J71" i="9"/>
  <c r="J72" i="9"/>
  <c r="M72" i="9"/>
  <c r="M71" i="9"/>
  <c r="I71" i="9"/>
  <c r="I72" i="9"/>
  <c r="I72" i="1" l="1"/>
  <c r="I73" i="1"/>
  <c r="I71" i="1"/>
  <c r="I70" i="1"/>
  <c r="O65" i="1" s="1"/>
  <c r="P65" i="1" s="1"/>
  <c r="I69" i="1"/>
  <c r="I68" i="1"/>
  <c r="I67" i="1"/>
  <c r="K64" i="1" l="1"/>
  <c r="N64" i="1" s="1"/>
  <c r="D64" i="1"/>
  <c r="D55" i="13"/>
  <c r="E40" i="1" l="1"/>
  <c r="K39" i="1"/>
  <c r="K38" i="1"/>
  <c r="K37" i="1"/>
  <c r="K36" i="1"/>
  <c r="K35" i="1"/>
  <c r="K34" i="1"/>
  <c r="K40" i="1" l="1"/>
  <c r="M15" i="17"/>
  <c r="N15" i="17"/>
  <c r="O15" i="17"/>
  <c r="H15" i="17"/>
  <c r="I15" i="17"/>
  <c r="J15" i="17"/>
  <c r="K15" i="17"/>
  <c r="L15" i="17"/>
  <c r="H11" i="17"/>
  <c r="I11" i="17"/>
  <c r="J11" i="17"/>
  <c r="K11" i="17"/>
  <c r="L11" i="17"/>
  <c r="H12" i="17"/>
  <c r="I12" i="17"/>
  <c r="J12" i="17"/>
  <c r="K12" i="17"/>
  <c r="L12" i="17"/>
  <c r="G12" i="17" l="1"/>
  <c r="G11" i="17"/>
  <c r="J4" i="13"/>
  <c r="K41" i="1"/>
  <c r="H22" i="13" s="1"/>
  <c r="G23" i="13" s="1"/>
  <c r="N11" i="17"/>
  <c r="C13" i="13"/>
  <c r="I39" i="13" s="1"/>
  <c r="H3" i="13"/>
  <c r="D3" i="13"/>
  <c r="H60" i="13"/>
  <c r="G60" i="13"/>
  <c r="H58" i="13"/>
  <c r="G58" i="13"/>
  <c r="F58" i="13"/>
  <c r="E58" i="13"/>
  <c r="D58" i="13"/>
  <c r="C58" i="13"/>
  <c r="H55" i="13"/>
  <c r="G55" i="13"/>
  <c r="F55" i="13"/>
  <c r="E55" i="13"/>
  <c r="C55" i="13"/>
  <c r="H53" i="13"/>
  <c r="G53" i="13"/>
  <c r="F53" i="13"/>
  <c r="E53" i="13"/>
  <c r="D53" i="13"/>
  <c r="C53" i="13"/>
  <c r="H51" i="13"/>
  <c r="G51" i="13"/>
  <c r="F51" i="13"/>
  <c r="E51" i="13"/>
  <c r="D51" i="13"/>
  <c r="C51" i="13"/>
  <c r="H50" i="13"/>
  <c r="G50" i="13"/>
  <c r="F50" i="13"/>
  <c r="E50" i="13"/>
  <c r="D50" i="13"/>
  <c r="C50" i="13"/>
  <c r="H49" i="13"/>
  <c r="G49" i="13"/>
  <c r="F49" i="13"/>
  <c r="E49" i="13"/>
  <c r="D49" i="13"/>
  <c r="C49" i="13"/>
  <c r="H48" i="13"/>
  <c r="G48" i="13"/>
  <c r="F48" i="13"/>
  <c r="F52" i="13" s="1"/>
  <c r="E48" i="13"/>
  <c r="D48" i="13"/>
  <c r="C48" i="13"/>
  <c r="T54" i="13"/>
  <c r="S54" i="13"/>
  <c r="T52" i="13"/>
  <c r="S52" i="13"/>
  <c r="T51" i="13"/>
  <c r="S51" i="13"/>
  <c r="T50" i="13"/>
  <c r="S50" i="13"/>
  <c r="T49" i="13"/>
  <c r="S49" i="13"/>
  <c r="T48" i="13"/>
  <c r="S48" i="13"/>
  <c r="P23" i="13"/>
  <c r="G15" i="13"/>
  <c r="C15" i="13"/>
  <c r="G14" i="13"/>
  <c r="C14" i="13"/>
  <c r="G13" i="13"/>
  <c r="H9" i="13"/>
  <c r="H8" i="13"/>
  <c r="T57" i="13" l="1"/>
  <c r="D52" i="13"/>
  <c r="H52" i="13"/>
  <c r="E54" i="13"/>
  <c r="C17" i="13"/>
  <c r="C20" i="13" s="1"/>
  <c r="G54" i="13"/>
  <c r="C54" i="13"/>
  <c r="E52" i="13"/>
  <c r="C52" i="13"/>
  <c r="G52" i="13"/>
  <c r="M12" i="17"/>
  <c r="M11" i="17"/>
  <c r="O11" i="17"/>
  <c r="H23" i="13"/>
  <c r="H24" i="13" s="1"/>
  <c r="O12" i="17"/>
  <c r="I7" i="13"/>
  <c r="U24" i="13"/>
  <c r="L13" i="13"/>
  <c r="L17" i="13" s="1"/>
  <c r="U22" i="13"/>
  <c r="U25" i="13" s="1"/>
  <c r="L14" i="13"/>
  <c r="L18" i="13" s="1"/>
  <c r="N12" i="17"/>
  <c r="F9" i="13"/>
  <c r="B9" i="13"/>
  <c r="F8" i="13"/>
  <c r="I9" i="13" s="1"/>
  <c r="B8" i="13"/>
  <c r="D9" i="13"/>
  <c r="D8" i="13"/>
  <c r="D54" i="13"/>
  <c r="F54" i="13"/>
  <c r="H54" i="13"/>
  <c r="C16" i="13"/>
  <c r="C19" i="13" s="1"/>
  <c r="I37" i="13" l="1"/>
  <c r="F60" i="13" s="1"/>
  <c r="K33" i="13"/>
  <c r="L33" i="13" l="1"/>
  <c r="B54" i="13"/>
  <c r="K34" i="13"/>
  <c r="T55" i="13" l="1"/>
  <c r="M37" i="13"/>
  <c r="K35" i="13"/>
  <c r="L35" i="13" s="1"/>
  <c r="C60" i="13"/>
  <c r="D60" i="13"/>
  <c r="L34" i="13"/>
  <c r="E60" i="13" l="1"/>
  <c r="B52" i="13"/>
  <c r="T53" i="13"/>
  <c r="F56" i="13"/>
  <c r="F57" i="13" s="1"/>
  <c r="F59" i="13" s="1"/>
  <c r="F61" i="13" s="1"/>
  <c r="C56" i="13"/>
  <c r="C57" i="13" s="1"/>
  <c r="C59" i="13" s="1"/>
  <c r="C61" i="13" s="1"/>
  <c r="E56" i="13"/>
  <c r="E57" i="13" s="1"/>
  <c r="E59" i="13" s="1"/>
  <c r="H56" i="13"/>
  <c r="H57" i="13" s="1"/>
  <c r="H59" i="13" s="1"/>
  <c r="H61" i="13" s="1"/>
  <c r="D57" i="13"/>
  <c r="G56" i="13"/>
  <c r="G57" i="13" s="1"/>
  <c r="G59" i="13" s="1"/>
  <c r="G61" i="13" s="1"/>
  <c r="B66" i="2"/>
  <c r="B65" i="2" s="1"/>
  <c r="E16" i="3" s="1"/>
  <c r="B63" i="2"/>
  <c r="C16" i="3" s="1"/>
  <c r="D62" i="8"/>
  <c r="F62" i="8"/>
  <c r="H62" i="8"/>
  <c r="B64" i="2"/>
  <c r="D16" i="3" s="1"/>
  <c r="I48" i="8"/>
  <c r="J48" i="8" s="1"/>
  <c r="I47" i="8"/>
  <c r="J47" i="8" s="1"/>
  <c r="I46" i="8"/>
  <c r="J46" i="8" s="1"/>
  <c r="I45" i="8"/>
  <c r="J45" i="8" s="1"/>
  <c r="G46" i="8"/>
  <c r="H46" i="8" s="1"/>
  <c r="G47" i="8"/>
  <c r="H47" i="8"/>
  <c r="G48" i="8"/>
  <c r="H48" i="8" s="1"/>
  <c r="G45" i="8"/>
  <c r="H45" i="8"/>
  <c r="C46" i="8"/>
  <c r="D46" i="8" s="1"/>
  <c r="C47" i="8"/>
  <c r="D47" i="8" s="1"/>
  <c r="C48" i="8"/>
  <c r="D48" i="8" s="1"/>
  <c r="C45" i="8"/>
  <c r="D45" i="8"/>
  <c r="E46" i="8"/>
  <c r="F46" i="8" s="1"/>
  <c r="E47" i="8"/>
  <c r="F47" i="8"/>
  <c r="E48" i="8"/>
  <c r="F48" i="8" s="1"/>
  <c r="E45" i="8"/>
  <c r="F45" i="8"/>
  <c r="E44" i="8"/>
  <c r="G44" i="8"/>
  <c r="I44" i="8"/>
  <c r="I43" i="8"/>
  <c r="G43" i="8"/>
  <c r="E43" i="8"/>
  <c r="C44" i="8"/>
  <c r="C43" i="8"/>
  <c r="I39" i="8"/>
  <c r="G39" i="8"/>
  <c r="E39" i="8"/>
  <c r="C39" i="8"/>
  <c r="I38" i="8"/>
  <c r="G38" i="8"/>
  <c r="E38" i="8"/>
  <c r="C38" i="8"/>
  <c r="I37" i="8"/>
  <c r="G37" i="8"/>
  <c r="E37" i="8"/>
  <c r="C37" i="8"/>
  <c r="G9" i="8"/>
  <c r="C9" i="8"/>
  <c r="B47" i="2"/>
  <c r="B48" i="2" s="1"/>
  <c r="B43" i="2"/>
  <c r="B42" i="2"/>
  <c r="B40" i="2"/>
  <c r="B41" i="2"/>
  <c r="B39" i="2"/>
  <c r="B50" i="2"/>
  <c r="B61" i="2"/>
  <c r="B55" i="2"/>
  <c r="C64" i="2"/>
  <c r="C66" i="2"/>
  <c r="M43" i="2"/>
  <c r="L43" i="2"/>
  <c r="K43" i="2"/>
  <c r="J43" i="2"/>
  <c r="I43" i="2"/>
  <c r="H43" i="2"/>
  <c r="G43" i="2"/>
  <c r="F43" i="2"/>
  <c r="E43" i="2"/>
  <c r="D43" i="2"/>
  <c r="C43" i="2"/>
  <c r="M42" i="2"/>
  <c r="L42" i="2"/>
  <c r="K42" i="2"/>
  <c r="J42" i="2"/>
  <c r="I42" i="2"/>
  <c r="H42" i="2"/>
  <c r="G42" i="2"/>
  <c r="F42" i="2"/>
  <c r="E42" i="2"/>
  <c r="D42" i="2"/>
  <c r="C42" i="2"/>
  <c r="M40" i="2"/>
  <c r="L40" i="2"/>
  <c r="K40" i="2"/>
  <c r="J40" i="2"/>
  <c r="I40" i="2"/>
  <c r="H40" i="2"/>
  <c r="G40" i="2"/>
  <c r="F40" i="2"/>
  <c r="E40" i="2"/>
  <c r="D40" i="2"/>
  <c r="C40" i="2"/>
  <c r="C41" i="2"/>
  <c r="M39" i="2"/>
  <c r="L39" i="2"/>
  <c r="K39" i="2"/>
  <c r="J39" i="2"/>
  <c r="I39" i="2"/>
  <c r="H39" i="2"/>
  <c r="G39" i="2"/>
  <c r="E39" i="2"/>
  <c r="F39" i="2"/>
  <c r="D39" i="2"/>
  <c r="C39" i="2"/>
  <c r="D41" i="2"/>
  <c r="C61" i="2"/>
  <c r="D61" i="2"/>
  <c r="E61" i="2"/>
  <c r="F61" i="2"/>
  <c r="G61" i="2"/>
  <c r="H61" i="2"/>
  <c r="I61" i="2"/>
  <c r="J61" i="2"/>
  <c r="K61" i="2"/>
  <c r="L61" i="2"/>
  <c r="M61" i="2"/>
  <c r="B54" i="2"/>
  <c r="C56" i="2"/>
  <c r="D56" i="2"/>
  <c r="E56" i="2"/>
  <c r="F56" i="2"/>
  <c r="G56" i="2"/>
  <c r="H56" i="2"/>
  <c r="I56" i="2"/>
  <c r="J56" i="2"/>
  <c r="K56" i="2"/>
  <c r="L56" i="2"/>
  <c r="M56" i="2"/>
  <c r="B56" i="2"/>
  <c r="C55" i="2"/>
  <c r="D55" i="2"/>
  <c r="E55" i="2"/>
  <c r="F55" i="2"/>
  <c r="G55" i="2"/>
  <c r="H55" i="2"/>
  <c r="I55" i="2"/>
  <c r="J55" i="2"/>
  <c r="K55" i="2"/>
  <c r="L55" i="2"/>
  <c r="M55" i="2"/>
  <c r="C54" i="2"/>
  <c r="D54" i="2"/>
  <c r="E54" i="2"/>
  <c r="F54" i="2"/>
  <c r="G54" i="2"/>
  <c r="H54" i="2"/>
  <c r="I54" i="2"/>
  <c r="J54" i="2"/>
  <c r="K54" i="2"/>
  <c r="L54" i="2"/>
  <c r="M54" i="2"/>
  <c r="B19" i="3"/>
  <c r="B18" i="3"/>
  <c r="B17" i="3"/>
  <c r="B16" i="3"/>
  <c r="B26" i="3"/>
  <c r="B25" i="3"/>
  <c r="B24" i="3"/>
  <c r="B23" i="3"/>
  <c r="B22" i="3"/>
  <c r="B21" i="3"/>
  <c r="B20" i="3"/>
  <c r="D17" i="3"/>
  <c r="D64" i="2"/>
  <c r="D18" i="3" s="1"/>
  <c r="E64" i="2"/>
  <c r="D19" i="3" s="1"/>
  <c r="F64" i="2"/>
  <c r="G64" i="2"/>
  <c r="D21" i="3"/>
  <c r="H64" i="2"/>
  <c r="D23" i="3" s="1"/>
  <c r="I64" i="2"/>
  <c r="D24" i="3" s="1"/>
  <c r="J64" i="2"/>
  <c r="D25" i="3" s="1"/>
  <c r="K64" i="2"/>
  <c r="D26" i="3" s="1"/>
  <c r="L64" i="2"/>
  <c r="M64" i="2"/>
  <c r="C65" i="2"/>
  <c r="E17" i="3" s="1"/>
  <c r="D66" i="2"/>
  <c r="E66" i="2"/>
  <c r="E65" i="2"/>
  <c r="F66" i="2"/>
  <c r="F65" i="2" s="1"/>
  <c r="E21" i="3" s="1"/>
  <c r="G66" i="2"/>
  <c r="G65" i="2" s="1"/>
  <c r="E22" i="3" s="1"/>
  <c r="H66" i="2"/>
  <c r="I66" i="2"/>
  <c r="I65" i="2" s="1"/>
  <c r="E24" i="3" s="1"/>
  <c r="J66" i="2"/>
  <c r="J65" i="2"/>
  <c r="E25" i="3" s="1"/>
  <c r="K66" i="2"/>
  <c r="K65" i="2" s="1"/>
  <c r="E26" i="3" s="1"/>
  <c r="L66" i="2"/>
  <c r="M66" i="2"/>
  <c r="M65" i="2" s="1"/>
  <c r="D65" i="2"/>
  <c r="E18" i="3" s="1"/>
  <c r="H65" i="2"/>
  <c r="E23" i="3" s="1"/>
  <c r="L65" i="2"/>
  <c r="C63" i="2"/>
  <c r="C17" i="3" s="1"/>
  <c r="D63" i="2"/>
  <c r="C18" i="3" s="1"/>
  <c r="E63" i="2"/>
  <c r="C20" i="3" s="1"/>
  <c r="F63" i="2"/>
  <c r="C21" i="3" s="1"/>
  <c r="G63" i="2"/>
  <c r="C22" i="3" s="1"/>
  <c r="H63" i="2"/>
  <c r="C23" i="3" s="1"/>
  <c r="I63" i="2"/>
  <c r="C24" i="3" s="1"/>
  <c r="J63" i="2"/>
  <c r="C25" i="3" s="1"/>
  <c r="K63" i="2"/>
  <c r="C26" i="3" s="1"/>
  <c r="L63" i="2"/>
  <c r="M63" i="2"/>
  <c r="C53" i="2"/>
  <c r="D53" i="2"/>
  <c r="E53" i="2"/>
  <c r="F53" i="2"/>
  <c r="G53" i="2"/>
  <c r="H53" i="2"/>
  <c r="I53" i="2"/>
  <c r="J53" i="2"/>
  <c r="K53" i="2"/>
  <c r="L53" i="2"/>
  <c r="M53" i="2"/>
  <c r="B53" i="2"/>
  <c r="C52" i="2"/>
  <c r="D52" i="2"/>
  <c r="E52" i="2"/>
  <c r="F52" i="2"/>
  <c r="G52" i="2"/>
  <c r="H52" i="2"/>
  <c r="I52" i="2"/>
  <c r="J52" i="2"/>
  <c r="K52" i="2"/>
  <c r="L52" i="2"/>
  <c r="M52" i="2"/>
  <c r="B52" i="2"/>
  <c r="C51" i="2"/>
  <c r="D51" i="2"/>
  <c r="E51" i="2"/>
  <c r="F51" i="2"/>
  <c r="G51" i="2"/>
  <c r="H51" i="2"/>
  <c r="I51" i="2"/>
  <c r="J51" i="2"/>
  <c r="K51" i="2"/>
  <c r="L51" i="2"/>
  <c r="M51" i="2"/>
  <c r="B51" i="2"/>
  <c r="C50" i="2"/>
  <c r="D50" i="2"/>
  <c r="E50" i="2"/>
  <c r="F50" i="2"/>
  <c r="G50" i="2"/>
  <c r="H50" i="2"/>
  <c r="I50" i="2"/>
  <c r="J50" i="2"/>
  <c r="K50" i="2"/>
  <c r="L50" i="2"/>
  <c r="M50" i="2"/>
  <c r="C47" i="2"/>
  <c r="C48" i="2" s="1"/>
  <c r="D47" i="2"/>
  <c r="D48" i="2" s="1"/>
  <c r="E47" i="2"/>
  <c r="E48" i="2" s="1"/>
  <c r="F47" i="2"/>
  <c r="F48" i="2" s="1"/>
  <c r="F58" i="2" s="1"/>
  <c r="G47" i="2"/>
  <c r="G48" i="2" s="1"/>
  <c r="H47" i="2"/>
  <c r="H48" i="2" s="1"/>
  <c r="I47" i="2"/>
  <c r="I48" i="2" s="1"/>
  <c r="J47" i="2"/>
  <c r="J48" i="2"/>
  <c r="J58" i="2" s="1"/>
  <c r="K47" i="2"/>
  <c r="K48" i="2" s="1"/>
  <c r="L47" i="2"/>
  <c r="L48" i="2" s="1"/>
  <c r="M47" i="2"/>
  <c r="M48" i="2" s="1"/>
  <c r="E41" i="2"/>
  <c r="F41" i="2"/>
  <c r="G41" i="2"/>
  <c r="H41" i="2"/>
  <c r="I41" i="2"/>
  <c r="J41" i="2"/>
  <c r="K41" i="2"/>
  <c r="L41" i="2"/>
  <c r="M41" i="2"/>
  <c r="J49" i="2"/>
  <c r="D20" i="3"/>
  <c r="D22" i="3"/>
  <c r="E20" i="3"/>
  <c r="F20" i="3" s="1"/>
  <c r="E19" i="3"/>
  <c r="C19" i="3" l="1"/>
  <c r="G16" i="3"/>
  <c r="H58" i="2"/>
  <c r="H59" i="2"/>
  <c r="D58" i="2"/>
  <c r="D59" i="2"/>
  <c r="D49" i="2"/>
  <c r="L58" i="2"/>
  <c r="L49" i="2"/>
  <c r="G58" i="2"/>
  <c r="G59" i="2"/>
  <c r="I58" i="2"/>
  <c r="I59" i="2"/>
  <c r="I49" i="2"/>
  <c r="K58" i="2"/>
  <c r="K49" i="2"/>
  <c r="K59" i="2"/>
  <c r="C58" i="2"/>
  <c r="C49" i="2"/>
  <c r="C59" i="2"/>
  <c r="M59" i="2"/>
  <c r="M49" i="2"/>
  <c r="E59" i="2"/>
  <c r="E58" i="2"/>
  <c r="L59" i="2"/>
  <c r="J59" i="2"/>
  <c r="F59" i="2"/>
  <c r="G19" i="3"/>
  <c r="F16" i="3"/>
  <c r="G20" i="3"/>
  <c r="F23" i="3"/>
  <c r="G23" i="3"/>
  <c r="F26" i="3"/>
  <c r="F21" i="3"/>
  <c r="G21" i="3"/>
  <c r="G26" i="3"/>
  <c r="G24" i="3"/>
  <c r="B49" i="2"/>
  <c r="B59" i="2"/>
  <c r="B58" i="2"/>
  <c r="F25" i="3"/>
  <c r="F24" i="3"/>
  <c r="F22" i="3"/>
  <c r="G17" i="3"/>
  <c r="F17" i="3"/>
  <c r="G25" i="3"/>
  <c r="F18" i="3"/>
  <c r="F19" i="3"/>
  <c r="G22" i="3"/>
  <c r="F49" i="2"/>
  <c r="G49" i="2"/>
  <c r="H49" i="2"/>
  <c r="M58" i="2"/>
  <c r="E49" i="2"/>
  <c r="E61" i="13"/>
  <c r="D59" i="13"/>
  <c r="D61" i="13" s="1"/>
  <c r="B57" i="13"/>
  <c r="G18" i="3"/>
  <c r="P22" i="13" l="1"/>
  <c r="P25" i="13" l="1"/>
  <c r="P21" i="13"/>
  <c r="P24" i="13" s="1"/>
  <c r="V29" i="13" s="1"/>
</calcChain>
</file>

<file path=xl/sharedStrings.xml><?xml version="1.0" encoding="utf-8"?>
<sst xmlns="http://schemas.openxmlformats.org/spreadsheetml/2006/main" count="1807" uniqueCount="1005">
  <si>
    <t>DATOS ANTROPOMETRICOS</t>
  </si>
  <si>
    <t>Peso (kg)</t>
  </si>
  <si>
    <t>BASICOS</t>
  </si>
  <si>
    <t>PLIEGUES CUTANEOS (mm)</t>
  </si>
  <si>
    <t xml:space="preserve">Tríceps </t>
  </si>
  <si>
    <t>Talla (cm)</t>
  </si>
  <si>
    <t>Subescapular</t>
  </si>
  <si>
    <t>Bíceps</t>
  </si>
  <si>
    <t>Cresta Iliaca</t>
  </si>
  <si>
    <t>Supraespinal</t>
  </si>
  <si>
    <t>Abdominal</t>
  </si>
  <si>
    <t>Muslo Frontal</t>
  </si>
  <si>
    <t>Pantorrilla Medial</t>
  </si>
  <si>
    <t>PERÍMETROS (cm)</t>
  </si>
  <si>
    <t>Brazo Relajado</t>
  </si>
  <si>
    <t>Brazo Flexionado</t>
  </si>
  <si>
    <t>Cintura</t>
  </si>
  <si>
    <t>Cadera Máxima o Gluteo Máximo</t>
  </si>
  <si>
    <t>Pantorrilla Máxima</t>
  </si>
  <si>
    <t xml:space="preserve">DIÁMETROS (cm) </t>
  </si>
  <si>
    <t>Humero</t>
  </si>
  <si>
    <t>Femur</t>
  </si>
  <si>
    <t>ESTIMACIÓN DE VARIABLES ANTROPOMETRICAS</t>
  </si>
  <si>
    <t>FEMENINO</t>
  </si>
  <si>
    <t>MASCULINO</t>
  </si>
  <si>
    <t>% Grasa Durnin ADULTOS</t>
  </si>
  <si>
    <t xml:space="preserve">% Grasa Carter-Yuhasz (Atletas) </t>
  </si>
  <si>
    <t>% Grasa Durning &amp; W. (adultos 17 años y mas)</t>
  </si>
  <si>
    <t>% Grasa Seleccionado</t>
  </si>
  <si>
    <t>Peso de la Grasa (pg)</t>
  </si>
  <si>
    <t>Peso Magro (pm)</t>
  </si>
  <si>
    <t>% Peso Magro (%pm)</t>
  </si>
  <si>
    <t>% Grasa Minimo Permitido</t>
  </si>
  <si>
    <t>% Grasa Maximo Permitido</t>
  </si>
  <si>
    <t>Peso Minimo Permitido</t>
  </si>
  <si>
    <t>Peso Maximo Permitido</t>
  </si>
  <si>
    <t>Indice de Masa Corporal (IMC)</t>
  </si>
  <si>
    <t>Relacion Cintura/Cadera (ICC)</t>
  </si>
  <si>
    <t>Adiposidad Relativa (AR)</t>
  </si>
  <si>
    <t>Peso Proporcional (PP)</t>
  </si>
  <si>
    <t>SOMATOTIPO</t>
  </si>
  <si>
    <t>Endomorfia</t>
  </si>
  <si>
    <t>Mesomorfia</t>
  </si>
  <si>
    <t>Ectomorfia</t>
  </si>
  <si>
    <t>HWR*</t>
  </si>
  <si>
    <t>ANÁLISIS ANTROPOMÉTRICO</t>
  </si>
  <si>
    <t xml:space="preserve">Ectomorfia </t>
  </si>
  <si>
    <t>Fecha</t>
  </si>
  <si>
    <t>FECHA DE EVALUACION</t>
  </si>
  <si>
    <t>Coodenada X</t>
  </si>
  <si>
    <t>Coordanda Y</t>
  </si>
  <si>
    <t>CHO</t>
  </si>
  <si>
    <t>%</t>
  </si>
  <si>
    <t>1- DATOS PERSONALES</t>
  </si>
  <si>
    <t>Nombre y Apellido</t>
  </si>
  <si>
    <t>Fecha de Nacimiento</t>
  </si>
  <si>
    <t>Café</t>
  </si>
  <si>
    <t>2-ANTECEDENTES PERSONALES</t>
  </si>
  <si>
    <t>3- ANTECEDENTES FAMILIARES</t>
  </si>
  <si>
    <t>Alcohol</t>
  </si>
  <si>
    <t>Tabaco</t>
  </si>
  <si>
    <t>Apetito/Ansiedad</t>
  </si>
  <si>
    <t>5- HÁBITOS Y CONDUCTAS ALIMENTARIAS</t>
  </si>
  <si>
    <t>Horas de mayor apetito</t>
  </si>
  <si>
    <t>6- DEPORTE/ACTIVIDAD FÍSICA</t>
  </si>
  <si>
    <t>Tipo de Actividad Física/Deporte</t>
  </si>
  <si>
    <t>Intensidad</t>
  </si>
  <si>
    <t>Leche Completa</t>
  </si>
  <si>
    <t>Leche Descremada</t>
  </si>
  <si>
    <t>ALMUERZO</t>
  </si>
  <si>
    <t>HORA:</t>
  </si>
  <si>
    <t>MERIENDA VESPERTINA</t>
  </si>
  <si>
    <t>CENA</t>
  </si>
  <si>
    <t>MERIENDA NOCTURNA</t>
  </si>
  <si>
    <t>Sumatoria de 4 Pliegues</t>
  </si>
  <si>
    <t>Sumatoria de 6 Pliegues</t>
  </si>
  <si>
    <t>Sumatoria de 8 Pliegues</t>
  </si>
  <si>
    <t>Kg a Subir o Bajar</t>
  </si>
  <si>
    <t>Peso Objetivo</t>
  </si>
  <si>
    <t>PESO</t>
  </si>
  <si>
    <t>METODO TRADICIONAL</t>
  </si>
  <si>
    <t>Peso Utilizar</t>
  </si>
  <si>
    <t>Sexo</t>
  </si>
  <si>
    <t xml:space="preserve">Femenino </t>
  </si>
  <si>
    <t>Masculino</t>
  </si>
  <si>
    <t>Sedentario</t>
  </si>
  <si>
    <t>Intensa</t>
  </si>
  <si>
    <t>&lt; 25 kcal/kg Peso</t>
  </si>
  <si>
    <t>25-30 kcal/kg Peso</t>
  </si>
  <si>
    <t>&gt; 30 kcal/kg Peso</t>
  </si>
  <si>
    <t>HARRIS Y BENEDICT</t>
  </si>
  <si>
    <t>Factor de Actividad</t>
  </si>
  <si>
    <t>FORMÚLA DIETÉTICA</t>
  </si>
  <si>
    <t>ACTIVIDAD FÍSICA (AF)</t>
  </si>
  <si>
    <t>RCT a Utilizar</t>
  </si>
  <si>
    <t>Grasas</t>
  </si>
  <si>
    <t>kcal</t>
  </si>
  <si>
    <t>g</t>
  </si>
  <si>
    <t>g/kg Peso</t>
  </si>
  <si>
    <t>Fibra</t>
  </si>
  <si>
    <t>Sodio</t>
  </si>
  <si>
    <t>Colesterol</t>
  </si>
  <si>
    <t>Agua</t>
  </si>
  <si>
    <t>LISTA DE INTERCAMBIO</t>
  </si>
  <si>
    <t>Alimento</t>
  </si>
  <si>
    <t>Vegetales</t>
  </si>
  <si>
    <t>Frutas</t>
  </si>
  <si>
    <t>Int</t>
  </si>
  <si>
    <t xml:space="preserve">Grasas </t>
  </si>
  <si>
    <t xml:space="preserve">Colesterol </t>
  </si>
  <si>
    <t>Almidon</t>
  </si>
  <si>
    <t>Subtotal</t>
  </si>
  <si>
    <t>Total</t>
  </si>
  <si>
    <t>Requerimiento</t>
  </si>
  <si>
    <t>DISTRIBUCIÓN DE COMIDAS</t>
  </si>
  <si>
    <t>Comida</t>
  </si>
  <si>
    <t>Pre Desayuno</t>
  </si>
  <si>
    <t>Desayuno</t>
  </si>
  <si>
    <t>Merienda</t>
  </si>
  <si>
    <t>Almuerzo</t>
  </si>
  <si>
    <t>Cena</t>
  </si>
  <si>
    <t>Leche</t>
  </si>
  <si>
    <t>LABORATORIO</t>
  </si>
  <si>
    <t>ANALISÍS QUÍMICO Y HEMATOLÓGIO</t>
  </si>
  <si>
    <t>PARÁMETRO</t>
  </si>
  <si>
    <t>VALOR CONSULTA 1</t>
  </si>
  <si>
    <t>VALOR CONSULTA 2</t>
  </si>
  <si>
    <t>VALOR CONSULTA 3</t>
  </si>
  <si>
    <t>VALORES DE REFERENCIA</t>
  </si>
  <si>
    <t xml:space="preserve">Hemoglobina </t>
  </si>
  <si>
    <t xml:space="preserve">Hematocrito </t>
  </si>
  <si>
    <t>70 – 100 mg/dL</t>
  </si>
  <si>
    <t>Colesterol total</t>
  </si>
  <si>
    <t>Hasta 200 mg/dL</t>
  </si>
  <si>
    <t>Colesterol HDL</t>
  </si>
  <si>
    <t>Colesterol LDL</t>
  </si>
  <si>
    <t>Menor 130 mg/dL</t>
  </si>
  <si>
    <t>Triglicéridos</t>
  </si>
  <si>
    <t>Hasta 150 mg/dL</t>
  </si>
  <si>
    <t xml:space="preserve">Urea </t>
  </si>
  <si>
    <t>10 – 50 g/dL</t>
  </si>
  <si>
    <t xml:space="preserve">Creatinina </t>
  </si>
  <si>
    <t>Ácido úrico</t>
  </si>
  <si>
    <t>2.4 – 7.2 mg/dL</t>
  </si>
  <si>
    <t>BUN</t>
  </si>
  <si>
    <t>Proteínas totales</t>
  </si>
  <si>
    <t>5.5 – 8 g/dL</t>
  </si>
  <si>
    <t>Albúmina</t>
  </si>
  <si>
    <t>3.5 – 5.2 g/dL</t>
  </si>
  <si>
    <t>Globulina</t>
  </si>
  <si>
    <t>2 – 3 g/dL</t>
  </si>
  <si>
    <t>Amilasa</t>
  </si>
  <si>
    <t>53 – 123 U/L</t>
  </si>
  <si>
    <t>Lipasa</t>
  </si>
  <si>
    <t>10 – 140 U/L</t>
  </si>
  <si>
    <t>AST (asparto aminotransferasa)</t>
  </si>
  <si>
    <t>Hasta 40 U/L</t>
  </si>
  <si>
    <t>ALT (alanino aminotransferasa)</t>
  </si>
  <si>
    <t>LDH (lactato deshidrogenasa)</t>
  </si>
  <si>
    <t>100-190  U/L</t>
  </si>
  <si>
    <t xml:space="preserve">ALP  o  FA (fosfatasa alcalina) </t>
  </si>
  <si>
    <t>42 – 128 U/L</t>
  </si>
  <si>
    <t>Ácido láctico</t>
  </si>
  <si>
    <t>0.5 – 2.2 mmol/L</t>
  </si>
  <si>
    <t>Bilirrubina total</t>
  </si>
  <si>
    <t>0 – 1 mg/dL</t>
  </si>
  <si>
    <t>Bilirrubina directa</t>
  </si>
  <si>
    <t>0 – 0.4 mg/dL</t>
  </si>
  <si>
    <t>Linfocitos</t>
  </si>
  <si>
    <t>25 – 40 %</t>
  </si>
  <si>
    <t xml:space="preserve">Neutrófilos </t>
  </si>
  <si>
    <t>50 – 70 %</t>
  </si>
  <si>
    <t xml:space="preserve">Neutrófilos no segmentados </t>
  </si>
  <si>
    <t>0.2 – 6 %</t>
  </si>
  <si>
    <t>Eosinófilos</t>
  </si>
  <si>
    <t>1 – 4 %</t>
  </si>
  <si>
    <t>Monocitos</t>
  </si>
  <si>
    <t>2 – 8 %</t>
  </si>
  <si>
    <t>Basófilos</t>
  </si>
  <si>
    <t>0 – 1.2 %</t>
  </si>
  <si>
    <t>Plaquetas</t>
  </si>
  <si>
    <t>135 – 145 mmol/L</t>
  </si>
  <si>
    <t>Potasio</t>
  </si>
  <si>
    <t>3.5 – 5 mmol/L</t>
  </si>
  <si>
    <t xml:space="preserve">Cloro </t>
  </si>
  <si>
    <t>98-108 mmol/L</t>
  </si>
  <si>
    <t>Calcio (sérico)</t>
  </si>
  <si>
    <t>8 – 10.5 mg/dL</t>
  </si>
  <si>
    <t>0 – 300 mg en 24h</t>
  </si>
  <si>
    <t>Fósforo</t>
  </si>
  <si>
    <t>2.7 – 4.8 mg/dL</t>
  </si>
  <si>
    <t>Magnesio</t>
  </si>
  <si>
    <t>1.9 – 2.5 mg/dL</t>
  </si>
  <si>
    <t>Péptido C</t>
  </si>
  <si>
    <t>0.5 – 2 ng/mL</t>
  </si>
  <si>
    <t>Insulina</t>
  </si>
  <si>
    <t>Deporte</t>
  </si>
  <si>
    <t>Tricep</t>
  </si>
  <si>
    <t>Muslo Medio</t>
  </si>
  <si>
    <t>Pantorrilla</t>
  </si>
  <si>
    <t>Bícep</t>
  </si>
  <si>
    <t>Cresta Ilíaca</t>
  </si>
  <si>
    <t>Brazo relajado</t>
  </si>
  <si>
    <t>Brazo flexionado en tensión</t>
  </si>
  <si>
    <t>Cintura (Mínimo)</t>
  </si>
  <si>
    <t>Cadera (Máximo)</t>
  </si>
  <si>
    <t>Muslo máximo</t>
  </si>
  <si>
    <t>Muslo medio</t>
  </si>
  <si>
    <t>Peso/Edad</t>
  </si>
  <si>
    <t>Talla/Edad</t>
  </si>
  <si>
    <t>Peso/Talla</t>
  </si>
  <si>
    <t>IMC/Edad</t>
  </si>
  <si>
    <t>INFORME NUTRICIONAL ANTROPOMÉTRICO</t>
  </si>
  <si>
    <t>2 COMPONENTES</t>
  </si>
  <si>
    <t>DATOS PERSONALES</t>
  </si>
  <si>
    <t>MEDICIONES CORPORALES</t>
  </si>
  <si>
    <t>Numero de Evaluacion</t>
  </si>
  <si>
    <t>Fecha de Evaluacion</t>
  </si>
  <si>
    <t>BASICAS</t>
  </si>
  <si>
    <t>PLIEGUES CUTÁNEOS (mm)</t>
  </si>
  <si>
    <t>CIRCUNFERENCIAS (cm)</t>
  </si>
  <si>
    <t>Brazo flexionado</t>
  </si>
  <si>
    <t>RESULTADOS DE COMPOSICIÓN CORPORAL - METODO DE 2 COMPONENTES</t>
  </si>
  <si>
    <t>Indicadores</t>
  </si>
  <si>
    <t>% Peso Magro</t>
  </si>
  <si>
    <t>Valor</t>
  </si>
  <si>
    <t>Categoria</t>
  </si>
  <si>
    <t>% Grasa Brook (1-11 años)</t>
  </si>
  <si>
    <t>% Grasa Durnin (12-16 años)</t>
  </si>
  <si>
    <t>Sum de 8 pliegues (mm)</t>
  </si>
  <si>
    <t>DAGNOSTICO NUTRICIONAL ANTROPOMÉTRICO</t>
  </si>
  <si>
    <t>Talla adulta</t>
  </si>
  <si>
    <t>PGP</t>
  </si>
  <si>
    <t>DIAGNOSTICO</t>
  </si>
  <si>
    <t>SOMATOTIPO (HEATH - CARTER, 1990)</t>
  </si>
  <si>
    <r>
      <t xml:space="preserve">El somatotipo describe numéricamente tus características físicas, qué aspecto tienes como atleta y qué tanto te asemejas a un futbolista promedio. Esto se hace a través de tres números, cada uno representa tu forma física: la gordura o adiposidad </t>
    </r>
    <r>
      <rPr>
        <b/>
        <sz val="10"/>
        <color theme="1"/>
        <rFont val="Calibri"/>
        <family val="2"/>
        <scheme val="minor"/>
      </rPr>
      <t>(endomorfia)</t>
    </r>
    <r>
      <rPr>
        <sz val="10"/>
        <color theme="1"/>
        <rFont val="Calibri"/>
        <family val="2"/>
        <scheme val="minor"/>
      </rPr>
      <t xml:space="preserve">, la robustez músculo-esquelética </t>
    </r>
    <r>
      <rPr>
        <b/>
        <sz val="10"/>
        <color theme="1"/>
        <rFont val="Calibri"/>
        <family val="2"/>
        <scheme val="minor"/>
      </rPr>
      <t xml:space="preserve">(mesomorfia) </t>
    </r>
    <r>
      <rPr>
        <sz val="10"/>
        <color theme="1"/>
        <rFont val="Calibri"/>
        <family val="2"/>
        <scheme val="minor"/>
      </rPr>
      <t xml:space="preserve">y la delgadez </t>
    </r>
    <r>
      <rPr>
        <b/>
        <sz val="10"/>
        <color theme="1"/>
        <rFont val="Calibri"/>
        <family val="2"/>
        <scheme val="minor"/>
      </rPr>
      <t>(ectomorfia)</t>
    </r>
    <r>
      <rPr>
        <sz val="10"/>
        <color theme="1"/>
        <rFont val="Calibri"/>
        <family val="2"/>
        <scheme val="minor"/>
      </rPr>
      <t>. Dependiendo del deporte que estes realizando y la posición de la misma dichos valores pueden variar de un sujeto a otro. En tu evaluación, los valores obtenidos fueron:</t>
    </r>
  </si>
  <si>
    <t>Resultados sujeto evaluado</t>
  </si>
  <si>
    <t>CONCLUSIONES Y RECOMENDACIONES</t>
  </si>
  <si>
    <t>EDAD</t>
  </si>
  <si>
    <t>Clasificacion</t>
  </si>
  <si>
    <t>Protocolo de medición: ISAK. Instrumentos empleados: Balanza (precisión 100 g), Calibrador de pliegues cutáneos Slim Guide (0,5 mm), Cinta métrica Luftkin (0,1 mm), Vernier Rosscraft (0,1 mm).</t>
  </si>
  <si>
    <t>Teléfono</t>
  </si>
  <si>
    <t>-1</t>
  </si>
  <si>
    <t xml:space="preserve">Edad </t>
  </si>
  <si>
    <t>Cédula</t>
  </si>
  <si>
    <t>4- HÁBITOS (PSICOBIOLÓGICO Y FUNCIONALES)</t>
  </si>
  <si>
    <t>Tratamiento médico</t>
  </si>
  <si>
    <t xml:space="preserve">7- SUPLEMENTOS NUTRICIONALES </t>
  </si>
  <si>
    <t>Dirección</t>
  </si>
  <si>
    <t>Heces</t>
  </si>
  <si>
    <t>Orina</t>
  </si>
  <si>
    <t>Ocupación</t>
  </si>
  <si>
    <t>Peso a utilizar</t>
  </si>
  <si>
    <t>Peso mínimo</t>
  </si>
  <si>
    <t>Peso máximo</t>
  </si>
  <si>
    <t>Peso actual</t>
  </si>
  <si>
    <t>REQUERIMIENTOS Y LISTA DE INTERCAMBIO</t>
  </si>
  <si>
    <t>PESO TEÓRICO</t>
  </si>
  <si>
    <t>WEST</t>
  </si>
  <si>
    <t>Hombres</t>
  </si>
  <si>
    <t>Mujeres</t>
  </si>
  <si>
    <t>Talla</t>
  </si>
  <si>
    <t>Derivada del IMC</t>
  </si>
  <si>
    <t>Porcentaje de cambio de peso</t>
  </si>
  <si>
    <t>Femenino</t>
  </si>
  <si>
    <t>RCB (Masculino)</t>
  </si>
  <si>
    <t>RCB (Femenino)</t>
  </si>
  <si>
    <t>ETA (Masculino)</t>
  </si>
  <si>
    <t>ETA (Femenino)</t>
  </si>
  <si>
    <t>RCT (Masculino)</t>
  </si>
  <si>
    <t>RCT (Femenino)</t>
  </si>
  <si>
    <t>Muy Leve</t>
  </si>
  <si>
    <t>Leve</t>
  </si>
  <si>
    <t>Moderada</t>
  </si>
  <si>
    <t>Factor de estrés</t>
  </si>
  <si>
    <t>H: 13 – 18 g/dL                                                                        M: 12 -14 G/dL</t>
  </si>
  <si>
    <t>H: 37 – 49 g/dL                                        M: 36 -46 d/dL</t>
  </si>
  <si>
    <t>Glucosa</t>
  </si>
  <si>
    <t>H: mayor a 40 mg/dL           M: mayor a 50 mg/dL</t>
  </si>
  <si>
    <t>0.8 – 1.2 mg/dL</t>
  </si>
  <si>
    <t>8 – 20 mg/dL</t>
  </si>
  <si>
    <t xml:space="preserve">H: 7 - 30  U/L                            M: 10 - 55 U/L </t>
  </si>
  <si>
    <t>Calcio (en orina)</t>
  </si>
  <si>
    <t>&lt;9 µg/mL</t>
  </si>
  <si>
    <t>Comidas fuera de casa</t>
  </si>
  <si>
    <t>Alergias alimentarias</t>
  </si>
  <si>
    <t>Intolerancias alimentarias</t>
  </si>
  <si>
    <t>Duración/Hora</t>
  </si>
  <si>
    <t>CALORIAS APRÓXIMADAS CONSUMIDAS</t>
  </si>
  <si>
    <t>PAVB APRÓXIMADAS CONSUMIDAS</t>
  </si>
  <si>
    <t>Estado civil</t>
  </si>
  <si>
    <t>Fecha de nacimiento</t>
  </si>
  <si>
    <t>Motivo de consulta</t>
  </si>
  <si>
    <t>Correo electrónico</t>
  </si>
  <si>
    <t>Enfermedad(es) importante(s) diagnosticada(s)</t>
  </si>
  <si>
    <t>Operación(es) realizada(s)</t>
  </si>
  <si>
    <t>Consumo de drogas</t>
  </si>
  <si>
    <t>Hábitos  intestinales</t>
  </si>
  <si>
    <t>Hábitos  miccionales</t>
  </si>
  <si>
    <t>Acidez/Pirosis/Náuseas</t>
  </si>
  <si>
    <t>Suplemento(s) nutricional(es) actual(es)</t>
  </si>
  <si>
    <t>Número de evaluación</t>
  </si>
  <si>
    <t>Actividad Física</t>
  </si>
  <si>
    <t>MÉTODO DIRECTO</t>
  </si>
  <si>
    <t>Hipocalórica</t>
  </si>
  <si>
    <t>Normocalórica</t>
  </si>
  <si>
    <t>Hipercalórica</t>
  </si>
  <si>
    <t>Proteínas</t>
  </si>
  <si>
    <t>Adecuación</t>
  </si>
  <si>
    <t>Peso usual</t>
  </si>
  <si>
    <t>Talla (m)</t>
  </si>
  <si>
    <t>Índice cintura/cadera</t>
  </si>
  <si>
    <t>Porcentaje a Utilizar</t>
  </si>
  <si>
    <t>Kg. Masa magra</t>
  </si>
  <si>
    <t>Kg. Grasa</t>
  </si>
  <si>
    <t>% Grasa Objetivo</t>
  </si>
  <si>
    <t>Kg. a bajar o subir</t>
  </si>
  <si>
    <r>
      <t>IMC (kg/m</t>
    </r>
    <r>
      <rPr>
        <b/>
        <vertAlign val="superscript"/>
        <sz val="10"/>
        <rFont val="Gill Sans MT"/>
        <family val="2"/>
      </rPr>
      <t>2)</t>
    </r>
  </si>
  <si>
    <r>
      <t>A. Grasa Brazo (cm</t>
    </r>
    <r>
      <rPr>
        <b/>
        <vertAlign val="superscript"/>
        <sz val="10"/>
        <rFont val="Gill Sans MT"/>
        <family val="2"/>
      </rPr>
      <t>2)</t>
    </r>
  </si>
  <si>
    <r>
      <t>A. Magra Brazo (cm</t>
    </r>
    <r>
      <rPr>
        <b/>
        <vertAlign val="superscript"/>
        <sz val="10"/>
        <rFont val="Gill Sans MT"/>
        <family val="2"/>
      </rPr>
      <t>2)</t>
    </r>
  </si>
  <si>
    <t>Peso actual (kg)</t>
  </si>
  <si>
    <r>
      <t>150.000 – 450.000 cel/mm</t>
    </r>
    <r>
      <rPr>
        <vertAlign val="superscript"/>
        <sz val="11"/>
        <color theme="1"/>
        <rFont val="Gill Sans MT"/>
        <family val="2"/>
      </rPr>
      <t>3</t>
    </r>
  </si>
  <si>
    <t xml:space="preserve"> Suplementos</t>
  </si>
  <si>
    <t>Fecha de evaluación</t>
  </si>
  <si>
    <t>Beisbol</t>
  </si>
  <si>
    <t>Baloncesto</t>
  </si>
  <si>
    <t>Culturismo</t>
  </si>
  <si>
    <t>6_12</t>
  </si>
  <si>
    <t>Ciclismo</t>
  </si>
  <si>
    <t>Gimnasia</t>
  </si>
  <si>
    <t>Fútbol</t>
  </si>
  <si>
    <t>Natación</t>
  </si>
  <si>
    <t>Tenis</t>
  </si>
  <si>
    <t>Crossfit</t>
  </si>
  <si>
    <t>8_14</t>
  </si>
  <si>
    <t>5_8</t>
  </si>
  <si>
    <t>6_11</t>
  </si>
  <si>
    <t>6_8</t>
  </si>
  <si>
    <t>6_14</t>
  </si>
  <si>
    <t>Adultos</t>
  </si>
  <si>
    <t>Pérdida de grasa requerida (%)</t>
  </si>
  <si>
    <t>Pérdida de grasa requerida (Kg)</t>
  </si>
  <si>
    <t>g de grasa a bajar</t>
  </si>
  <si>
    <t>Pérdida de M.M aceptable (g)</t>
  </si>
  <si>
    <t>Pérdida de peso esperada p/ semana (g)</t>
  </si>
  <si>
    <t>Pérdida de peso esperada p/ mes (g)</t>
  </si>
  <si>
    <t>Pérdida de grasa semanal (g)</t>
  </si>
  <si>
    <t>Pérdida de musculo semanal (g)</t>
  </si>
  <si>
    <t>Duración del decít (semanas)</t>
  </si>
  <si>
    <t>Duración del decít (meses)</t>
  </si>
  <si>
    <t>Kcal por Kg de Grasa</t>
  </si>
  <si>
    <t>Kcal por Kg de Masa Magra</t>
  </si>
  <si>
    <t>DEFICÍT (Kcal/día)</t>
  </si>
  <si>
    <t>Peso Magro</t>
  </si>
  <si>
    <t>% de cambio de peso</t>
  </si>
  <si>
    <t>Tiempo</t>
  </si>
  <si>
    <t>Significativo</t>
  </si>
  <si>
    <t>Severo</t>
  </si>
  <si>
    <t>1 semana</t>
  </si>
  <si>
    <t>1 – 2 %</t>
  </si>
  <si>
    <t>&gt; 2 %</t>
  </si>
  <si>
    <t>Hamwi</t>
  </si>
  <si>
    <t>1 mes</t>
  </si>
  <si>
    <t>3 – 5 %</t>
  </si>
  <si>
    <t>&gt; 5 %</t>
  </si>
  <si>
    <t>Peso ajustado (Obesidad)</t>
  </si>
  <si>
    <t>3 meses</t>
  </si>
  <si>
    <t>6 – 8 %</t>
  </si>
  <si>
    <t>&gt; 8 %</t>
  </si>
  <si>
    <t>6 meses</t>
  </si>
  <si>
    <t>9 – 10%</t>
  </si>
  <si>
    <t>&gt; 10 %</t>
  </si>
  <si>
    <t>HARRIS Y BENEDICT (ROZA)</t>
  </si>
  <si>
    <t>1.2 - Sedentary:</t>
  </si>
  <si>
    <t>You work a desk job and don’t exercise</t>
  </si>
  <si>
    <t>1.375 - Light Activity:</t>
  </si>
  <si>
    <t>You work a desk job but do a bit of regular exercise. Or you don’t exercise but you work at a</t>
  </si>
  <si>
    <t>job that’s pretty active (a nurse, teacher, etc.) where you’re on your for feet most of the day.</t>
  </si>
  <si>
    <t>MÉTODO HOLLIDAY</t>
  </si>
  <si>
    <t>1.55 - Moderate Activity:</t>
  </si>
  <si>
    <t>0-10 Kg</t>
  </si>
  <si>
    <t>100 Kcal/Kg/día</t>
  </si>
  <si>
    <t>Most of you will probably fall into this category. Maybe you work a sedentary job, but you</t>
  </si>
  <si>
    <t>10,1-20 Kg</t>
  </si>
  <si>
    <t>1000 Kcal + 50 Kcal por cada Kg por encima</t>
  </si>
  <si>
    <t>train like a madman. Or maybe you train moderately, but you also have a job where you</t>
  </si>
  <si>
    <t>&gt;20 Kg</t>
  </si>
  <si>
    <t>FACTOR DE ACTIVIDAD FÍSICA</t>
  </si>
  <si>
    <t>MULLER EQUATION</t>
  </si>
  <si>
    <t>MIFFLIN - ST.JEOR</t>
  </si>
  <si>
    <t>stand on your feet all the time. Someone who doesn’t train but works a hard labor job</t>
  </si>
  <si>
    <t xml:space="preserve">RCB: </t>
  </si>
  <si>
    <t>Sedentary</t>
  </si>
  <si>
    <t>would also fall into this category.</t>
  </si>
  <si>
    <t xml:space="preserve">ENERGÍA DE ACTIVIDAD: </t>
  </si>
  <si>
    <t>Light Activity</t>
  </si>
  <si>
    <t>1.725 - Very Active:</t>
  </si>
  <si>
    <t xml:space="preserve">ETA: 10% </t>
  </si>
  <si>
    <t>Moderate Activity</t>
  </si>
  <si>
    <t>You train hard most days of the week, and you also work a job where you’re on your feet</t>
  </si>
  <si>
    <t>REQUERIMIENTO CALÓRICO TOTAL</t>
  </si>
  <si>
    <t>Very Active</t>
  </si>
  <si>
    <t>quite a bit. Overall, you’re active most of the day.</t>
  </si>
  <si>
    <t>Extra Active</t>
  </si>
  <si>
    <t>1.9 - Extra Active:</t>
  </si>
  <si>
    <t>You train hard and work a job that is physically intense in nature. As an example, you’re a</t>
  </si>
  <si>
    <t>roofer who also goes to the gym five days a week.</t>
  </si>
  <si>
    <t>Restricción</t>
  </si>
  <si>
    <t>Valor (Kcal)</t>
  </si>
  <si>
    <t>Aporte de Macros</t>
  </si>
  <si>
    <t>Intervalos de edad.</t>
  </si>
  <si>
    <t xml:space="preserve">Rangos óptimos de proteína: </t>
  </si>
  <si>
    <t>0-30</t>
  </si>
  <si>
    <t>31-40</t>
  </si>
  <si>
    <t>41-50</t>
  </si>
  <si>
    <t>51-60</t>
  </si>
  <si>
    <t>61-70</t>
  </si>
  <si>
    <t>No caloric Deficit</t>
  </si>
  <si>
    <t>1,8-2,0</t>
  </si>
  <si>
    <t>2,0-2,3</t>
  </si>
  <si>
    <t>2,3-2,6</t>
  </si>
  <si>
    <t>2,6-2,9</t>
  </si>
  <si>
    <t>2,9-3,2</t>
  </si>
  <si>
    <t>Kg de masa magra</t>
  </si>
  <si>
    <t>Deficit Calorico</t>
  </si>
  <si>
    <t>2,2-2,4</t>
  </si>
  <si>
    <t>2,4-2,8</t>
  </si>
  <si>
    <t>2,8-3,1</t>
  </si>
  <si>
    <t>3,1-3,5</t>
  </si>
  <si>
    <t>3,5-3,8</t>
  </si>
  <si>
    <t>1000 Kcal + 20 Kcal por cada Kg por encima de 20 Kg</t>
  </si>
  <si>
    <t xml:space="preserve">RESUMEN DE INDICADORES ANTROPOMETRICOS </t>
  </si>
  <si>
    <t>Evaluación</t>
  </si>
  <si>
    <t>Kg de Masa Magra</t>
  </si>
  <si>
    <t>Kg de Grasa</t>
  </si>
  <si>
    <t>6- DEPORTE/ACTIVIDAD FÍSICA/ENERGÍA DE ACTIVIDAD</t>
  </si>
  <si>
    <t xml:space="preserve">Tipo de Actividad </t>
  </si>
  <si>
    <t>Horas/Día</t>
  </si>
  <si>
    <t>Coeficiente</t>
  </si>
  <si>
    <t>Coeficiente x hora</t>
  </si>
  <si>
    <t>Tv -Lectura</t>
  </si>
  <si>
    <t>Juegos Pasivos</t>
  </si>
  <si>
    <t>Juegos Activos</t>
  </si>
  <si>
    <t>Escolar</t>
  </si>
  <si>
    <t>Descanso</t>
  </si>
  <si>
    <t>TOTAL</t>
  </si>
  <si>
    <t xml:space="preserve">Calorías aproximadas: </t>
  </si>
  <si>
    <t>Carnes magras</t>
  </si>
  <si>
    <t>Carnes semimagras</t>
  </si>
  <si>
    <t xml:space="preserve"> Desayuno</t>
  </si>
  <si>
    <t>Carnes semi</t>
  </si>
  <si>
    <t>Brazo relajado (cm)</t>
  </si>
  <si>
    <t>Antebrazo máximo (cm)</t>
  </si>
  <si>
    <t>Muslo máximo (cm)</t>
  </si>
  <si>
    <t>Muslo medial (cm)</t>
  </si>
  <si>
    <t>Tórax (Mesoesternal) (cm)</t>
  </si>
  <si>
    <t>Cadera máximo (cm)</t>
  </si>
  <si>
    <t>Cintura mínimo (cm)</t>
  </si>
  <si>
    <t>Pantorrilla máximo (cm)</t>
  </si>
  <si>
    <t>Bíceps (mm)</t>
  </si>
  <si>
    <t>Tríceps (mm)</t>
  </si>
  <si>
    <t>Subescapular (mm)</t>
  </si>
  <si>
    <t>Abdominal (mm)</t>
  </si>
  <si>
    <t>Muslo frontal (mm)</t>
  </si>
  <si>
    <t>Pantorrilla (mm)</t>
  </si>
  <si>
    <t>Supra-espinal (mm)</t>
  </si>
  <si>
    <t>Ileo-crestal (mm)</t>
  </si>
  <si>
    <t>Circunferencias(cm)</t>
  </si>
  <si>
    <t>Pliegues (mm)</t>
  </si>
  <si>
    <t>VALORES ANTROPOMÉTRICOS</t>
  </si>
  <si>
    <t>Circunferencias corregidas por pliegues (cm)</t>
  </si>
  <si>
    <t>Caja torácica (cm)</t>
  </si>
  <si>
    <t>Cintura (cm)</t>
  </si>
  <si>
    <t>Diametros óseos (cm)</t>
  </si>
  <si>
    <t>Biacromial (cm)</t>
  </si>
  <si>
    <t>Toráx Tranverso (cm)</t>
  </si>
  <si>
    <t>Toráx Anteroposterior (cm)</t>
  </si>
  <si>
    <t>Biilocrestídio (cm)</t>
  </si>
  <si>
    <t>Humeral (Biepicondilar)</t>
  </si>
  <si>
    <t>Femoral (Biepicondilar)</t>
  </si>
  <si>
    <t xml:space="preserve"> % Grasa (Carter 1986)</t>
  </si>
  <si>
    <t>% Grasa (Durnin y W. 1974)</t>
  </si>
  <si>
    <t>INDICADORES (2 componentes)</t>
  </si>
  <si>
    <t>Juveniles</t>
  </si>
  <si>
    <t>10_12</t>
  </si>
  <si>
    <t>Contextura</t>
  </si>
  <si>
    <t>Indicadores absolutos (Corregidos por pliegues)</t>
  </si>
  <si>
    <t>Masa Adiposa (Kg)</t>
  </si>
  <si>
    <t>Masa Muscular (Kg)</t>
  </si>
  <si>
    <t xml:space="preserve">SOMATOTIPO </t>
  </si>
  <si>
    <t>Valoración del Somatotipo (Decimal)</t>
  </si>
  <si>
    <t>OTRAS SUMATORIAS</t>
  </si>
  <si>
    <t>Sumatoria de 3 pliegues</t>
  </si>
  <si>
    <t>Sumatoria de 3 pliegues (Corregida)</t>
  </si>
  <si>
    <t>Sumatoria de 3 pliegues (Corregida) (2)</t>
  </si>
  <si>
    <t>Sumatoria de 3 pliegues (Corregida) (3)</t>
  </si>
  <si>
    <t>Biceps Corregido</t>
  </si>
  <si>
    <t>Pantorrilla Corregida</t>
  </si>
  <si>
    <t>Altura/Peso (1/3)</t>
  </si>
  <si>
    <t>Ubicación en la somatocarta</t>
  </si>
  <si>
    <t>Eje X</t>
  </si>
  <si>
    <t>Eje Y</t>
  </si>
  <si>
    <t>% DE GRASA (CARTER 1986)</t>
  </si>
  <si>
    <t>Riesgo</t>
  </si>
  <si>
    <t>Edad</t>
  </si>
  <si>
    <t>Bajo</t>
  </si>
  <si>
    <t>Moderado</t>
  </si>
  <si>
    <t>Alto</t>
  </si>
  <si>
    <t>Muy alto</t>
  </si>
  <si>
    <t>20-29</t>
  </si>
  <si>
    <t>&lt;0.83</t>
  </si>
  <si>
    <t>0.83-0.88</t>
  </si>
  <si>
    <t>0.89-0.94</t>
  </si>
  <si>
    <t>&gt;0.94</t>
  </si>
  <si>
    <t>30-39</t>
  </si>
  <si>
    <t>&lt;0.84</t>
  </si>
  <si>
    <t>0.84-0.91</t>
  </si>
  <si>
    <t>0.92-0.96</t>
  </si>
  <si>
    <t>&gt;0.96</t>
  </si>
  <si>
    <t>40-49</t>
  </si>
  <si>
    <t>&lt;0.88</t>
  </si>
  <si>
    <t>0.88-0.95</t>
  </si>
  <si>
    <t>0.96-1.00</t>
  </si>
  <si>
    <t>&gt;1.00</t>
  </si>
  <si>
    <t>50-59</t>
  </si>
  <si>
    <t>&lt;0.90</t>
  </si>
  <si>
    <t>0.90-0.96</t>
  </si>
  <si>
    <t>0.97-1.02</t>
  </si>
  <si>
    <t>&gt;1.02</t>
  </si>
  <si>
    <t>60-69</t>
  </si>
  <si>
    <t>&lt;0.91</t>
  </si>
  <si>
    <t>0.91-0.98</t>
  </si>
  <si>
    <t>0.99-1.03</t>
  </si>
  <si>
    <t>&gt;1.03</t>
  </si>
  <si>
    <t>&lt;0.71</t>
  </si>
  <si>
    <t>0.71-0.77</t>
  </si>
  <si>
    <t>0.78-0.82</t>
  </si>
  <si>
    <t>&gt;0.82</t>
  </si>
  <si>
    <t>&lt;0.72</t>
  </si>
  <si>
    <t>0.72-0.78</t>
  </si>
  <si>
    <t>0.79-0.84</t>
  </si>
  <si>
    <t>&gt;0.84</t>
  </si>
  <si>
    <t>&lt;0.73</t>
  </si>
  <si>
    <t>0.73-0.79</t>
  </si>
  <si>
    <t>0.80-0.87</t>
  </si>
  <si>
    <t>&gt;0.87</t>
  </si>
  <si>
    <t>&lt;0.74</t>
  </si>
  <si>
    <t>0.74-0.81</t>
  </si>
  <si>
    <t>0.82-0.88</t>
  </si>
  <si>
    <t>&gt;0.88</t>
  </si>
  <si>
    <t>&lt;0.76</t>
  </si>
  <si>
    <t>0.76-0.83</t>
  </si>
  <si>
    <t>0.84-0.90</t>
  </si>
  <si>
    <t>&gt;0.90</t>
  </si>
  <si>
    <t>INDICE CINTURA CADERA</t>
  </si>
  <si>
    <t>DEPORTE</t>
  </si>
  <si>
    <t>ENDO</t>
  </si>
  <si>
    <t>MESO</t>
  </si>
  <si>
    <t>ECTO</t>
  </si>
  <si>
    <t xml:space="preserve">ATLETISMO Fondo </t>
  </si>
  <si>
    <t>ATLETISMO Fondo 10.000 m,</t>
  </si>
  <si>
    <t>ATLETISMO Maratón</t>
  </si>
  <si>
    <t>ATLETISMO Fondo 3.000 m. Obstáculos</t>
  </si>
  <si>
    <t xml:space="preserve">ATLETISMO Medio Fondo </t>
  </si>
  <si>
    <t>ATLETISMO Fondo 5.000 m.</t>
  </si>
  <si>
    <t>ATLETISMO Pruebas Combinadas</t>
  </si>
  <si>
    <t>ATLETISMO Lanzamiento Martillo</t>
  </si>
  <si>
    <t>ATLETISMO Salto Altura</t>
  </si>
  <si>
    <t>ATLETISMO Salto Longitud y Triple Salto</t>
  </si>
  <si>
    <t>ATLETISMO Medio Fondo 1.500 m.</t>
  </si>
  <si>
    <t>ATLETISMO Velocidad</t>
  </si>
  <si>
    <t>ATLETISMO Medio Fondo 800 m.</t>
  </si>
  <si>
    <t>Baminton</t>
  </si>
  <si>
    <t>Cricket</t>
  </si>
  <si>
    <t>ATLETISMO Salto de Pértiga</t>
  </si>
  <si>
    <t>ESGRIMA</t>
  </si>
  <si>
    <t>ATLETISMO Velocidad: 400 m.</t>
  </si>
  <si>
    <t>GIMNASIA ARTÍSTICA</t>
  </si>
  <si>
    <t>ATLETISMO Velocidad: 60 - 200 m.</t>
  </si>
  <si>
    <t>GIMNASIA RÍTMICA</t>
  </si>
  <si>
    <t>BALONCESTO Ala-pivot / Pivot</t>
  </si>
  <si>
    <t>Hockey</t>
  </si>
  <si>
    <t>BALONCESTO Alero</t>
  </si>
  <si>
    <t>JUDO &lt;  66-72 Kg.</t>
  </si>
  <si>
    <t>BALONCESTO Base</t>
  </si>
  <si>
    <t>JUDO &lt; 48-52 Kg.</t>
  </si>
  <si>
    <t>BALONCESTO Escolta</t>
  </si>
  <si>
    <t>JUDO &lt; 56-61 Kg.</t>
  </si>
  <si>
    <t>CICLISMO</t>
  </si>
  <si>
    <t>Lacrosse</t>
  </si>
  <si>
    <t>Futbol australiano</t>
  </si>
  <si>
    <t>NATACIÓN</t>
  </si>
  <si>
    <t>FÚTBOL Defensa</t>
  </si>
  <si>
    <t>NATACIÓN Espalda 200 m</t>
  </si>
  <si>
    <t>FÚTBOL Delantero</t>
  </si>
  <si>
    <t>NATACIÓN Espalda 50+100 m</t>
  </si>
  <si>
    <t>FÚTBOL Medio</t>
  </si>
  <si>
    <t>NATACIÓN Freestyle 200+400 m</t>
  </si>
  <si>
    <t>FÚTBOL Portero</t>
  </si>
  <si>
    <t>NATACIÓN Freestyle 50+100 m</t>
  </si>
  <si>
    <t>Gimnasia deportiva</t>
  </si>
  <si>
    <t>NATACIÓN Freestyle 800 m</t>
  </si>
  <si>
    <t>Hockey sobre césped</t>
  </si>
  <si>
    <t>NATACIÓN Mariposa 200 m</t>
  </si>
  <si>
    <t>JUDO 60-65 Kg.</t>
  </si>
  <si>
    <t>NATACIÓN Mariposa 50+100 m</t>
  </si>
  <si>
    <t>JUDO 71-78 Kg.</t>
  </si>
  <si>
    <t>NATACIÓN Medley 200+400 m</t>
  </si>
  <si>
    <t>JUDO 86-95 Kg.</t>
  </si>
  <si>
    <t>NATACIÓN Pecho 200 m</t>
  </si>
  <si>
    <t>Levantamiento de potencia</t>
  </si>
  <si>
    <t>NATACIÓN Pecho 50+100 m</t>
  </si>
  <si>
    <t>Lucha greco romana</t>
  </si>
  <si>
    <t>NATACIÓNLarga distancia</t>
  </si>
  <si>
    <t>Lucha libre</t>
  </si>
  <si>
    <t>Netball</t>
  </si>
  <si>
    <t>Ninguno</t>
  </si>
  <si>
    <t>PIRAGÜISMO</t>
  </si>
  <si>
    <t>Softbol</t>
  </si>
  <si>
    <t>NATACIÓN larga distancia</t>
  </si>
  <si>
    <t>Squash</t>
  </si>
  <si>
    <t>NATACIÓN Libre 1500 m</t>
  </si>
  <si>
    <t>TIRO OLÍMPICO</t>
  </si>
  <si>
    <t>NATACIÓN Libre 200+400 m</t>
  </si>
  <si>
    <t>TRIATLÓN</t>
  </si>
  <si>
    <t>NATACIÓN Libre 50+100 m</t>
  </si>
  <si>
    <t>Voleibol</t>
  </si>
  <si>
    <t>NATACIÓNPecho 50+100 m</t>
  </si>
  <si>
    <t>REMO</t>
  </si>
  <si>
    <t>Remo categoría abierto</t>
  </si>
  <si>
    <t>Rugby Super 12 backs</t>
  </si>
  <si>
    <t>Rugby Super 12 front forwards</t>
  </si>
  <si>
    <t>Rugby Super 12 remaining forwards</t>
  </si>
  <si>
    <t>VOLEIBOL</t>
  </si>
  <si>
    <t>Posición</t>
  </si>
  <si>
    <t>Deporte/Actividad</t>
  </si>
  <si>
    <t>Fecha:</t>
  </si>
  <si>
    <t>Perfil</t>
  </si>
  <si>
    <t>Horas de sueño nocturnas</t>
  </si>
  <si>
    <t xml:space="preserve">PESO (kg) </t>
  </si>
  <si>
    <t>PUNTUACIÓN Z PHANTOM ADIPOSA</t>
  </si>
  <si>
    <t>n</t>
  </si>
  <si>
    <t>Media</t>
  </si>
  <si>
    <t>Mediana</t>
  </si>
  <si>
    <t>Desv. Est.</t>
  </si>
  <si>
    <t>Máximo</t>
  </si>
  <si>
    <t>Mínimo</t>
  </si>
  <si>
    <t>IC95%sup</t>
  </si>
  <si>
    <t>IC95%inf</t>
  </si>
  <si>
    <t>TALLA (cm)</t>
  </si>
  <si>
    <t>PUNTUACIÓN Z PHANTOM MUSCULAR</t>
  </si>
  <si>
    <t>TALLA SENTADO (cm)</t>
  </si>
  <si>
    <t>PUNTUACIÓN Z PHANTOM RESIDUAL</t>
  </si>
  <si>
    <t>ENVERGADURA (cm)</t>
  </si>
  <si>
    <t>PUNTUACIÓN Z PHANTOM ÓSEA</t>
  </si>
  <si>
    <t>LONGITUD ACROMIAL-RADIAL (cm)</t>
  </si>
  <si>
    <t>DIFERENCIA ENTRE PESO BALANZA Y PESO ESTRUCTURADO (kg)</t>
  </si>
  <si>
    <t>LONGITUD RADIAL-ESTILOIDEA (cm)</t>
  </si>
  <si>
    <t>ERROR DE PESO ESTRUCTURADO (%)</t>
  </si>
  <si>
    <t>LONGITUD ESTILOIDEA-DACTILAR (cm)</t>
  </si>
  <si>
    <t>MASA ADIPOSA (%)</t>
  </si>
  <si>
    <t>ALTURA ILEOESPINAL (cm)</t>
  </si>
  <si>
    <t>MASA MUSCULAR (%)</t>
  </si>
  <si>
    <t>ALTURA TROCANTEREA (cm)</t>
  </si>
  <si>
    <t>MASA RESIDUAL (%)</t>
  </si>
  <si>
    <t>LONGITUD TROCANTER-TIBIAL LATERAL (cm)</t>
  </si>
  <si>
    <t>MASA ÓSEA (kg)</t>
  </si>
  <si>
    <t>ALTURA TIBIAL LATERAL (cm)</t>
  </si>
  <si>
    <t>MASA DE LA PIEL (%)</t>
  </si>
  <si>
    <t>LONGITUD TIBIAL MEDIAL-MALEOLAR MEDIAL (cm)</t>
  </si>
  <si>
    <t>ÍNDICE MÚSCULO-ÓSEO</t>
  </si>
  <si>
    <t>LONGITUD DEL PIE (cm)</t>
  </si>
  <si>
    <t>MASA ADIPOSA (kg)</t>
  </si>
  <si>
    <t>DIÁMETRO BIACROMIAL (cm)</t>
  </si>
  <si>
    <t>MASA MUSCULAR (kg)</t>
  </si>
  <si>
    <t>DIÁMETRO TÓRAX TRANSVERSO (cm)</t>
  </si>
  <si>
    <t>MASA RESIDUAL (kg)</t>
  </si>
  <si>
    <t>DIÁMETRO TÓRAX ANTERO-POSTERIOR (cm)</t>
  </si>
  <si>
    <t>MASA DE LA PIEL (kg)</t>
  </si>
  <si>
    <t>DIÁMETRO HUMERAL (cm)</t>
  </si>
  <si>
    <r>
      <t>ÍNDICE DE MASA CORPORAL (kg*m</t>
    </r>
    <r>
      <rPr>
        <vertAlign val="superscript"/>
        <sz val="9"/>
        <rFont val="Arial"/>
        <family val="2"/>
      </rPr>
      <t>-2</t>
    </r>
    <r>
      <rPr>
        <sz val="9"/>
        <rFont val="Arial"/>
        <family val="2"/>
      </rPr>
      <t>)</t>
    </r>
  </si>
  <si>
    <t>DIÁMETRO FEMORAL (cm)</t>
  </si>
  <si>
    <t>ÍNDICE CÓRMICO (%)</t>
  </si>
  <si>
    <t>DIÁMETRO BI-ESTILOIDEO DE MUÑECA (cm)</t>
  </si>
  <si>
    <t>LONGITUD DE PIERNAS (cm)</t>
  </si>
  <si>
    <t>ÍNDICE DE MADURACIÓN (años distancia de velocidad pico de crecimiento)</t>
  </si>
  <si>
    <t>PERIMETRO DE CABEZA (cm)</t>
  </si>
  <si>
    <t>PERIMETRO DE BRAZO RELAJADO (cm)</t>
  </si>
  <si>
    <t>PERIMETRO DE BRAZO FLEXIONADO Y TENSO (cm)</t>
  </si>
  <si>
    <t>PERIMETRO DE ANTEBRAZO (cm)</t>
  </si>
  <si>
    <t>PERIMETRO DE MUÑECA (cm)</t>
  </si>
  <si>
    <t>PERIMETRO DE TÓRAX MESO-ESTERNAL (cm)</t>
  </si>
  <si>
    <t>PERIMETRO DE CINTURA MÍNIMA (cm)</t>
  </si>
  <si>
    <t>PERIMETRO DE CADERAS (cm)</t>
  </si>
  <si>
    <t>PERIMETRO DE MUSLO SUPERIOR (cm)</t>
  </si>
  <si>
    <t>PERIMETRO DE MUSLO MEDIO (cm)</t>
  </si>
  <si>
    <t>PERIMETRO DE PANTORRILLA (cm)</t>
  </si>
  <si>
    <t>PERIMETRO DE TOBILLO (cm)</t>
  </si>
  <si>
    <t>PLIEGUE TRÍCEPS (mm)</t>
  </si>
  <si>
    <t>PLIEGUE SUBESCAPULAR (cm)</t>
  </si>
  <si>
    <t>PLIEGUE SUPRAESPINAL (mm)</t>
  </si>
  <si>
    <t>PLIEGUE ABDOMINAL (mm)</t>
  </si>
  <si>
    <t>PLIEGUE MUSLO ANTERIOR (mm)</t>
  </si>
  <si>
    <t>PLIEGUE PANTORRILLA MEDIAL (mm)</t>
  </si>
  <si>
    <t>SUMATORIA DE 6 PLIEGUES (mm)</t>
  </si>
  <si>
    <t>MACROS</t>
  </si>
  <si>
    <t xml:space="preserve"> </t>
  </si>
  <si>
    <t>% Grasa (Carter 1986)</t>
  </si>
  <si>
    <t>Sumatoria de 6 pliegues</t>
  </si>
  <si>
    <t>Somatotipo</t>
  </si>
  <si>
    <t>Peso (Kg)</t>
  </si>
  <si>
    <t>Talla parada (cm)</t>
  </si>
  <si>
    <t>Azúcar o similar</t>
  </si>
  <si>
    <t>Calorías</t>
  </si>
  <si>
    <t xml:space="preserve">DATOS DEL INFORME </t>
  </si>
  <si>
    <t>DIÁMETRO BI-MALEOLAR DE TOBILLO (cm)</t>
  </si>
  <si>
    <t>DIÁMETRO BI-ILIOCRESTÍDEO (cm)</t>
  </si>
  <si>
    <t>Brazo Flexionado en Tensión (cm)</t>
  </si>
  <si>
    <t>Componentes</t>
  </si>
  <si>
    <t>– Bajos: 2 - 2 ½</t>
  </si>
  <si>
    <t>– Moderados: 2 ½ - 5</t>
  </si>
  <si>
    <t>– Alto: 5 – 7</t>
  </si>
  <si>
    <t>– Muy Alto: 7 o mas</t>
  </si>
  <si>
    <r>
      <t>Área Magra del Muslo (cm</t>
    </r>
    <r>
      <rPr>
        <b/>
        <vertAlign val="superscript"/>
        <sz val="10"/>
        <rFont val="Gill Sans MT"/>
        <family val="2"/>
      </rPr>
      <t>2)</t>
    </r>
  </si>
  <si>
    <r>
      <t>Área Grasa del Muslo (cm</t>
    </r>
    <r>
      <rPr>
        <b/>
        <vertAlign val="superscript"/>
        <sz val="10"/>
        <rFont val="Gill Sans MT"/>
        <family val="2"/>
      </rPr>
      <t>2)</t>
    </r>
  </si>
  <si>
    <r>
      <t>Área Grasa de la Pantorrilla (cm</t>
    </r>
    <r>
      <rPr>
        <b/>
        <vertAlign val="superscript"/>
        <sz val="10"/>
        <rFont val="Gill Sans MT"/>
        <family val="2"/>
      </rPr>
      <t>2)</t>
    </r>
  </si>
  <si>
    <r>
      <t>Área Magra de la Pantorrilla (cm</t>
    </r>
    <r>
      <rPr>
        <b/>
        <vertAlign val="superscript"/>
        <sz val="10"/>
        <rFont val="Gill Sans MT"/>
        <family val="2"/>
      </rPr>
      <t>2)</t>
    </r>
  </si>
  <si>
    <t>Predicción de la Talla Adulta utilizando la Madurez a través de las Curvas de Velocidad de Talla Acumulativas</t>
  </si>
  <si>
    <t>Autores: Lauren B. Sherar, Robert L. Mirwald, Adam D. G. Baxter-Jones y Martine Thoms</t>
  </si>
  <si>
    <t>Pasos a seguir para realizar el cálculo de la Predicción de la Talla Adulta:</t>
  </si>
  <si>
    <t>1) Se deben tener los siguientes datos del niño o adolescente a evaluar:</t>
  </si>
  <si>
    <t>Ejemplo:</t>
  </si>
  <si>
    <t>Edad Decimal</t>
  </si>
  <si>
    <t>Talla Actual (Cm)</t>
  </si>
  <si>
    <t>Peso Actual (Kg)</t>
  </si>
  <si>
    <t>Longitud de la Pierna</t>
  </si>
  <si>
    <t xml:space="preserve">Recuerdes restarle a la talla sentado el tamaño del Vanco si usaron uno. </t>
  </si>
  <si>
    <t>Talla Sentada</t>
  </si>
  <si>
    <t>Interacción entre la Longitud de la Pierna y la Talla Sentada (Multiplicación de ambos valores)</t>
  </si>
  <si>
    <t>Interacción entre la Edad y la Longitud de la Pierna (Multiplicación de ambos valores)</t>
  </si>
  <si>
    <t>Interacción entre la Edad y la Talla Sentada (Multiplicación de ambos valores)</t>
  </si>
  <si>
    <t>Proporción entre la Talla y el Peso</t>
  </si>
  <si>
    <t>2) Se debe calcular la Compensación de la Madurez (Maturity Offset) a través de la siguiente fórmula:</t>
  </si>
  <si>
    <t>Compensación de la Madurez: (Años para alcanzar el Pico de Velocidad de Crecimiento (PHV))</t>
  </si>
  <si>
    <t xml:space="preserve">Este numero ubicalo en la Tabla 2 según el estado de maduracion del chico </t>
  </si>
  <si>
    <t xml:space="preserve">3) Seguidamente, se calcula la edad que el niño o adolescente tendrá cuando llegue al Pico de velocidad de Crecimiento. </t>
  </si>
  <si>
    <t>Edad en el PHV:</t>
  </si>
  <si>
    <t xml:space="preserve">Esto indica la edad a la que se dara ( o dío) el mayor crecimiento </t>
  </si>
  <si>
    <t>Importante:</t>
  </si>
  <si>
    <t>Madurador Promedio</t>
  </si>
  <si>
    <t>13 a 15</t>
  </si>
  <si>
    <t>11 a 13</t>
  </si>
  <si>
    <t>Madurador Temprano</t>
  </si>
  <si>
    <t>&lt;13</t>
  </si>
  <si>
    <t>&lt;11</t>
  </si>
  <si>
    <t>Madurador Tardío</t>
  </si>
  <si>
    <t>&gt;15</t>
  </si>
  <si>
    <t>&gt;13</t>
  </si>
  <si>
    <t>4) Finalmente, se obtiene la Talla Adulta Prevista. (Ver Tabla 1)</t>
  </si>
  <si>
    <t>Predicción de la Talla Adulta:</t>
  </si>
  <si>
    <t>Aquí colocas el valor que te da la tabla 2 al hacer el paso 2</t>
  </si>
  <si>
    <t xml:space="preserve">ESTA ES LA PROYECCION DE TALLA . TOMA EN CUENTA EL LIMITE INFERIOR Y SUPERIOR. </t>
  </si>
  <si>
    <t>This method can predict adult height within ±5.35 cm 95% of the time in boys and ±6.81 cm 95% of the time in girls.</t>
  </si>
  <si>
    <t>Tabla 1: Distancia (cm) restante para el crecimiento en maduradores tempranos, promedio y tardíos en hombres y mujeres en diferentes edades biológicas (años para alcanzar el Pico de Velocidad de Crecimiento (PHV)).</t>
  </si>
  <si>
    <t>Crecimiento en Cm que Faltaría Antes de que la Estatura Adulta sea Alcanzada</t>
  </si>
  <si>
    <t>Años para alcanzar el PHV</t>
  </si>
  <si>
    <t>Temprano</t>
  </si>
  <si>
    <t>Promedio</t>
  </si>
  <si>
    <t>Tardío</t>
  </si>
  <si>
    <t>Azúcar</t>
  </si>
  <si>
    <t>HISTORIA CLÍNICO-NUTRICIONAL</t>
  </si>
  <si>
    <t>Pérdida o ganancia de peso Requerida</t>
  </si>
  <si>
    <t>LBM</t>
  </si>
  <si>
    <t>CUNNINGHAM (1980)</t>
  </si>
  <si>
    <t>CHO complejos</t>
  </si>
  <si>
    <t>Organización Mundial de la Salud (OMS) 2004</t>
  </si>
  <si>
    <t>CLASIFICACIÓN</t>
  </si>
  <si>
    <r>
      <t>IMC (kg/m</t>
    </r>
    <r>
      <rPr>
        <b/>
        <vertAlign val="superscript"/>
        <sz val="13"/>
        <color theme="1"/>
        <rFont val="Arial"/>
        <family val="2"/>
      </rPr>
      <t>2</t>
    </r>
    <r>
      <rPr>
        <b/>
        <sz val="13"/>
        <color theme="1"/>
        <rFont val="Arial"/>
        <family val="2"/>
      </rPr>
      <t>)</t>
    </r>
  </si>
  <si>
    <t xml:space="preserve">Delgadez severa </t>
  </si>
  <si>
    <t>&lt;16.00</t>
  </si>
  <si>
    <t>Bajo Peso</t>
  </si>
  <si>
    <t>Menos de 18.5</t>
  </si>
  <si>
    <t>Delgadez moderada</t>
  </si>
  <si>
    <t>16.00 – 16.99</t>
  </si>
  <si>
    <t>Delgadez leve</t>
  </si>
  <si>
    <t>17.00 – 18.49</t>
  </si>
  <si>
    <t>Normal</t>
  </si>
  <si>
    <t>18.5 – 24.9</t>
  </si>
  <si>
    <t>NORMOPESO</t>
  </si>
  <si>
    <t>Pre-obesidad</t>
  </si>
  <si>
    <t>25.0 – 27.49</t>
  </si>
  <si>
    <t>27.50 -29.99</t>
  </si>
  <si>
    <r>
      <t>Sobrepeso</t>
    </r>
    <r>
      <rPr>
        <sz val="13"/>
        <color theme="1"/>
        <rFont val="Arial"/>
        <family val="2"/>
      </rPr>
      <t xml:space="preserve"> ≥ 25.00</t>
    </r>
  </si>
  <si>
    <t>Obesidad clase I</t>
  </si>
  <si>
    <t>30.0 – 34.9</t>
  </si>
  <si>
    <t>Obesidad</t>
  </si>
  <si>
    <t>≥ 30.00</t>
  </si>
  <si>
    <t>Obesidad clase II</t>
  </si>
  <si>
    <t>35.0 – 39.9</t>
  </si>
  <si>
    <t>Obesidad clase III</t>
  </si>
  <si>
    <t>≥ 40.0</t>
  </si>
  <si>
    <r>
      <t>*</t>
    </r>
    <r>
      <rPr>
        <i/>
        <sz val="10"/>
        <color theme="1"/>
        <rFont val="Arial"/>
        <family val="2"/>
      </rPr>
      <t xml:space="preserve">Adapted from WHO, 1995, WHO, </t>
    </r>
    <r>
      <rPr>
        <sz val="10"/>
        <color theme="1"/>
        <rFont val="Arial"/>
        <family val="2"/>
      </rPr>
      <t>2000</t>
    </r>
    <r>
      <rPr>
        <i/>
        <sz val="10"/>
        <color theme="1"/>
        <rFont val="Arial"/>
        <family val="2"/>
      </rPr>
      <t xml:space="preserve"> and WHO 2004.</t>
    </r>
  </si>
  <si>
    <t>Fórmula de Frame Index 2</t>
  </si>
  <si>
    <r>
      <t xml:space="preserve">Contextura =  diámetro del codo en mm </t>
    </r>
    <r>
      <rPr>
        <i/>
        <sz val="11"/>
        <color theme="1"/>
        <rFont val="Arial"/>
        <family val="2"/>
      </rPr>
      <t xml:space="preserve">(medido con vernier) / </t>
    </r>
    <r>
      <rPr>
        <sz val="11"/>
        <color theme="1"/>
        <rFont val="Arial"/>
        <family val="2"/>
      </rPr>
      <t xml:space="preserve"> estatura en cm</t>
    </r>
  </si>
  <si>
    <t>EDAD (años)</t>
  </si>
  <si>
    <t>Pequeña</t>
  </si>
  <si>
    <t>18-24.9</t>
  </si>
  <si>
    <t>&lt; 38.4</t>
  </si>
  <si>
    <t>38.4-41.6</t>
  </si>
  <si>
    <t>25-29.9</t>
  </si>
  <si>
    <t>&lt; 38.6</t>
  </si>
  <si>
    <t>38.6-41.8</t>
  </si>
  <si>
    <t>30-34.9</t>
  </si>
  <si>
    <t>38.6-42.1</t>
  </si>
  <si>
    <t>35-39.9</t>
  </si>
  <si>
    <t>&lt; 39.1</t>
  </si>
  <si>
    <t>39.1-42.4</t>
  </si>
  <si>
    <t>40-44.9</t>
  </si>
  <si>
    <t>&lt; 39.3</t>
  </si>
  <si>
    <t>39.3-42.5</t>
  </si>
  <si>
    <t>45-49.9</t>
  </si>
  <si>
    <t>&lt; 39.6</t>
  </si>
  <si>
    <t>39.6-43.0</t>
  </si>
  <si>
    <t>Grande</t>
  </si>
  <si>
    <t>&gt; 41.6</t>
  </si>
  <si>
    <t>&lt; 35.2</t>
  </si>
  <si>
    <t>35.2-38.6</t>
  </si>
  <si>
    <t>&gt; 38.6</t>
  </si>
  <si>
    <t>&gt; 41.8</t>
  </si>
  <si>
    <t>&lt; 35.7</t>
  </si>
  <si>
    <t>35.7-38.7</t>
  </si>
  <si>
    <t>&gt; 38.7</t>
  </si>
  <si>
    <t>&gt; 42.1</t>
  </si>
  <si>
    <t>35.7-39.0</t>
  </si>
  <si>
    <t>&gt; 39.0</t>
  </si>
  <si>
    <t>&gt; 42.4</t>
  </si>
  <si>
    <t>&lt; 36.2</t>
  </si>
  <si>
    <t>36.2-39.8</t>
  </si>
  <si>
    <t>&gt; 39.8</t>
  </si>
  <si>
    <t>&gt; 42.5</t>
  </si>
  <si>
    <t>&lt; 36.7</t>
  </si>
  <si>
    <t>36.7-40.2</t>
  </si>
  <si>
    <t>&gt; 40.2</t>
  </si>
  <si>
    <t>&gt; 43.0</t>
  </si>
  <si>
    <t>36.7-40.7</t>
  </si>
  <si>
    <t>&gt; 40.7</t>
  </si>
  <si>
    <t>50-54.9</t>
  </si>
  <si>
    <t>&lt; 39.9</t>
  </si>
  <si>
    <t>39.9-43.3</t>
  </si>
  <si>
    <t>&gt; 43.3</t>
  </si>
  <si>
    <t>&lt; 37.2</t>
  </si>
  <si>
    <t>37.2-41.6</t>
  </si>
  <si>
    <t>Sobrepeso grado I</t>
  </si>
  <si>
    <t>25.0 – 26.9</t>
  </si>
  <si>
    <r>
      <t xml:space="preserve">Sobrepeso grado II </t>
    </r>
    <r>
      <rPr>
        <b/>
        <sz val="13"/>
        <color rgb="FFFF0000"/>
        <rFont val="Arial"/>
        <family val="2"/>
      </rPr>
      <t>(Preobesidad)</t>
    </r>
  </si>
  <si>
    <t>27.0 – 29.9</t>
  </si>
  <si>
    <t>Obesidad tipo I</t>
  </si>
  <si>
    <t>Obesidad tipo II</t>
  </si>
  <si>
    <r>
      <t xml:space="preserve">Obesidad tipo III </t>
    </r>
    <r>
      <rPr>
        <sz val="13"/>
        <color rgb="FFFF0000"/>
        <rFont val="Arial"/>
        <family val="2"/>
      </rPr>
      <t>Mórbida</t>
    </r>
  </si>
  <si>
    <t>40.0 – 49.9</t>
  </si>
  <si>
    <r>
      <t xml:space="preserve">Obesidad tipo IV </t>
    </r>
    <r>
      <rPr>
        <sz val="13"/>
        <color rgb="FFFF0000"/>
        <rFont val="Arial"/>
        <family val="2"/>
      </rPr>
      <t>Extrema</t>
    </r>
  </si>
  <si>
    <t>Mayor o igual a 50.0</t>
  </si>
  <si>
    <t>Pre- DESAYUNO</t>
  </si>
  <si>
    <t>MERIENDA MATUTINA 1</t>
  </si>
  <si>
    <t>CHO:</t>
  </si>
  <si>
    <t>HORA:  5:30 am</t>
  </si>
  <si>
    <t xml:space="preserve">Alguna otra información relevante: </t>
  </si>
  <si>
    <t xml:space="preserve">Frecuencia </t>
  </si>
  <si>
    <t>Horario de entrenamiento</t>
  </si>
  <si>
    <t>I. MG</t>
  </si>
  <si>
    <t>I. MLG</t>
  </si>
  <si>
    <t>RECORDATORIO DE INGESTA</t>
  </si>
  <si>
    <t>HORA: 6:00 pm</t>
  </si>
  <si>
    <t>HORA: 1:00 pm</t>
  </si>
  <si>
    <t>Rechazos alimentarios</t>
  </si>
  <si>
    <t>HORA: 9:00-10 pm</t>
  </si>
  <si>
    <t>Nombre y apellido</t>
  </si>
  <si>
    <t>Edad (años)</t>
  </si>
  <si>
    <t>Mediciones básicas</t>
  </si>
  <si>
    <t>Talla parado (cm)</t>
  </si>
  <si>
    <t>Talla sentado (cm)</t>
  </si>
  <si>
    <t>Pliegues cutáneos (mm)</t>
  </si>
  <si>
    <t>Tríceps</t>
  </si>
  <si>
    <t>Muslo frontal</t>
  </si>
  <si>
    <t>Circunferencias (cm)</t>
  </si>
  <si>
    <t>Cabeza</t>
  </si>
  <si>
    <t>Cuello</t>
  </si>
  <si>
    <t>Antebrazo máximo</t>
  </si>
  <si>
    <t>Muñeca</t>
  </si>
  <si>
    <t>Tórax (Mesoesternal)</t>
  </si>
  <si>
    <t>Tobillo</t>
  </si>
  <si>
    <t>Diámetros óseos (mm)</t>
  </si>
  <si>
    <t>Biacromial</t>
  </si>
  <si>
    <t>Tórax transverso</t>
  </si>
  <si>
    <t>Tórax anteroposterior</t>
  </si>
  <si>
    <t>Biiliocrestídeo</t>
  </si>
  <si>
    <t>Muñeca (Biestiloidea)</t>
  </si>
  <si>
    <t>Circunferencias corregidas (mm)</t>
  </si>
  <si>
    <t>Brazo relajado corregido</t>
  </si>
  <si>
    <t>Caja torácica corregida</t>
  </si>
  <si>
    <t>Muslo máximo corregido</t>
  </si>
  <si>
    <t>Pantorrilla corregida</t>
  </si>
  <si>
    <t>Cintura corregida</t>
  </si>
  <si>
    <t>Composición corporal absoluta (5 componentes)</t>
  </si>
  <si>
    <t>Masa de la piel (Kg)</t>
  </si>
  <si>
    <t>Masa ósea total (Kg)</t>
  </si>
  <si>
    <t>Masa adiposa (Kg)</t>
  </si>
  <si>
    <t>Masa muscular (Kg)</t>
  </si>
  <si>
    <t>Masa residual (Kg)</t>
  </si>
  <si>
    <t>Peso estructurado (Kg)</t>
  </si>
  <si>
    <t>Diferencia con peso bruto (Kg)</t>
  </si>
  <si>
    <t>Diferencia con peso bruto (%)</t>
  </si>
  <si>
    <t>Composición corporal porcentual (5 componentes)</t>
  </si>
  <si>
    <t>Masa de la piel (%)</t>
  </si>
  <si>
    <t>Masa ósea total (%)</t>
  </si>
  <si>
    <t>Masa adiposa (%)</t>
  </si>
  <si>
    <t>Masa muscular (%)</t>
  </si>
  <si>
    <t>Masa residual (%)</t>
  </si>
  <si>
    <t>Masa total (%)</t>
  </si>
  <si>
    <t>Composición corporal absoluta corregida (5 componentes)</t>
  </si>
  <si>
    <t>Masa total (Kg)</t>
  </si>
  <si>
    <t>Sumatoria de 6 pliegues (mm)</t>
  </si>
  <si>
    <t>Cociente muscular/óseo</t>
  </si>
  <si>
    <t>Composición corporal (2 componentes)</t>
  </si>
  <si>
    <r>
      <t>IMC (Kg/m</t>
    </r>
    <r>
      <rPr>
        <b/>
        <vertAlign val="super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)</t>
    </r>
  </si>
  <si>
    <t>índice Cintura/Cadera</t>
  </si>
  <si>
    <r>
      <t>Área grasa del brazo (cm</t>
    </r>
    <r>
      <rPr>
        <b/>
        <vertAlign val="super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)</t>
    </r>
  </si>
  <si>
    <r>
      <t>Área magra del brazo (cm</t>
    </r>
    <r>
      <rPr>
        <b/>
        <vertAlign val="super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)</t>
    </r>
  </si>
  <si>
    <t>Sumatoria de 4 pliegues (mm)</t>
  </si>
  <si>
    <t>Sumatoria de 8 pliegues (mm)</t>
  </si>
  <si>
    <t>% Grasa (Durnin y W., 1974)</t>
  </si>
  <si>
    <t>% Grasa (Carter, 1986) Hombres</t>
  </si>
  <si>
    <t>Porcentaje a utilizar</t>
  </si>
  <si>
    <t>Masa magra (Kg)</t>
  </si>
  <si>
    <t>Masa grasa (Kg)</t>
  </si>
  <si>
    <t>% Grasa objetivo mínimo</t>
  </si>
  <si>
    <t>% Grasa objetivo máximo</t>
  </si>
  <si>
    <t>Peso objetivo mínimo (Kg)</t>
  </si>
  <si>
    <t>Peso objetivo máximo (Kg)</t>
  </si>
  <si>
    <t>Pérdida de grasa objetivo (Kg)</t>
  </si>
  <si>
    <t>Índice de sustancia activa (AKS)</t>
  </si>
  <si>
    <t>DATOS BÁSICOS</t>
  </si>
  <si>
    <t>Estatura (cm)</t>
  </si>
  <si>
    <t>Altura/peso^1/3:</t>
  </si>
  <si>
    <t>PLIEGUES (mm)</t>
  </si>
  <si>
    <t>Pantorrilla media</t>
  </si>
  <si>
    <t>Bíceps flexionado</t>
  </si>
  <si>
    <t>Pantorrilla máxima</t>
  </si>
  <si>
    <t>DIÁMETROS (mm)</t>
  </si>
  <si>
    <t>HUMERO-biepicondylar</t>
  </si>
  <si>
    <t>FEMUR-biepicondylar</t>
  </si>
  <si>
    <t>SUMATORIAS</t>
  </si>
  <si>
    <t>Sum 3 skinfolds</t>
  </si>
  <si>
    <t>Sum 3 (ht-corrected)</t>
  </si>
  <si>
    <t>Sum 3 squared</t>
  </si>
  <si>
    <t>Sum 3 cubed</t>
  </si>
  <si>
    <t>OTROS</t>
  </si>
  <si>
    <t>Corrected Biceps G</t>
  </si>
  <si>
    <t>Corrected Calf G</t>
  </si>
  <si>
    <t>VALORACIÓN DEL SOMATOTIPO (decimal)</t>
  </si>
  <si>
    <t>ENDOMORFIA</t>
  </si>
  <si>
    <t>MESOMORFIA</t>
  </si>
  <si>
    <t>ECTOMORFIA</t>
  </si>
  <si>
    <t>Mesomorfo</t>
  </si>
  <si>
    <t>IF HWR&lt;40.75&amp;&gt;38.25, then Ectomorphy = 0.463*HWR-17.63</t>
  </si>
  <si>
    <t>If HWR=&lt;38.25, then Ectomorphy = 0.1(or recorded as 1/2)</t>
  </si>
  <si>
    <t>X,Y coordinates:</t>
  </si>
  <si>
    <t>X-coordinate:</t>
  </si>
  <si>
    <t>Y-coordinate:</t>
  </si>
  <si>
    <t>Talla sentado corregida (cm)</t>
  </si>
  <si>
    <t>Masa muscular total (Kg)</t>
  </si>
  <si>
    <t>Edad Mínima</t>
  </si>
  <si>
    <t>Constante c</t>
  </si>
  <si>
    <t>Constante m</t>
  </si>
  <si>
    <t>Interpretación</t>
  </si>
  <si>
    <t>Nivel de actividad en el trabajo</t>
  </si>
  <si>
    <t>Talla sentada (cm)</t>
  </si>
  <si>
    <t>Javier Ignacio Alvarez Izaguirre</t>
  </si>
  <si>
    <t>La Alameda</t>
  </si>
  <si>
    <t>Desarrollo de sotfware</t>
  </si>
  <si>
    <t>Muy activo</t>
  </si>
  <si>
    <t>Niega</t>
  </si>
  <si>
    <t>Rinoplastia</t>
  </si>
  <si>
    <t xml:space="preserve">Abuela materna DM, HTA. </t>
  </si>
  <si>
    <t>Ashwagandha a veces, Magnesio, Melatonina cuando le cuesta dormir. 3 meses de creatina, para un mes y proteina en polvo.</t>
  </si>
  <si>
    <t>Afirma relación rara con la comida. Perder grasa como objetivo visual</t>
  </si>
  <si>
    <t>3 tazas sin azúcar</t>
  </si>
  <si>
    <t>NIega</t>
  </si>
  <si>
    <t>Reparador. A veces intermitente</t>
  </si>
  <si>
    <t>Regular</t>
  </si>
  <si>
    <t>4 litros aprox diarios</t>
  </si>
  <si>
    <t>Noche</t>
  </si>
  <si>
    <t>1 vez a la semana</t>
  </si>
  <si>
    <t>Queso de cabra y mostaza</t>
  </si>
  <si>
    <t>Sala de musculación</t>
  </si>
  <si>
    <t>6:00 de la pm</t>
  </si>
  <si>
    <t>Cero cardio y pocos abs</t>
  </si>
  <si>
    <t>HORA: 9:00 am</t>
  </si>
  <si>
    <t xml:space="preserve">150 g de avena cruda + agua + 1 cda de miel + 4 huevos + 1 cambur ó </t>
  </si>
  <si>
    <t xml:space="preserve">A vces pica frutos secos ;o 2 cuadritos de chocolate. Pica full lechosa. </t>
  </si>
  <si>
    <t>HORA: 1:00-2:00 pm</t>
  </si>
  <si>
    <t>200-250 g de pollo o carne + 200 g de arroz + a veces incluye plátano 1/3 + vegetales + agua</t>
  </si>
  <si>
    <t>Pre entreno: 1 cambur. A veces (mitad de la semana incluye medio almuerzo)</t>
  </si>
  <si>
    <t xml:space="preserve">4 reb de pan cuadrado+ 4 huevos + 100 g de queso + 2 lonjas de jamon + 1 puño de frutos secos mixtos (merey mayormente). A veces lechosa si le da ansiedad. </t>
  </si>
  <si>
    <t>Pica mucho 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</si>
</sst>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0.0"/>
    <numFmt numFmtId="166" formatCode="_([$€-2]\ * #,##0.00_);_([$€-2]\ * \(#,##0.00\);_([$€-2]\ * &quot;-&quot;??_)"/>
    <numFmt numFmtId="167" formatCode="0.000"/>
    <numFmt numFmtId="168" formatCode="0.0%"/>
  </numFmts>
  <fonts count="8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b/>
      <sz val="22"/>
      <color theme="0"/>
      <name val="Arial Black"/>
      <family val="2"/>
    </font>
    <font>
      <sz val="10"/>
      <name val="Arial"/>
      <family val="2"/>
    </font>
    <font>
      <b/>
      <sz val="10"/>
      <name val="Gill Sans MT"/>
      <family val="2"/>
    </font>
    <font>
      <b/>
      <i/>
      <sz val="10"/>
      <name val="Gill Sans MT"/>
      <family val="2"/>
    </font>
    <font>
      <b/>
      <vertAlign val="superscript"/>
      <sz val="10"/>
      <name val="Gill Sans MT"/>
      <family val="2"/>
    </font>
    <font>
      <sz val="9"/>
      <name val="Gill Sans MT"/>
      <family val="2"/>
    </font>
    <font>
      <b/>
      <sz val="12"/>
      <color theme="1"/>
      <name val="Gill Sans MT"/>
      <family val="2"/>
    </font>
    <font>
      <sz val="11"/>
      <name val="Gill Sans MT"/>
      <family val="2"/>
    </font>
    <font>
      <b/>
      <i/>
      <sz val="11"/>
      <name val="Gill Sans MT"/>
      <family val="2"/>
    </font>
    <font>
      <b/>
      <sz val="11"/>
      <color theme="0"/>
      <name val="Gill Sans MT"/>
      <family val="2"/>
    </font>
    <font>
      <b/>
      <sz val="11"/>
      <color theme="1"/>
      <name val="Gill Sans MT"/>
      <family val="2"/>
    </font>
    <font>
      <sz val="11"/>
      <color theme="1"/>
      <name val="Gill Sans MT"/>
      <family val="2"/>
    </font>
    <font>
      <vertAlign val="superscript"/>
      <sz val="11"/>
      <color theme="1"/>
      <name val="Gill Sans MT"/>
      <family val="2"/>
    </font>
    <font>
      <b/>
      <sz val="11"/>
      <name val="Gill Sans MT"/>
      <family val="2"/>
    </font>
    <font>
      <u/>
      <sz val="11"/>
      <color theme="10"/>
      <name val="Calibri"/>
      <family val="2"/>
      <scheme val="minor"/>
    </font>
    <font>
      <b/>
      <i/>
      <sz val="11"/>
      <color theme="0"/>
      <name val="Gill Sans MT"/>
      <family val="2"/>
    </font>
    <font>
      <sz val="10"/>
      <name val="Gill Sans MT"/>
      <family val="2"/>
    </font>
    <font>
      <b/>
      <sz val="9"/>
      <name val="Gill Sans MT"/>
      <family val="2"/>
    </font>
    <font>
      <b/>
      <sz val="9"/>
      <color theme="0"/>
      <name val="Gill Sans MT"/>
      <family val="2"/>
    </font>
    <font>
      <sz val="9"/>
      <color theme="1"/>
      <name val="Gill Sans MT"/>
      <family val="2"/>
    </font>
    <font>
      <b/>
      <sz val="12"/>
      <name val="Gill Sans MT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b/>
      <sz val="14"/>
      <color theme="1"/>
      <name val="Gill Sans MT"/>
      <family val="2"/>
    </font>
    <font>
      <sz val="24"/>
      <color theme="0"/>
      <name val="Arial Black"/>
      <family val="2"/>
    </font>
    <font>
      <sz val="22"/>
      <color theme="0"/>
      <name val="Arial Black"/>
      <family val="2"/>
    </font>
    <font>
      <b/>
      <sz val="22"/>
      <color theme="0"/>
      <name val="Arial Rounded MT Bold"/>
      <family val="2"/>
    </font>
    <font>
      <b/>
      <sz val="20"/>
      <color theme="0"/>
      <name val="Calibri"/>
      <family val="2"/>
      <scheme val="minor"/>
    </font>
    <font>
      <b/>
      <sz val="10"/>
      <color theme="0"/>
      <name val="Gill Sans MT"/>
      <family val="2"/>
    </font>
    <font>
      <sz val="9"/>
      <color theme="0"/>
      <name val="Gill Sans MT"/>
      <family val="2"/>
    </font>
    <font>
      <sz val="14"/>
      <color theme="0"/>
      <name val="Gill Sans MT"/>
      <family val="2"/>
    </font>
    <font>
      <sz val="10"/>
      <name val="Garamond"/>
      <family val="1"/>
    </font>
    <font>
      <b/>
      <sz val="10"/>
      <name val="Garamond"/>
      <family val="1"/>
    </font>
    <font>
      <sz val="14"/>
      <name val="Gill Sans MT"/>
      <family val="2"/>
    </font>
    <font>
      <b/>
      <sz val="12"/>
      <color theme="0"/>
      <name val="Gill Sans MT"/>
      <family val="2"/>
    </font>
    <font>
      <b/>
      <sz val="9"/>
      <color theme="1"/>
      <name val="Gill Sans MT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vertAlign val="superscript"/>
      <sz val="9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i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sz val="9"/>
      <color rgb="FF333333"/>
      <name val="Arial"/>
      <family val="2"/>
    </font>
    <font>
      <b/>
      <i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vertAlign val="superscript"/>
      <sz val="13"/>
      <color theme="1"/>
      <name val="Arial"/>
      <family val="2"/>
    </font>
    <font>
      <i/>
      <sz val="10"/>
      <color theme="1"/>
      <name val="Arial"/>
      <family val="2"/>
    </font>
    <font>
      <i/>
      <vertAlign val="superscript"/>
      <sz val="10"/>
      <color theme="1"/>
      <name val="Arial"/>
      <family val="2"/>
    </font>
    <font>
      <i/>
      <sz val="11"/>
      <color theme="1"/>
      <name val="Arial"/>
      <family val="2"/>
    </font>
    <font>
      <sz val="12"/>
      <color theme="1"/>
      <name val="Arial"/>
      <family val="2"/>
    </font>
    <font>
      <b/>
      <sz val="13"/>
      <color rgb="FFFF0000"/>
      <name val="Arial"/>
      <family val="2"/>
    </font>
    <font>
      <sz val="13"/>
      <color rgb="FFFF0000"/>
      <name val="Arial"/>
      <family val="2"/>
    </font>
    <font>
      <b/>
      <i/>
      <sz val="9"/>
      <name val="Gill Sans MT"/>
      <family val="2"/>
    </font>
    <font>
      <b/>
      <i/>
      <sz val="9"/>
      <color theme="0"/>
      <name val="Gill Sans MT"/>
      <family val="2"/>
    </font>
    <font>
      <sz val="9"/>
      <color indexed="8"/>
      <name val="Arial"/>
      <family val="2"/>
    </font>
    <font>
      <b/>
      <sz val="11"/>
      <color theme="0" tint="-4.9989318521683403E-2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vertAlign val="superscript"/>
      <sz val="10"/>
      <color theme="1"/>
      <name val="Arial"/>
      <family val="2"/>
    </font>
  </fonts>
  <fills count="6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2D2D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3438D"/>
        <bgColor indexed="64"/>
      </patternFill>
    </fill>
    <fill>
      <patternFill patternType="solid">
        <fgColor theme="7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73D46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D347"/>
        <bgColor indexed="64"/>
      </patternFill>
    </fill>
    <fill>
      <patternFill patternType="solid">
        <fgColor rgb="FF93FF93"/>
        <bgColor indexed="64"/>
      </patternFill>
    </fill>
    <fill>
      <patternFill patternType="solid">
        <fgColor rgb="FF43FF8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8FE2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862B"/>
        <bgColor indexed="64"/>
      </patternFill>
    </fill>
    <fill>
      <patternFill patternType="solid">
        <fgColor rgb="FFFDB3F8"/>
        <bgColor indexed="64"/>
      </patternFill>
    </fill>
    <fill>
      <patternFill patternType="solid">
        <fgColor rgb="FF57D3FF"/>
        <bgColor indexed="64"/>
      </patternFill>
    </fill>
    <fill>
      <patternFill patternType="solid">
        <fgColor rgb="FFD8BEEE"/>
        <bgColor indexed="64"/>
      </patternFill>
    </fill>
    <fill>
      <patternFill patternType="solid">
        <fgColor theme="0" tint="-0.499984740745262"/>
        <bgColor indexed="64"/>
      </patternFill>
    </fill>
  </fills>
  <borders count="1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7" fillId="14" borderId="0" applyNumberFormat="0" applyBorder="0" applyAlignment="0" applyProtection="0"/>
    <xf numFmtId="0" fontId="16" fillId="0" borderId="0"/>
    <xf numFmtId="0" fontId="18" fillId="0" borderId="0">
      <protection locked="0"/>
    </xf>
    <xf numFmtId="0" fontId="31" fillId="0" borderId="0" applyNumberFormat="0" applyFill="0" applyBorder="0" applyAlignment="0" applyProtection="0"/>
    <xf numFmtId="9" fontId="55" fillId="0" borderId="0" applyFont="0" applyFill="0" applyBorder="0" applyAlignment="0" applyProtection="0"/>
    <xf numFmtId="0" fontId="16" fillId="0" borderId="0"/>
    <xf numFmtId="164" fontId="55" fillId="0" borderId="0" applyFont="0" applyFill="0" applyBorder="0" applyAlignment="0" applyProtection="0"/>
  </cellStyleXfs>
  <cellXfs count="1064">
    <xf numFmtId="0" fontId="0" fillId="0" borderId="0" xfId="0"/>
    <xf numFmtId="165" fontId="1" fillId="0" borderId="1" xfId="0" applyNumberFormat="1" applyFont="1" applyBorder="1"/>
    <xf numFmtId="0" fontId="1" fillId="0" borderId="1" xfId="0" applyFont="1" applyBorder="1"/>
    <xf numFmtId="165" fontId="1" fillId="0" borderId="2" xfId="0" applyNumberFormat="1" applyFont="1" applyBorder="1"/>
    <xf numFmtId="14" fontId="1" fillId="0" borderId="2" xfId="0" applyNumberFormat="1" applyFont="1" applyBorder="1"/>
    <xf numFmtId="14" fontId="1" fillId="0" borderId="1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7" fillId="12" borderId="0" xfId="0" applyFont="1" applyFill="1"/>
    <xf numFmtId="0" fontId="0" fillId="12" borderId="0" xfId="0" applyFill="1"/>
    <xf numFmtId="0" fontId="0" fillId="12" borderId="23" xfId="0" applyFill="1" applyBorder="1"/>
    <xf numFmtId="0" fontId="0" fillId="12" borderId="28" xfId="0" applyFill="1" applyBorder="1"/>
    <xf numFmtId="0" fontId="0" fillId="0" borderId="22" xfId="0" applyBorder="1"/>
    <xf numFmtId="0" fontId="0" fillId="0" borderId="13" xfId="0" applyBorder="1"/>
    <xf numFmtId="0" fontId="2" fillId="2" borderId="3" xfId="0" applyFont="1" applyFill="1" applyBorder="1" applyAlignment="1">
      <alignment horizontal="center"/>
    </xf>
    <xf numFmtId="14" fontId="1" fillId="0" borderId="12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9" borderId="13" xfId="0" applyFont="1" applyFill="1" applyBorder="1" applyAlignment="1">
      <alignment horizontal="center" vertical="center" wrapText="1"/>
    </xf>
    <xf numFmtId="165" fontId="1" fillId="0" borderId="16" xfId="0" applyNumberFormat="1" applyFont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165" fontId="1" fillId="0" borderId="30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9" borderId="3" xfId="0" applyFont="1" applyFill="1" applyBorder="1" applyAlignment="1">
      <alignment horizontal="center" wrapText="1"/>
    </xf>
    <xf numFmtId="165" fontId="1" fillId="0" borderId="40" xfId="0" applyNumberFormat="1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30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1" fillId="10" borderId="14" xfId="0" applyFont="1" applyFill="1" applyBorder="1" applyAlignment="1">
      <alignment horizontal="center"/>
    </xf>
    <xf numFmtId="0" fontId="1" fillId="13" borderId="13" xfId="0" applyFont="1" applyFill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1" fontId="1" fillId="0" borderId="38" xfId="0" applyNumberFormat="1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0" fontId="1" fillId="11" borderId="13" xfId="0" applyFont="1" applyFill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6" fillId="12" borderId="0" xfId="0" applyFont="1" applyFill="1"/>
    <xf numFmtId="0" fontId="5" fillId="12" borderId="0" xfId="0" applyFont="1" applyFill="1"/>
    <xf numFmtId="0" fontId="2" fillId="7" borderId="23" xfId="0" applyFont="1" applyFill="1" applyBorder="1"/>
    <xf numFmtId="0" fontId="2" fillId="7" borderId="13" xfId="0" applyFont="1" applyFill="1" applyBorder="1"/>
    <xf numFmtId="0" fontId="2" fillId="7" borderId="20" xfId="0" applyFont="1" applyFill="1" applyBorder="1"/>
    <xf numFmtId="0" fontId="2" fillId="7" borderId="18" xfId="0" applyFont="1" applyFill="1" applyBorder="1"/>
    <xf numFmtId="0" fontId="0" fillId="12" borderId="22" xfId="0" applyFill="1" applyBorder="1"/>
    <xf numFmtId="0" fontId="8" fillId="12" borderId="0" xfId="0" applyFont="1" applyFill="1"/>
    <xf numFmtId="0" fontId="8" fillId="12" borderId="63" xfId="0" applyFont="1" applyFill="1" applyBorder="1"/>
    <xf numFmtId="0" fontId="8" fillId="12" borderId="66" xfId="0" applyFont="1" applyFill="1" applyBorder="1"/>
    <xf numFmtId="0" fontId="0" fillId="12" borderId="65" xfId="0" applyFill="1" applyBorder="1"/>
    <xf numFmtId="0" fontId="0" fillId="12" borderId="63" xfId="0" applyFill="1" applyBorder="1"/>
    <xf numFmtId="0" fontId="0" fillId="12" borderId="64" xfId="0" applyFill="1" applyBorder="1"/>
    <xf numFmtId="0" fontId="9" fillId="12" borderId="0" xfId="0" applyFont="1" applyFill="1"/>
    <xf numFmtId="0" fontId="8" fillId="12" borderId="62" xfId="0" applyFont="1" applyFill="1" applyBorder="1"/>
    <xf numFmtId="0" fontId="8" fillId="12" borderId="0" xfId="0" applyFont="1" applyFill="1" applyAlignment="1">
      <alignment horizontal="center"/>
    </xf>
    <xf numFmtId="0" fontId="8" fillId="12" borderId="58" xfId="0" applyFont="1" applyFill="1" applyBorder="1" applyAlignment="1">
      <alignment horizontal="center"/>
    </xf>
    <xf numFmtId="0" fontId="8" fillId="12" borderId="68" xfId="0" applyFont="1" applyFill="1" applyBorder="1" applyAlignment="1">
      <alignment horizontal="center"/>
    </xf>
    <xf numFmtId="0" fontId="8" fillId="12" borderId="70" xfId="0" applyFont="1" applyFill="1" applyBorder="1" applyAlignment="1">
      <alignment horizontal="center"/>
    </xf>
    <xf numFmtId="0" fontId="8" fillId="12" borderId="60" xfId="0" applyFont="1" applyFill="1" applyBorder="1"/>
    <xf numFmtId="0" fontId="8" fillId="12" borderId="64" xfId="0" applyFont="1" applyFill="1" applyBorder="1"/>
    <xf numFmtId="0" fontId="8" fillId="12" borderId="65" xfId="0" applyFont="1" applyFill="1" applyBorder="1"/>
    <xf numFmtId="0" fontId="8" fillId="12" borderId="67" xfId="0" applyFont="1" applyFill="1" applyBorder="1"/>
    <xf numFmtId="165" fontId="8" fillId="12" borderId="58" xfId="0" applyNumberFormat="1" applyFont="1" applyFill="1" applyBorder="1"/>
    <xf numFmtId="0" fontId="8" fillId="12" borderId="58" xfId="0" applyFont="1" applyFill="1" applyBorder="1"/>
    <xf numFmtId="0" fontId="9" fillId="12" borderId="58" xfId="0" applyFont="1" applyFill="1" applyBorder="1" applyAlignment="1">
      <alignment horizontal="center"/>
    </xf>
    <xf numFmtId="49" fontId="8" fillId="12" borderId="58" xfId="0" applyNumberFormat="1" applyFont="1" applyFill="1" applyBorder="1" applyAlignment="1">
      <alignment horizontal="center"/>
    </xf>
    <xf numFmtId="0" fontId="13" fillId="12" borderId="58" xfId="0" applyFont="1" applyFill="1" applyBorder="1" applyAlignment="1">
      <alignment horizontal="center"/>
    </xf>
    <xf numFmtId="0" fontId="0" fillId="12" borderId="60" xfId="0" applyFill="1" applyBorder="1"/>
    <xf numFmtId="0" fontId="8" fillId="12" borderId="65" xfId="0" applyFont="1" applyFill="1" applyBorder="1" applyAlignment="1">
      <alignment vertical="top" wrapText="1"/>
    </xf>
    <xf numFmtId="0" fontId="0" fillId="12" borderId="61" xfId="0" applyFill="1" applyBorder="1"/>
    <xf numFmtId="0" fontId="0" fillId="12" borderId="62" xfId="0" applyFill="1" applyBorder="1"/>
    <xf numFmtId="0" fontId="9" fillId="12" borderId="59" xfId="0" applyFont="1" applyFill="1" applyBorder="1" applyAlignment="1">
      <alignment horizontal="center"/>
    </xf>
    <xf numFmtId="0" fontId="9" fillId="16" borderId="58" xfId="0" applyFont="1" applyFill="1" applyBorder="1" applyAlignment="1">
      <alignment horizontal="center"/>
    </xf>
    <xf numFmtId="0" fontId="0" fillId="12" borderId="68" xfId="0" applyFill="1" applyBorder="1"/>
    <xf numFmtId="0" fontId="0" fillId="12" borderId="20" xfId="0" applyFill="1" applyBorder="1"/>
    <xf numFmtId="0" fontId="20" fillId="23" borderId="1" xfId="2" applyFont="1" applyFill="1" applyBorder="1" applyAlignment="1">
      <alignment horizontal="center" vertical="center"/>
    </xf>
    <xf numFmtId="0" fontId="19" fillId="24" borderId="1" xfId="2" applyFont="1" applyFill="1" applyBorder="1" applyAlignment="1">
      <alignment horizontal="center" vertical="center"/>
    </xf>
    <xf numFmtId="166" fontId="19" fillId="25" borderId="1" xfId="3" applyNumberFormat="1" applyFont="1" applyFill="1" applyBorder="1" applyAlignment="1" applyProtection="1">
      <alignment horizontal="center" vertical="center"/>
    </xf>
    <xf numFmtId="166" fontId="19" fillId="24" borderId="1" xfId="3" applyNumberFormat="1" applyFont="1" applyFill="1" applyBorder="1" applyAlignment="1" applyProtection="1">
      <alignment horizontal="center" vertical="center"/>
    </xf>
    <xf numFmtId="0" fontId="19" fillId="21" borderId="1" xfId="2" applyFont="1" applyFill="1" applyBorder="1" applyAlignment="1">
      <alignment horizontal="center" vertical="center"/>
    </xf>
    <xf numFmtId="165" fontId="22" fillId="0" borderId="1" xfId="2" applyNumberFormat="1" applyFont="1" applyBorder="1" applyAlignment="1">
      <alignment horizontal="center" vertical="center"/>
    </xf>
    <xf numFmtId="167" fontId="22" fillId="0" borderId="1" xfId="2" applyNumberFormat="1" applyFont="1" applyBorder="1" applyAlignment="1">
      <alignment horizontal="center" vertical="center"/>
    </xf>
    <xf numFmtId="2" fontId="22" fillId="25" borderId="1" xfId="2" applyNumberFormat="1" applyFont="1" applyFill="1" applyBorder="1" applyAlignment="1">
      <alignment horizontal="center" vertical="center"/>
    </xf>
    <xf numFmtId="165" fontId="22" fillId="22" borderId="1" xfId="2" applyNumberFormat="1" applyFont="1" applyFill="1" applyBorder="1" applyAlignment="1">
      <alignment horizontal="center" vertical="center"/>
    </xf>
    <xf numFmtId="2" fontId="22" fillId="22" borderId="1" xfId="2" applyNumberFormat="1" applyFont="1" applyFill="1" applyBorder="1" applyAlignment="1">
      <alignment horizontal="center" vertical="center"/>
    </xf>
    <xf numFmtId="2" fontId="22" fillId="21" borderId="1" xfId="2" applyNumberFormat="1" applyFont="1" applyFill="1" applyBorder="1" applyAlignment="1">
      <alignment horizontal="center" vertical="center"/>
    </xf>
    <xf numFmtId="0" fontId="25" fillId="0" borderId="2" xfId="2" applyFont="1" applyBorder="1" applyAlignment="1">
      <alignment horizontal="center" vertical="center"/>
    </xf>
    <xf numFmtId="0" fontId="28" fillId="12" borderId="0" xfId="0" applyFont="1" applyFill="1"/>
    <xf numFmtId="0" fontId="28" fillId="0" borderId="16" xfId="0" applyFont="1" applyBorder="1" applyAlignment="1">
      <alignment horizontal="center" vertical="center" wrapText="1"/>
    </xf>
    <xf numFmtId="0" fontId="28" fillId="0" borderId="2" xfId="0" applyFont="1" applyBorder="1" applyAlignment="1" applyProtection="1">
      <alignment horizontal="center" vertical="center" wrapText="1"/>
      <protection locked="0"/>
    </xf>
    <xf numFmtId="0" fontId="28" fillId="0" borderId="25" xfId="0" applyFont="1" applyBorder="1"/>
    <xf numFmtId="0" fontId="28" fillId="0" borderId="72" xfId="0" applyFont="1" applyBorder="1" applyAlignment="1">
      <alignment horizontal="left" vertical="center" wrapText="1"/>
    </xf>
    <xf numFmtId="0" fontId="28" fillId="0" borderId="30" xfId="0" applyFont="1" applyBorder="1" applyAlignment="1">
      <alignment horizontal="center" vertical="center" wrapText="1"/>
    </xf>
    <xf numFmtId="0" fontId="28" fillId="0" borderId="1" xfId="0" applyFont="1" applyBorder="1" applyAlignment="1" applyProtection="1">
      <alignment horizontal="center" vertical="center" wrapText="1"/>
      <protection locked="0"/>
    </xf>
    <xf numFmtId="0" fontId="28" fillId="0" borderId="4" xfId="0" applyFont="1" applyBorder="1"/>
    <xf numFmtId="0" fontId="28" fillId="0" borderId="71" xfId="0" applyFont="1" applyBorder="1" applyAlignment="1">
      <alignment horizontal="left" vertical="center" wrapText="1"/>
    </xf>
    <xf numFmtId="0" fontId="28" fillId="0" borderId="71" xfId="0" applyFont="1" applyBorder="1" applyAlignment="1">
      <alignment vertical="center" wrapText="1"/>
    </xf>
    <xf numFmtId="0" fontId="28" fillId="0" borderId="48" xfId="0" applyFont="1" applyBorder="1" applyAlignment="1">
      <alignment horizontal="center" vertical="center" wrapText="1"/>
    </xf>
    <xf numFmtId="0" fontId="28" fillId="0" borderId="47" xfId="0" applyFont="1" applyBorder="1" applyAlignment="1" applyProtection="1">
      <alignment horizontal="center" vertical="center" wrapText="1"/>
      <protection locked="0"/>
    </xf>
    <xf numFmtId="0" fontId="28" fillId="0" borderId="49" xfId="0" applyFont="1" applyBorder="1"/>
    <xf numFmtId="0" fontId="28" fillId="12" borderId="73" xfId="0" applyFont="1" applyFill="1" applyBorder="1"/>
    <xf numFmtId="0" fontId="28" fillId="12" borderId="1" xfId="0" applyFont="1" applyFill="1" applyBorder="1"/>
    <xf numFmtId="0" fontId="28" fillId="12" borderId="74" xfId="0" applyFont="1" applyFill="1" applyBorder="1"/>
    <xf numFmtId="0" fontId="27" fillId="27" borderId="13" xfId="0" applyFont="1" applyFill="1" applyBorder="1" applyAlignment="1">
      <alignment horizontal="left" vertical="center" wrapText="1"/>
    </xf>
    <xf numFmtId="0" fontId="27" fillId="27" borderId="3" xfId="0" applyFont="1" applyFill="1" applyBorder="1" applyAlignment="1">
      <alignment horizontal="left" vertical="center" wrapText="1"/>
    </xf>
    <xf numFmtId="0" fontId="30" fillId="27" borderId="3" xfId="0" applyFont="1" applyFill="1" applyBorder="1" applyAlignment="1">
      <alignment horizontal="left" vertical="center" wrapText="1"/>
    </xf>
    <xf numFmtId="0" fontId="28" fillId="27" borderId="0" xfId="0" applyFont="1" applyFill="1"/>
    <xf numFmtId="0" fontId="27" fillId="27" borderId="27" xfId="0" applyFont="1" applyFill="1" applyBorder="1"/>
    <xf numFmtId="0" fontId="27" fillId="27" borderId="75" xfId="0" applyFont="1" applyFill="1" applyBorder="1"/>
    <xf numFmtId="1" fontId="28" fillId="12" borderId="3" xfId="0" applyNumberFormat="1" applyFont="1" applyFill="1" applyBorder="1" applyAlignment="1">
      <alignment horizontal="center"/>
    </xf>
    <xf numFmtId="1" fontId="28" fillId="12" borderId="7" xfId="0" applyNumberFormat="1" applyFont="1" applyFill="1" applyBorder="1" applyAlignment="1">
      <alignment horizontal="center"/>
    </xf>
    <xf numFmtId="0" fontId="27" fillId="12" borderId="0" xfId="0" applyFont="1" applyFill="1" applyAlignment="1">
      <alignment horizontal="center"/>
    </xf>
    <xf numFmtId="1" fontId="28" fillId="12" borderId="0" xfId="0" applyNumberFormat="1" applyFont="1" applyFill="1" applyAlignment="1">
      <alignment horizontal="center"/>
    </xf>
    <xf numFmtId="0" fontId="27" fillId="12" borderId="0" xfId="0" applyFont="1" applyFill="1" applyAlignment="1">
      <alignment horizontal="center" wrapText="1"/>
    </xf>
    <xf numFmtId="0" fontId="27" fillId="12" borderId="1" xfId="0" applyFont="1" applyFill="1" applyBorder="1" applyAlignment="1">
      <alignment horizontal="center"/>
    </xf>
    <xf numFmtId="0" fontId="27" fillId="12" borderId="2" xfId="0" applyFont="1" applyFill="1" applyBorder="1" applyAlignment="1">
      <alignment horizontal="center"/>
    </xf>
    <xf numFmtId="1" fontId="28" fillId="12" borderId="2" xfId="0" applyNumberFormat="1" applyFont="1" applyFill="1" applyBorder="1" applyAlignment="1">
      <alignment horizontal="center"/>
    </xf>
    <xf numFmtId="1" fontId="28" fillId="12" borderId="1" xfId="0" applyNumberFormat="1" applyFont="1" applyFill="1" applyBorder="1" applyAlignment="1">
      <alignment horizontal="center"/>
    </xf>
    <xf numFmtId="0" fontId="26" fillId="12" borderId="0" xfId="0" applyFont="1" applyFill="1"/>
    <xf numFmtId="0" fontId="28" fillId="12" borderId="3" xfId="0" applyFont="1" applyFill="1" applyBorder="1"/>
    <xf numFmtId="0" fontId="28" fillId="12" borderId="16" xfId="0" applyFont="1" applyFill="1" applyBorder="1" applyAlignment="1">
      <alignment horizontal="center"/>
    </xf>
    <xf numFmtId="0" fontId="28" fillId="12" borderId="2" xfId="0" applyFont="1" applyFill="1" applyBorder="1" applyAlignment="1">
      <alignment horizontal="center"/>
    </xf>
    <xf numFmtId="0" fontId="28" fillId="12" borderId="16" xfId="0" applyFont="1" applyFill="1" applyBorder="1"/>
    <xf numFmtId="0" fontId="28" fillId="12" borderId="30" xfId="0" applyFont="1" applyFill="1" applyBorder="1" applyAlignment="1">
      <alignment horizontal="center"/>
    </xf>
    <xf numFmtId="0" fontId="28" fillId="12" borderId="40" xfId="0" applyFont="1" applyFill="1" applyBorder="1"/>
    <xf numFmtId="0" fontId="28" fillId="12" borderId="30" xfId="0" applyFont="1" applyFill="1" applyBorder="1"/>
    <xf numFmtId="0" fontId="28" fillId="0" borderId="0" xfId="0" applyFont="1"/>
    <xf numFmtId="0" fontId="28" fillId="12" borderId="84" xfId="0" applyFont="1" applyFill="1" applyBorder="1" applyAlignment="1">
      <alignment horizontal="center"/>
    </xf>
    <xf numFmtId="0" fontId="28" fillId="12" borderId="85" xfId="0" applyFont="1" applyFill="1" applyBorder="1" applyAlignment="1">
      <alignment horizontal="center"/>
    </xf>
    <xf numFmtId="0" fontId="28" fillId="12" borderId="40" xfId="0" applyFont="1" applyFill="1" applyBorder="1" applyAlignment="1">
      <alignment horizontal="center"/>
    </xf>
    <xf numFmtId="2" fontId="28" fillId="12" borderId="2" xfId="0" applyNumberFormat="1" applyFont="1" applyFill="1" applyBorder="1" applyAlignment="1">
      <alignment horizontal="center"/>
    </xf>
    <xf numFmtId="1" fontId="28" fillId="12" borderId="16" xfId="0" applyNumberFormat="1" applyFont="1" applyFill="1" applyBorder="1" applyAlignment="1">
      <alignment horizontal="center"/>
    </xf>
    <xf numFmtId="165" fontId="28" fillId="12" borderId="25" xfId="0" applyNumberFormat="1" applyFont="1" applyFill="1" applyBorder="1" applyAlignment="1">
      <alignment horizontal="center"/>
    </xf>
    <xf numFmtId="2" fontId="28" fillId="12" borderId="1" xfId="0" applyNumberFormat="1" applyFont="1" applyFill="1" applyBorder="1" applyAlignment="1">
      <alignment horizontal="center"/>
    </xf>
    <xf numFmtId="165" fontId="28" fillId="12" borderId="1" xfId="0" applyNumberFormat="1" applyFont="1" applyFill="1" applyBorder="1" applyAlignment="1">
      <alignment horizontal="center"/>
    </xf>
    <xf numFmtId="165" fontId="28" fillId="12" borderId="6" xfId="0" applyNumberFormat="1" applyFont="1" applyFill="1" applyBorder="1" applyAlignment="1">
      <alignment horizontal="center"/>
    </xf>
    <xf numFmtId="0" fontId="28" fillId="12" borderId="71" xfId="0" applyFont="1" applyFill="1" applyBorder="1" applyAlignment="1">
      <alignment horizontal="center"/>
    </xf>
    <xf numFmtId="0" fontId="28" fillId="12" borderId="65" xfId="0" applyFont="1" applyFill="1" applyBorder="1" applyAlignment="1">
      <alignment horizontal="center"/>
    </xf>
    <xf numFmtId="0" fontId="28" fillId="12" borderId="82" xfId="0" applyFont="1" applyFill="1" applyBorder="1" applyAlignment="1">
      <alignment horizontal="center"/>
    </xf>
    <xf numFmtId="0" fontId="28" fillId="12" borderId="2" xfId="0" applyFont="1" applyFill="1" applyBorder="1"/>
    <xf numFmtId="0" fontId="28" fillId="12" borderId="25" xfId="0" applyFont="1" applyFill="1" applyBorder="1"/>
    <xf numFmtId="0" fontId="28" fillId="12" borderId="28" xfId="0" applyFont="1" applyFill="1" applyBorder="1"/>
    <xf numFmtId="0" fontId="28" fillId="12" borderId="45" xfId="0" applyFont="1" applyFill="1" applyBorder="1"/>
    <xf numFmtId="0" fontId="28" fillId="12" borderId="14" xfId="0" applyFont="1" applyFill="1" applyBorder="1"/>
    <xf numFmtId="165" fontId="28" fillId="12" borderId="39" xfId="0" applyNumberFormat="1" applyFont="1" applyFill="1" applyBorder="1" applyAlignment="1">
      <alignment horizontal="center"/>
    </xf>
    <xf numFmtId="0" fontId="27" fillId="10" borderId="3" xfId="0" applyFont="1" applyFill="1" applyBorder="1" applyAlignment="1">
      <alignment horizontal="center" wrapText="1"/>
    </xf>
    <xf numFmtId="0" fontId="27" fillId="10" borderId="58" xfId="0" applyFont="1" applyFill="1" applyBorder="1"/>
    <xf numFmtId="0" fontId="27" fillId="2" borderId="3" xfId="0" applyFont="1" applyFill="1" applyBorder="1"/>
    <xf numFmtId="0" fontId="28" fillId="2" borderId="3" xfId="0" applyFont="1" applyFill="1" applyBorder="1"/>
    <xf numFmtId="0" fontId="27" fillId="31" borderId="3" xfId="0" applyFont="1" applyFill="1" applyBorder="1"/>
    <xf numFmtId="165" fontId="28" fillId="31" borderId="38" xfId="0" applyNumberFormat="1" applyFont="1" applyFill="1" applyBorder="1"/>
    <xf numFmtId="0" fontId="28" fillId="31" borderId="1" xfId="0" applyFont="1" applyFill="1" applyBorder="1"/>
    <xf numFmtId="0" fontId="28" fillId="31" borderId="45" xfId="0" applyFont="1" applyFill="1" applyBorder="1"/>
    <xf numFmtId="0" fontId="28" fillId="31" borderId="3" xfId="0" applyFont="1" applyFill="1" applyBorder="1"/>
    <xf numFmtId="165" fontId="27" fillId="31" borderId="3" xfId="0" applyNumberFormat="1" applyFont="1" applyFill="1" applyBorder="1"/>
    <xf numFmtId="0" fontId="27" fillId="5" borderId="3" xfId="0" applyFont="1" applyFill="1" applyBorder="1"/>
    <xf numFmtId="0" fontId="28" fillId="5" borderId="3" xfId="0" applyFont="1" applyFill="1" applyBorder="1"/>
    <xf numFmtId="165" fontId="27" fillId="5" borderId="3" xfId="0" applyNumberFormat="1" applyFont="1" applyFill="1" applyBorder="1"/>
    <xf numFmtId="0" fontId="32" fillId="12" borderId="2" xfId="2" applyFont="1" applyFill="1" applyBorder="1" applyAlignment="1">
      <alignment horizontal="center" vertical="center"/>
    </xf>
    <xf numFmtId="0" fontId="20" fillId="33" borderId="1" xfId="2" applyFont="1" applyFill="1" applyBorder="1" applyAlignment="1">
      <alignment horizontal="center" vertical="center"/>
    </xf>
    <xf numFmtId="0" fontId="28" fillId="33" borderId="0" xfId="0" applyFont="1" applyFill="1"/>
    <xf numFmtId="0" fontId="27" fillId="10" borderId="3" xfId="0" applyFont="1" applyFill="1" applyBorder="1" applyAlignment="1">
      <alignment horizontal="center"/>
    </xf>
    <xf numFmtId="0" fontId="27" fillId="10" borderId="7" xfId="0" applyFont="1" applyFill="1" applyBorder="1" applyAlignment="1">
      <alignment horizontal="center"/>
    </xf>
    <xf numFmtId="0" fontId="27" fillId="10" borderId="68" xfId="0" applyFont="1" applyFill="1" applyBorder="1" applyAlignment="1">
      <alignment horizontal="center"/>
    </xf>
    <xf numFmtId="0" fontId="28" fillId="12" borderId="1" xfId="0" applyFont="1" applyFill="1" applyBorder="1" applyAlignment="1">
      <alignment horizontal="center"/>
    </xf>
    <xf numFmtId="0" fontId="27" fillId="10" borderId="23" xfId="0" applyFont="1" applyFill="1" applyBorder="1" applyAlignment="1">
      <alignment horizontal="center"/>
    </xf>
    <xf numFmtId="0" fontId="28" fillId="12" borderId="0" xfId="0" applyFont="1" applyFill="1" applyAlignment="1">
      <alignment horizontal="center"/>
    </xf>
    <xf numFmtId="0" fontId="28" fillId="12" borderId="3" xfId="0" applyFont="1" applyFill="1" applyBorder="1" applyAlignment="1">
      <alignment horizontal="center"/>
    </xf>
    <xf numFmtId="0" fontId="26" fillId="30" borderId="3" xfId="0" applyFont="1" applyFill="1" applyBorder="1" applyAlignment="1">
      <alignment horizontal="center"/>
    </xf>
    <xf numFmtId="0" fontId="26" fillId="30" borderId="12" xfId="0" applyFont="1" applyFill="1" applyBorder="1" applyAlignment="1">
      <alignment horizontal="center"/>
    </xf>
    <xf numFmtId="0" fontId="26" fillId="30" borderId="7" xfId="0" applyFont="1" applyFill="1" applyBorder="1" applyAlignment="1">
      <alignment horizontal="center"/>
    </xf>
    <xf numFmtId="0" fontId="22" fillId="22" borderId="0" xfId="2" applyFont="1" applyFill="1" applyAlignment="1">
      <alignment horizontal="center" vertical="center"/>
    </xf>
    <xf numFmtId="0" fontId="23" fillId="12" borderId="0" xfId="2" applyFont="1" applyFill="1" applyAlignment="1">
      <alignment vertical="center"/>
    </xf>
    <xf numFmtId="0" fontId="24" fillId="12" borderId="0" xfId="2" applyFont="1" applyFill="1" applyAlignment="1">
      <alignment horizontal="left" vertical="center"/>
    </xf>
    <xf numFmtId="0" fontId="19" fillId="24" borderId="6" xfId="2" applyFont="1" applyFill="1" applyBorder="1" applyAlignment="1">
      <alignment horizontal="center" vertical="center"/>
    </xf>
    <xf numFmtId="0" fontId="30" fillId="34" borderId="58" xfId="2" applyFont="1" applyFill="1" applyBorder="1" applyAlignment="1">
      <alignment horizontal="center" vertical="center"/>
    </xf>
    <xf numFmtId="17" fontId="0" fillId="34" borderId="58" xfId="0" applyNumberFormat="1" applyFill="1" applyBorder="1" applyAlignment="1">
      <alignment horizontal="center"/>
    </xf>
    <xf numFmtId="0" fontId="30" fillId="33" borderId="58" xfId="2" applyFont="1" applyFill="1" applyBorder="1" applyAlignment="1">
      <alignment horizontal="center" vertical="center"/>
    </xf>
    <xf numFmtId="0" fontId="0" fillId="33" borderId="58" xfId="0" applyFill="1" applyBorder="1" applyAlignment="1">
      <alignment horizontal="center"/>
    </xf>
    <xf numFmtId="0" fontId="0" fillId="34" borderId="58" xfId="0" applyFill="1" applyBorder="1" applyAlignment="1">
      <alignment horizontal="center"/>
    </xf>
    <xf numFmtId="0" fontId="6" fillId="0" borderId="58" xfId="0" applyFont="1" applyBorder="1" applyAlignment="1">
      <alignment horizontal="center"/>
    </xf>
    <xf numFmtId="17" fontId="0" fillId="0" borderId="58" xfId="0" applyNumberFormat="1" applyBorder="1" applyAlignment="1">
      <alignment horizontal="center"/>
    </xf>
    <xf numFmtId="0" fontId="6" fillId="34" borderId="58" xfId="0" applyFont="1" applyFill="1" applyBorder="1" applyAlignment="1">
      <alignment horizontal="center"/>
    </xf>
    <xf numFmtId="0" fontId="0" fillId="0" borderId="58" xfId="0" applyBorder="1" applyAlignment="1">
      <alignment horizontal="center"/>
    </xf>
    <xf numFmtId="2" fontId="22" fillId="12" borderId="1" xfId="2" applyNumberFormat="1" applyFont="1" applyFill="1" applyBorder="1" applyAlignment="1">
      <alignment horizontal="center" vertical="center"/>
    </xf>
    <xf numFmtId="0" fontId="19" fillId="38" borderId="1" xfId="2" applyFont="1" applyFill="1" applyBorder="1" applyAlignment="1">
      <alignment horizontal="center" vertical="center"/>
    </xf>
    <xf numFmtId="0" fontId="19" fillId="7" borderId="1" xfId="2" applyFont="1" applyFill="1" applyBorder="1" applyAlignment="1">
      <alignment horizontal="center" vertical="center"/>
    </xf>
    <xf numFmtId="0" fontId="19" fillId="28" borderId="1" xfId="2" applyFont="1" applyFill="1" applyBorder="1" applyAlignment="1">
      <alignment horizontal="center" vertical="center"/>
    </xf>
    <xf numFmtId="2" fontId="22" fillId="0" borderId="1" xfId="2" applyNumberFormat="1" applyFont="1" applyBorder="1" applyAlignment="1">
      <alignment horizontal="center" vertical="center"/>
    </xf>
    <xf numFmtId="0" fontId="19" fillId="39" borderId="1" xfId="2" applyFont="1" applyFill="1" applyBorder="1" applyAlignment="1">
      <alignment horizontal="center" vertical="center"/>
    </xf>
    <xf numFmtId="0" fontId="34" fillId="27" borderId="1" xfId="2" applyFont="1" applyFill="1" applyBorder="1" applyAlignment="1">
      <alignment horizontal="center" vertical="center"/>
    </xf>
    <xf numFmtId="0" fontId="19" fillId="40" borderId="1" xfId="2" applyFont="1" applyFill="1" applyBorder="1" applyAlignment="1">
      <alignment horizontal="center" vertical="center" wrapText="1"/>
    </xf>
    <xf numFmtId="0" fontId="0" fillId="0" borderId="1" xfId="0" applyBorder="1"/>
    <xf numFmtId="0" fontId="19" fillId="41" borderId="1" xfId="2" applyFont="1" applyFill="1" applyBorder="1" applyAlignment="1">
      <alignment horizontal="center" vertical="center"/>
    </xf>
    <xf numFmtId="2" fontId="22" fillId="41" borderId="1" xfId="2" applyNumberFormat="1" applyFont="1" applyFill="1" applyBorder="1" applyAlignment="1">
      <alignment horizontal="center" vertical="center"/>
    </xf>
    <xf numFmtId="2" fontId="28" fillId="12" borderId="59" xfId="0" applyNumberFormat="1" applyFont="1" applyFill="1" applyBorder="1"/>
    <xf numFmtId="0" fontId="27" fillId="10" borderId="68" xfId="0" applyFont="1" applyFill="1" applyBorder="1"/>
    <xf numFmtId="2" fontId="28" fillId="12" borderId="4" xfId="0" applyNumberFormat="1" applyFont="1" applyFill="1" applyBorder="1"/>
    <xf numFmtId="0" fontId="38" fillId="35" borderId="92" xfId="0" applyFont="1" applyFill="1" applyBorder="1" applyAlignment="1">
      <alignment horizontal="center" vertical="center" wrapText="1"/>
    </xf>
    <xf numFmtId="0" fontId="38" fillId="35" borderId="67" xfId="0" applyFont="1" applyFill="1" applyBorder="1" applyAlignment="1">
      <alignment horizontal="center" vertical="center"/>
    </xf>
    <xf numFmtId="0" fontId="38" fillId="35" borderId="67" xfId="0" applyFont="1" applyFill="1" applyBorder="1" applyAlignment="1">
      <alignment horizontal="center" vertical="center" wrapText="1"/>
    </xf>
    <xf numFmtId="0" fontId="39" fillId="0" borderId="92" xfId="0" applyFont="1" applyBorder="1" applyAlignment="1">
      <alignment horizontal="center" vertical="center" wrapText="1"/>
    </xf>
    <xf numFmtId="0" fontId="39" fillId="0" borderId="67" xfId="0" applyFont="1" applyBorder="1" applyAlignment="1">
      <alignment horizontal="center" vertical="center" wrapText="1"/>
    </xf>
    <xf numFmtId="2" fontId="28" fillId="12" borderId="3" xfId="0" applyNumberFormat="1" applyFont="1" applyFill="1" applyBorder="1"/>
    <xf numFmtId="0" fontId="28" fillId="12" borderId="105" xfId="0" applyFont="1" applyFill="1" applyBorder="1"/>
    <xf numFmtId="0" fontId="30" fillId="44" borderId="0" xfId="0" applyFont="1" applyFill="1" applyAlignment="1">
      <alignment horizontal="center"/>
    </xf>
    <xf numFmtId="0" fontId="6" fillId="45" borderId="20" xfId="0" applyFont="1" applyFill="1" applyBorder="1" applyAlignment="1">
      <alignment horizontal="center"/>
    </xf>
    <xf numFmtId="3" fontId="28" fillId="12" borderId="88" xfId="0" applyNumberFormat="1" applyFont="1" applyFill="1" applyBorder="1" applyAlignment="1">
      <alignment horizontal="center"/>
    </xf>
    <xf numFmtId="0" fontId="0" fillId="0" borderId="37" xfId="0" applyBorder="1"/>
    <xf numFmtId="0" fontId="30" fillId="10" borderId="12" xfId="0" applyFont="1" applyFill="1" applyBorder="1" applyAlignment="1">
      <alignment horizontal="center"/>
    </xf>
    <xf numFmtId="0" fontId="30" fillId="10" borderId="3" xfId="0" applyFont="1" applyFill="1" applyBorder="1" applyAlignment="1">
      <alignment horizontal="center"/>
    </xf>
    <xf numFmtId="0" fontId="41" fillId="44" borderId="0" xfId="0" applyFont="1" applyFill="1" applyAlignment="1">
      <alignment horizontal="center"/>
    </xf>
    <xf numFmtId="0" fontId="15" fillId="46" borderId="1" xfId="0" applyFont="1" applyFill="1" applyBorder="1" applyAlignment="1">
      <alignment horizontal="center"/>
    </xf>
    <xf numFmtId="165" fontId="0" fillId="12" borderId="1" xfId="0" applyNumberFormat="1" applyFill="1" applyBorder="1"/>
    <xf numFmtId="0" fontId="37" fillId="46" borderId="58" xfId="0" applyFont="1" applyFill="1" applyBorder="1" applyAlignment="1">
      <alignment horizontal="center"/>
    </xf>
    <xf numFmtId="0" fontId="28" fillId="27" borderId="58" xfId="0" applyFont="1" applyFill="1" applyBorder="1" applyAlignment="1">
      <alignment horizontal="center"/>
    </xf>
    <xf numFmtId="0" fontId="26" fillId="30" borderId="58" xfId="0" applyFont="1" applyFill="1" applyBorder="1" applyAlignment="1">
      <alignment horizontal="center"/>
    </xf>
    <xf numFmtId="165" fontId="28" fillId="12" borderId="8" xfId="0" applyNumberFormat="1" applyFont="1" applyFill="1" applyBorder="1" applyAlignment="1">
      <alignment horizontal="center"/>
    </xf>
    <xf numFmtId="165" fontId="28" fillId="12" borderId="114" xfId="0" applyNumberFormat="1" applyFont="1" applyFill="1" applyBorder="1" applyAlignment="1">
      <alignment horizontal="center"/>
    </xf>
    <xf numFmtId="0" fontId="24" fillId="46" borderId="58" xfId="0" applyFont="1" applyFill="1" applyBorder="1" applyAlignment="1">
      <alignment horizontal="center"/>
    </xf>
    <xf numFmtId="0" fontId="27" fillId="12" borderId="0" xfId="0" applyFont="1" applyFill="1"/>
    <xf numFmtId="0" fontId="27" fillId="19" borderId="1" xfId="0" applyFont="1" applyFill="1" applyBorder="1" applyAlignment="1">
      <alignment horizontal="center" vertical="center"/>
    </xf>
    <xf numFmtId="0" fontId="27" fillId="10" borderId="14" xfId="0" applyFont="1" applyFill="1" applyBorder="1" applyAlignment="1">
      <alignment horizontal="center" wrapText="1"/>
    </xf>
    <xf numFmtId="2" fontId="36" fillId="0" borderId="1" xfId="0" applyNumberFormat="1" applyFont="1" applyBorder="1" applyAlignment="1">
      <alignment horizontal="center"/>
    </xf>
    <xf numFmtId="165" fontId="36" fillId="0" borderId="1" xfId="0" applyNumberFormat="1" applyFont="1" applyBorder="1" applyAlignment="1">
      <alignment horizontal="center"/>
    </xf>
    <xf numFmtId="2" fontId="22" fillId="46" borderId="1" xfId="2" applyNumberFormat="1" applyFont="1" applyFill="1" applyBorder="1" applyAlignment="1">
      <alignment horizontal="center" vertical="center"/>
    </xf>
    <xf numFmtId="2" fontId="22" fillId="46" borderId="6" xfId="2" applyNumberFormat="1" applyFont="1" applyFill="1" applyBorder="1" applyAlignment="1">
      <alignment horizontal="center" vertical="center"/>
    </xf>
    <xf numFmtId="0" fontId="28" fillId="12" borderId="59" xfId="0" applyFont="1" applyFill="1" applyBorder="1" applyAlignment="1">
      <alignment horizontal="center"/>
    </xf>
    <xf numFmtId="2" fontId="0" fillId="0" borderId="1" xfId="0" applyNumberFormat="1" applyBorder="1"/>
    <xf numFmtId="0" fontId="26" fillId="30" borderId="1" xfId="0" applyFont="1" applyFill="1" applyBorder="1" applyAlignment="1">
      <alignment horizontal="center"/>
    </xf>
    <xf numFmtId="0" fontId="27" fillId="29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28" fillId="12" borderId="3" xfId="0" applyNumberFormat="1" applyFont="1" applyFill="1" applyBorder="1"/>
    <xf numFmtId="0" fontId="27" fillId="29" borderId="12" xfId="0" applyFont="1" applyFill="1" applyBorder="1" applyAlignment="1">
      <alignment horizontal="center"/>
    </xf>
    <xf numFmtId="2" fontId="28" fillId="12" borderId="16" xfId="0" applyNumberFormat="1" applyFont="1" applyFill="1" applyBorder="1" applyAlignment="1">
      <alignment horizontal="center"/>
    </xf>
    <xf numFmtId="2" fontId="28" fillId="12" borderId="30" xfId="0" applyNumberFormat="1" applyFont="1" applyFill="1" applyBorder="1" applyAlignment="1">
      <alignment horizontal="center"/>
    </xf>
    <xf numFmtId="0" fontId="27" fillId="29" borderId="3" xfId="0" applyFont="1" applyFill="1" applyBorder="1" applyAlignment="1">
      <alignment horizontal="center"/>
    </xf>
    <xf numFmtId="0" fontId="28" fillId="49" borderId="0" xfId="0" applyFont="1" applyFill="1"/>
    <xf numFmtId="0" fontId="27" fillId="27" borderId="13" xfId="1" applyFont="1" applyFill="1" applyBorder="1" applyAlignment="1">
      <alignment horizontal="center" vertical="center" wrapText="1"/>
    </xf>
    <xf numFmtId="0" fontId="27" fillId="28" borderId="13" xfId="1" applyFont="1" applyFill="1" applyBorder="1" applyAlignment="1">
      <alignment horizontal="center" vertical="center" wrapText="1"/>
    </xf>
    <xf numFmtId="0" fontId="27" fillId="28" borderId="23" xfId="1" applyFont="1" applyFill="1" applyBorder="1" applyAlignment="1">
      <alignment horizontal="center" vertical="center" wrapText="1"/>
    </xf>
    <xf numFmtId="0" fontId="26" fillId="8" borderId="0" xfId="1" applyFont="1" applyFill="1" applyBorder="1" applyAlignment="1">
      <alignment horizontal="center" vertical="center" wrapText="1"/>
    </xf>
    <xf numFmtId="0" fontId="20" fillId="23" borderId="1" xfId="2" applyFont="1" applyFill="1" applyBorder="1" applyAlignment="1">
      <alignment horizontal="left" vertical="center"/>
    </xf>
    <xf numFmtId="0" fontId="46" fillId="50" borderId="2" xfId="2" applyFont="1" applyFill="1" applyBorder="1" applyAlignment="1">
      <alignment horizontal="center" vertical="center"/>
    </xf>
    <xf numFmtId="0" fontId="32" fillId="50" borderId="1" xfId="2" applyFont="1" applyFill="1" applyBorder="1" applyAlignment="1">
      <alignment horizontal="center" vertical="center"/>
    </xf>
    <xf numFmtId="0" fontId="5" fillId="50" borderId="58" xfId="0" applyFont="1" applyFill="1" applyBorder="1" applyAlignment="1">
      <alignment horizontal="center" wrapText="1"/>
    </xf>
    <xf numFmtId="166" fontId="19" fillId="51" borderId="1" xfId="3" applyNumberFormat="1" applyFont="1" applyFill="1" applyBorder="1" applyAlignment="1" applyProtection="1">
      <alignment horizontal="center" vertical="center"/>
    </xf>
    <xf numFmtId="2" fontId="22" fillId="51" borderId="1" xfId="2" applyNumberFormat="1" applyFont="1" applyFill="1" applyBorder="1" applyAlignment="1">
      <alignment horizontal="center" vertical="center"/>
    </xf>
    <xf numFmtId="0" fontId="32" fillId="8" borderId="1" xfId="2" applyFont="1" applyFill="1" applyBorder="1" applyAlignment="1">
      <alignment horizontal="center" vertical="center"/>
    </xf>
    <xf numFmtId="165" fontId="47" fillId="8" borderId="1" xfId="2" applyNumberFormat="1" applyFont="1" applyFill="1" applyBorder="1" applyAlignment="1">
      <alignment horizontal="center" vertical="center"/>
    </xf>
    <xf numFmtId="0" fontId="7" fillId="8" borderId="1" xfId="0" applyFont="1" applyFill="1" applyBorder="1"/>
    <xf numFmtId="0" fontId="19" fillId="52" borderId="1" xfId="2" applyFont="1" applyFill="1" applyBorder="1" applyAlignment="1">
      <alignment horizontal="center" vertical="center"/>
    </xf>
    <xf numFmtId="165" fontId="22" fillId="52" borderId="1" xfId="2" applyNumberFormat="1" applyFont="1" applyFill="1" applyBorder="1" applyAlignment="1">
      <alignment horizontal="center" vertical="center"/>
    </xf>
    <xf numFmtId="0" fontId="19" fillId="46" borderId="1" xfId="2" applyFont="1" applyFill="1" applyBorder="1" applyAlignment="1">
      <alignment horizontal="center" vertical="center"/>
    </xf>
    <xf numFmtId="165" fontId="22" fillId="46" borderId="1" xfId="2" applyNumberFormat="1" applyFont="1" applyFill="1" applyBorder="1" applyAlignment="1">
      <alignment horizontal="center" vertical="center"/>
    </xf>
    <xf numFmtId="0" fontId="19" fillId="53" borderId="1" xfId="2" applyFont="1" applyFill="1" applyBorder="1" applyAlignment="1">
      <alignment horizontal="center" vertical="center"/>
    </xf>
    <xf numFmtId="0" fontId="19" fillId="12" borderId="1" xfId="2" applyFont="1" applyFill="1" applyBorder="1" applyAlignment="1">
      <alignment horizontal="center" vertical="center"/>
    </xf>
    <xf numFmtId="0" fontId="46" fillId="8" borderId="1" xfId="2" applyFont="1" applyFill="1" applyBorder="1" applyAlignment="1">
      <alignment horizontal="center" vertical="center"/>
    </xf>
    <xf numFmtId="2" fontId="47" fillId="8" borderId="1" xfId="2" applyNumberFormat="1" applyFont="1" applyFill="1" applyBorder="1" applyAlignment="1">
      <alignment horizontal="center" vertical="center"/>
    </xf>
    <xf numFmtId="0" fontId="19" fillId="36" borderId="1" xfId="2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4" fillId="22" borderId="1" xfId="2" applyFont="1" applyFill="1" applyBorder="1" applyAlignment="1">
      <alignment horizontal="center" vertical="center"/>
    </xf>
    <xf numFmtId="165" fontId="22" fillId="12" borderId="1" xfId="2" applyNumberFormat="1" applyFont="1" applyFill="1" applyBorder="1" applyAlignment="1">
      <alignment horizontal="center" vertical="center"/>
    </xf>
    <xf numFmtId="2" fontId="36" fillId="0" borderId="1" xfId="0" applyNumberFormat="1" applyFont="1" applyBorder="1" applyAlignment="1">
      <alignment horizontal="center" vertical="center"/>
    </xf>
    <xf numFmtId="2" fontId="34" fillId="12" borderId="1" xfId="2" applyNumberFormat="1" applyFont="1" applyFill="1" applyBorder="1" applyAlignment="1">
      <alignment horizontal="center" vertical="center"/>
    </xf>
    <xf numFmtId="0" fontId="46" fillId="54" borderId="1" xfId="2" applyFont="1" applyFill="1" applyBorder="1" applyAlignment="1">
      <alignment horizontal="center" vertical="center"/>
    </xf>
    <xf numFmtId="0" fontId="46" fillId="8" borderId="6" xfId="2" applyFont="1" applyFill="1" applyBorder="1" applyAlignment="1">
      <alignment horizontal="center" vertical="center"/>
    </xf>
    <xf numFmtId="2" fontId="47" fillId="8" borderId="6" xfId="0" applyNumberFormat="1" applyFont="1" applyFill="1" applyBorder="1" applyAlignment="1">
      <alignment horizontal="center"/>
    </xf>
    <xf numFmtId="0" fontId="49" fillId="0" borderId="0" xfId="0" applyFont="1" applyProtection="1">
      <protection hidden="1"/>
    </xf>
    <xf numFmtId="0" fontId="49" fillId="0" borderId="38" xfId="0" applyFont="1" applyBorder="1" applyProtection="1">
      <protection hidden="1"/>
    </xf>
    <xf numFmtId="0" fontId="33" fillId="0" borderId="0" xfId="0" applyFont="1" applyProtection="1">
      <protection hidden="1"/>
    </xf>
    <xf numFmtId="0" fontId="19" fillId="0" borderId="123" xfId="0" applyFont="1" applyBorder="1" applyAlignment="1" applyProtection="1">
      <alignment horizontal="center"/>
      <protection hidden="1"/>
    </xf>
    <xf numFmtId="0" fontId="33" fillId="0" borderId="124" xfId="0" applyFont="1" applyBorder="1" applyAlignment="1" applyProtection="1">
      <alignment horizontal="center"/>
      <protection hidden="1"/>
    </xf>
    <xf numFmtId="0" fontId="33" fillId="0" borderId="125" xfId="0" applyFont="1" applyBorder="1" applyAlignment="1" applyProtection="1">
      <alignment horizontal="center"/>
      <protection hidden="1"/>
    </xf>
    <xf numFmtId="0" fontId="33" fillId="0" borderId="126" xfId="0" applyFont="1" applyBorder="1" applyAlignment="1" applyProtection="1">
      <alignment horizontal="center"/>
      <protection hidden="1"/>
    </xf>
    <xf numFmtId="0" fontId="19" fillId="0" borderId="0" xfId="0" applyFont="1" applyAlignment="1" applyProtection="1">
      <alignment horizontal="center" vertical="center" textRotation="90"/>
      <protection hidden="1"/>
    </xf>
    <xf numFmtId="0" fontId="33" fillId="0" borderId="0" xfId="0" applyFont="1" applyAlignment="1" applyProtection="1">
      <alignment horizontal="center"/>
      <protection hidden="1"/>
    </xf>
    <xf numFmtId="0" fontId="36" fillId="0" borderId="0" xfId="0" applyFont="1" applyAlignment="1">
      <alignment vertical="top" wrapText="1"/>
    </xf>
    <xf numFmtId="165" fontId="36" fillId="0" borderId="0" xfId="0" applyNumberFormat="1" applyFont="1" applyAlignment="1">
      <alignment horizontal="center" vertical="top" wrapText="1"/>
    </xf>
    <xf numFmtId="0" fontId="22" fillId="0" borderId="0" xfId="0" applyFont="1" applyAlignment="1">
      <alignment vertical="top"/>
    </xf>
    <xf numFmtId="165" fontId="36" fillId="0" borderId="0" xfId="0" applyNumberFormat="1" applyFont="1" applyAlignment="1">
      <alignment horizontal="center"/>
    </xf>
    <xf numFmtId="0" fontId="36" fillId="0" borderId="0" xfId="0" applyFont="1"/>
    <xf numFmtId="165" fontId="22" fillId="0" borderId="0" xfId="0" applyNumberFormat="1" applyFont="1" applyAlignment="1">
      <alignment horizontal="center" vertical="top"/>
    </xf>
    <xf numFmtId="165" fontId="36" fillId="28" borderId="0" xfId="0" applyNumberFormat="1" applyFont="1" applyFill="1" applyAlignment="1">
      <alignment horizontal="center" vertical="top" wrapText="1"/>
    </xf>
    <xf numFmtId="165" fontId="36" fillId="28" borderId="0" xfId="0" applyNumberFormat="1" applyFont="1" applyFill="1" applyAlignment="1">
      <alignment horizontal="center"/>
    </xf>
    <xf numFmtId="0" fontId="53" fillId="28" borderId="0" xfId="0" applyFont="1" applyFill="1" applyAlignment="1">
      <alignment horizontal="center" vertical="top" wrapText="1"/>
    </xf>
    <xf numFmtId="0" fontId="53" fillId="0" borderId="0" xfId="0" applyFont="1" applyAlignment="1">
      <alignment horizontal="center" vertical="top" wrapText="1"/>
    </xf>
    <xf numFmtId="0" fontId="53" fillId="56" borderId="0" xfId="0" applyFont="1" applyFill="1" applyAlignment="1">
      <alignment horizontal="center" vertical="top" wrapText="1"/>
    </xf>
    <xf numFmtId="165" fontId="22" fillId="28" borderId="0" xfId="0" applyNumberFormat="1" applyFont="1" applyFill="1" applyAlignment="1">
      <alignment horizontal="center" vertical="top"/>
    </xf>
    <xf numFmtId="0" fontId="28" fillId="0" borderId="1" xfId="0" applyFont="1" applyBorder="1" applyAlignment="1">
      <alignment horizontal="center"/>
    </xf>
    <xf numFmtId="0" fontId="27" fillId="10" borderId="137" xfId="0" applyFont="1" applyFill="1" applyBorder="1" applyAlignment="1">
      <alignment horizontal="center"/>
    </xf>
    <xf numFmtId="0" fontId="52" fillId="8" borderId="0" xfId="0" applyFont="1" applyFill="1" applyAlignment="1">
      <alignment horizontal="center"/>
    </xf>
    <xf numFmtId="14" fontId="54" fillId="12" borderId="0" xfId="0" applyNumberFormat="1" applyFont="1" applyFill="1" applyAlignment="1">
      <alignment horizontal="center"/>
    </xf>
    <xf numFmtId="165" fontId="22" fillId="0" borderId="30" xfId="2" applyNumberFormat="1" applyFont="1" applyBorder="1" applyAlignment="1">
      <alignment horizontal="center" vertical="center"/>
    </xf>
    <xf numFmtId="0" fontId="20" fillId="23" borderId="4" xfId="2" applyFont="1" applyFill="1" applyBorder="1" applyAlignment="1">
      <alignment horizontal="left" vertical="center"/>
    </xf>
    <xf numFmtId="165" fontId="22" fillId="0" borderId="10" xfId="2" applyNumberFormat="1" applyFont="1" applyBorder="1" applyAlignment="1">
      <alignment horizontal="center" vertical="center"/>
    </xf>
    <xf numFmtId="0" fontId="56" fillId="0" borderId="0" xfId="0" applyFont="1" applyAlignment="1">
      <alignment horizontal="center"/>
    </xf>
    <xf numFmtId="0" fontId="56" fillId="8" borderId="1" xfId="0" applyFont="1" applyFill="1" applyBorder="1"/>
    <xf numFmtId="165" fontId="56" fillId="0" borderId="0" xfId="0" applyNumberFormat="1" applyFont="1" applyAlignment="1">
      <alignment horizontal="center"/>
    </xf>
    <xf numFmtId="0" fontId="56" fillId="0" borderId="29" xfId="0" applyFont="1" applyBorder="1" applyAlignment="1">
      <alignment horizontal="center"/>
    </xf>
    <xf numFmtId="165" fontId="56" fillId="0" borderId="29" xfId="0" applyNumberFormat="1" applyFont="1" applyBorder="1" applyAlignment="1">
      <alignment horizontal="center"/>
    </xf>
    <xf numFmtId="0" fontId="56" fillId="55" borderId="0" xfId="0" applyFont="1" applyFill="1" applyAlignment="1">
      <alignment horizontal="center"/>
    </xf>
    <xf numFmtId="165" fontId="56" fillId="55" borderId="0" xfId="0" applyNumberFormat="1" applyFont="1" applyFill="1" applyAlignment="1">
      <alignment horizontal="center"/>
    </xf>
    <xf numFmtId="167" fontId="56" fillId="0" borderId="0" xfId="0" applyNumberFormat="1" applyFont="1" applyAlignment="1">
      <alignment horizontal="center"/>
    </xf>
    <xf numFmtId="0" fontId="56" fillId="12" borderId="0" xfId="0" applyFont="1" applyFill="1" applyAlignment="1">
      <alignment horizontal="center"/>
    </xf>
    <xf numFmtId="165" fontId="56" fillId="12" borderId="0" xfId="0" applyNumberFormat="1" applyFont="1" applyFill="1" applyAlignment="1">
      <alignment horizontal="center"/>
    </xf>
    <xf numFmtId="11" fontId="56" fillId="0" borderId="0" xfId="0" applyNumberFormat="1" applyFont="1" applyAlignment="1">
      <alignment horizontal="center"/>
    </xf>
    <xf numFmtId="0" fontId="54" fillId="8" borderId="1" xfId="0" applyFont="1" applyFill="1" applyBorder="1"/>
    <xf numFmtId="2" fontId="56" fillId="0" borderId="0" xfId="0" applyNumberFormat="1" applyFont="1" applyAlignment="1">
      <alignment horizontal="center"/>
    </xf>
    <xf numFmtId="0" fontId="26" fillId="30" borderId="15" xfId="0" applyFont="1" applyFill="1" applyBorder="1" applyAlignment="1">
      <alignment horizontal="center"/>
    </xf>
    <xf numFmtId="0" fontId="26" fillId="10" borderId="1" xfId="0" applyFont="1" applyFill="1" applyBorder="1"/>
    <xf numFmtId="0" fontId="26" fillId="12" borderId="37" xfId="0" applyFont="1" applyFill="1" applyBorder="1"/>
    <xf numFmtId="0" fontId="35" fillId="8" borderId="25" xfId="2" applyFont="1" applyFill="1" applyBorder="1" applyAlignment="1">
      <alignment horizontal="center" vertical="center"/>
    </xf>
    <xf numFmtId="0" fontId="15" fillId="20" borderId="0" xfId="0" applyFont="1" applyFill="1" applyAlignment="1">
      <alignment horizontal="center"/>
    </xf>
    <xf numFmtId="0" fontId="56" fillId="33" borderId="0" xfId="0" applyFont="1" applyFill="1" applyAlignment="1">
      <alignment horizontal="center"/>
    </xf>
    <xf numFmtId="165" fontId="56" fillId="33" borderId="0" xfId="0" applyNumberFormat="1" applyFont="1" applyFill="1" applyAlignment="1">
      <alignment horizontal="center"/>
    </xf>
    <xf numFmtId="167" fontId="56" fillId="55" borderId="0" xfId="0" applyNumberFormat="1" applyFont="1" applyFill="1" applyAlignment="1">
      <alignment horizontal="center"/>
    </xf>
    <xf numFmtId="2" fontId="56" fillId="55" borderId="0" xfId="0" applyNumberFormat="1" applyFont="1" applyFill="1" applyAlignment="1">
      <alignment horizontal="center"/>
    </xf>
    <xf numFmtId="2" fontId="56" fillId="12" borderId="0" xfId="0" applyNumberFormat="1" applyFont="1" applyFill="1" applyAlignment="1">
      <alignment horizontal="center"/>
    </xf>
    <xf numFmtId="10" fontId="56" fillId="0" borderId="0" xfId="0" applyNumberFormat="1" applyFont="1" applyAlignment="1">
      <alignment horizontal="center"/>
    </xf>
    <xf numFmtId="10" fontId="56" fillId="55" borderId="0" xfId="0" applyNumberFormat="1" applyFont="1" applyFill="1" applyAlignment="1">
      <alignment horizontal="center"/>
    </xf>
    <xf numFmtId="10" fontId="56" fillId="12" borderId="0" xfId="0" applyNumberFormat="1" applyFont="1" applyFill="1" applyAlignment="1">
      <alignment horizontal="center"/>
    </xf>
    <xf numFmtId="0" fontId="54" fillId="8" borderId="4" xfId="0" applyFont="1" applyFill="1" applyBorder="1"/>
    <xf numFmtId="0" fontId="56" fillId="33" borderId="0" xfId="0" applyFont="1" applyFill="1" applyAlignment="1">
      <alignment horizontal="left"/>
    </xf>
    <xf numFmtId="168" fontId="56" fillId="33" borderId="0" xfId="5" applyNumberFormat="1" applyFont="1" applyFill="1" applyBorder="1" applyAlignment="1">
      <alignment horizontal="center"/>
    </xf>
    <xf numFmtId="0" fontId="56" fillId="0" borderId="1" xfId="0" applyFont="1" applyBorder="1" applyAlignment="1">
      <alignment horizontal="center"/>
    </xf>
    <xf numFmtId="165" fontId="56" fillId="0" borderId="1" xfId="0" applyNumberFormat="1" applyFont="1" applyBorder="1" applyAlignment="1">
      <alignment horizontal="center"/>
    </xf>
    <xf numFmtId="0" fontId="56" fillId="5" borderId="1" xfId="0" applyFont="1" applyFill="1" applyBorder="1" applyAlignment="1">
      <alignment horizontal="center"/>
    </xf>
    <xf numFmtId="165" fontId="56" fillId="5" borderId="1" xfId="0" applyNumberFormat="1" applyFont="1" applyFill="1" applyBorder="1" applyAlignment="1">
      <alignment horizontal="center"/>
    </xf>
    <xf numFmtId="0" fontId="5" fillId="50" borderId="68" xfId="0" applyFont="1" applyFill="1" applyBorder="1" applyAlignment="1">
      <alignment horizontal="center" wrapText="1"/>
    </xf>
    <xf numFmtId="0" fontId="0" fillId="34" borderId="68" xfId="0" applyFill="1" applyBorder="1" applyAlignment="1">
      <alignment horizontal="center"/>
    </xf>
    <xf numFmtId="0" fontId="0" fillId="33" borderId="68" xfId="0" applyFill="1" applyBorder="1" applyAlignment="1">
      <alignment horizontal="center"/>
    </xf>
    <xf numFmtId="0" fontId="0" fillId="0" borderId="68" xfId="0" applyBorder="1" applyAlignment="1">
      <alignment horizontal="center"/>
    </xf>
    <xf numFmtId="0" fontId="5" fillId="12" borderId="0" xfId="0" applyFont="1" applyFill="1" applyAlignment="1">
      <alignment horizontal="center" wrapText="1"/>
    </xf>
    <xf numFmtId="0" fontId="30" fillId="12" borderId="0" xfId="2" applyFont="1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5" fillId="50" borderId="1" xfId="0" applyFont="1" applyFill="1" applyBorder="1" applyAlignment="1">
      <alignment horizontal="center"/>
    </xf>
    <xf numFmtId="0" fontId="0" fillId="28" borderId="1" xfId="0" applyFill="1" applyBorder="1"/>
    <xf numFmtId="0" fontId="0" fillId="0" borderId="0" xfId="0" applyAlignment="1">
      <alignment wrapText="1"/>
    </xf>
    <xf numFmtId="2" fontId="0" fillId="0" borderId="0" xfId="0" applyNumberFormat="1"/>
    <xf numFmtId="0" fontId="0" fillId="5" borderId="0" xfId="0" applyFill="1"/>
    <xf numFmtId="2" fontId="0" fillId="0" borderId="0" xfId="0" applyNumberFormat="1" applyAlignment="1">
      <alignment horizontal="center"/>
    </xf>
    <xf numFmtId="0" fontId="6" fillId="45" borderId="0" xfId="0" applyFont="1" applyFill="1"/>
    <xf numFmtId="0" fontId="6" fillId="29" borderId="0" xfId="0" applyFont="1" applyFill="1"/>
    <xf numFmtId="2" fontId="0" fillId="29" borderId="0" xfId="0" applyNumberFormat="1" applyFill="1" applyAlignment="1">
      <alignment horizontal="center" vertical="center"/>
    </xf>
    <xf numFmtId="2" fontId="0" fillId="29" borderId="0" xfId="0" applyNumberFormat="1" applyFill="1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 vertical="center"/>
    </xf>
    <xf numFmtId="2" fontId="6" fillId="59" borderId="0" xfId="0" applyNumberFormat="1" applyFont="1" applyFill="1" applyAlignment="1">
      <alignment horizontal="center" vertical="center"/>
    </xf>
    <xf numFmtId="2" fontId="6" fillId="37" borderId="0" xfId="0" applyNumberFormat="1" applyFont="1" applyFill="1"/>
    <xf numFmtId="0" fontId="6" fillId="3" borderId="0" xfId="0" applyFont="1" applyFill="1"/>
    <xf numFmtId="0" fontId="0" fillId="11" borderId="0" xfId="0" applyFill="1"/>
    <xf numFmtId="0" fontId="6" fillId="0" borderId="0" xfId="0" applyFont="1" applyAlignment="1">
      <alignment wrapText="1"/>
    </xf>
    <xf numFmtId="0" fontId="0" fillId="11" borderId="0" xfId="0" applyFill="1" applyAlignment="1">
      <alignment wrapText="1"/>
    </xf>
    <xf numFmtId="0" fontId="0" fillId="57" borderId="0" xfId="0" applyFill="1" applyAlignment="1">
      <alignment horizontal="center" vertical="center"/>
    </xf>
    <xf numFmtId="2" fontId="61" fillId="48" borderId="0" xfId="0" applyNumberFormat="1" applyFont="1" applyFill="1"/>
    <xf numFmtId="0" fontId="62" fillId="0" borderId="0" xfId="0" applyFont="1"/>
    <xf numFmtId="0" fontId="63" fillId="0" borderId="0" xfId="0" applyFont="1"/>
    <xf numFmtId="0" fontId="6" fillId="0" borderId="0" xfId="0" applyFont="1"/>
    <xf numFmtId="0" fontId="6" fillId="28" borderId="0" xfId="0" applyFont="1" applyFill="1" applyAlignment="1">
      <alignment horizontal="center" vertical="center" wrapText="1"/>
    </xf>
    <xf numFmtId="0" fontId="6" fillId="58" borderId="0" xfId="0" applyFont="1" applyFill="1" applyAlignment="1">
      <alignment horizontal="center" vertical="center"/>
    </xf>
    <xf numFmtId="0" fontId="6" fillId="57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0" fillId="28" borderId="0" xfId="0" applyNumberFormat="1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0" fillId="58" borderId="0" xfId="0" applyNumberFormat="1" applyFill="1" applyAlignment="1">
      <alignment horizontal="center" vertical="center"/>
    </xf>
    <xf numFmtId="2" fontId="0" fillId="57" borderId="0" xfId="0" applyNumberFormat="1" applyFill="1" applyAlignment="1">
      <alignment horizontal="center" vertical="center"/>
    </xf>
    <xf numFmtId="0" fontId="53" fillId="36" borderId="1" xfId="0" applyFont="1" applyFill="1" applyBorder="1" applyAlignment="1">
      <alignment horizontal="center" wrapText="1"/>
    </xf>
    <xf numFmtId="0" fontId="19" fillId="61" borderId="0" xfId="0" applyFont="1" applyFill="1" applyAlignment="1">
      <alignment horizontal="center"/>
    </xf>
    <xf numFmtId="0" fontId="19" fillId="18" borderId="0" xfId="0" applyFont="1" applyFill="1" applyAlignment="1">
      <alignment horizontal="center"/>
    </xf>
    <xf numFmtId="2" fontId="28" fillId="12" borderId="1" xfId="0" applyNumberFormat="1" applyFont="1" applyFill="1" applyBorder="1"/>
    <xf numFmtId="2" fontId="28" fillId="12" borderId="45" xfId="0" applyNumberFormat="1" applyFont="1" applyFill="1" applyBorder="1"/>
    <xf numFmtId="2" fontId="28" fillId="31" borderId="1" xfId="0" applyNumberFormat="1" applyFont="1" applyFill="1" applyBorder="1"/>
    <xf numFmtId="2" fontId="28" fillId="12" borderId="6" xfId="0" applyNumberFormat="1" applyFont="1" applyFill="1" applyBorder="1"/>
    <xf numFmtId="2" fontId="28" fillId="12" borderId="46" xfId="0" applyNumberFormat="1" applyFont="1" applyFill="1" applyBorder="1"/>
    <xf numFmtId="2" fontId="27" fillId="2" borderId="3" xfId="0" applyNumberFormat="1" applyFont="1" applyFill="1" applyBorder="1"/>
    <xf numFmtId="2" fontId="28" fillId="12" borderId="0" xfId="0" applyNumberFormat="1" applyFont="1" applyFill="1"/>
    <xf numFmtId="0" fontId="64" fillId="0" borderId="0" xfId="0" applyFont="1"/>
    <xf numFmtId="0" fontId="65" fillId="0" borderId="0" xfId="0" applyFont="1"/>
    <xf numFmtId="0" fontId="66" fillId="0" borderId="58" xfId="0" applyFont="1" applyBorder="1" applyAlignment="1">
      <alignment horizontal="center" wrapText="1"/>
    </xf>
    <xf numFmtId="0" fontId="66" fillId="0" borderId="70" xfId="0" applyFont="1" applyBorder="1" applyAlignment="1">
      <alignment horizontal="center" wrapText="1"/>
    </xf>
    <xf numFmtId="0" fontId="66" fillId="0" borderId="70" xfId="0" applyFont="1" applyBorder="1" applyAlignment="1">
      <alignment horizontal="center" vertical="top" wrapText="1"/>
    </xf>
    <xf numFmtId="0" fontId="65" fillId="0" borderId="92" xfId="0" applyFont="1" applyBorder="1" applyAlignment="1">
      <alignment vertical="top" wrapText="1"/>
    </xf>
    <xf numFmtId="0" fontId="65" fillId="0" borderId="67" xfId="0" applyFont="1" applyBorder="1" applyAlignment="1">
      <alignment horizontal="center" vertical="top" wrapText="1"/>
    </xf>
    <xf numFmtId="0" fontId="66" fillId="0" borderId="65" xfId="0" applyFont="1" applyBorder="1" applyAlignment="1">
      <alignment horizontal="center" vertical="top" wrapText="1"/>
    </xf>
    <xf numFmtId="0" fontId="65" fillId="0" borderId="65" xfId="0" applyFont="1" applyBorder="1" applyAlignment="1">
      <alignment horizontal="center" vertical="top" wrapText="1"/>
    </xf>
    <xf numFmtId="0" fontId="0" fillId="0" borderId="67" xfId="0" applyBorder="1" applyAlignment="1">
      <alignment vertical="top" wrapText="1"/>
    </xf>
    <xf numFmtId="0" fontId="66" fillId="0" borderId="67" xfId="0" applyFont="1" applyBorder="1" applyAlignment="1">
      <alignment horizontal="center" vertical="top" wrapText="1"/>
    </xf>
    <xf numFmtId="0" fontId="65" fillId="0" borderId="105" xfId="0" applyFont="1" applyBorder="1" applyAlignment="1">
      <alignment vertical="top" wrapText="1"/>
    </xf>
    <xf numFmtId="0" fontId="68" fillId="0" borderId="0" xfId="0" applyFont="1"/>
    <xf numFmtId="0" fontId="69" fillId="0" borderId="0" xfId="0" applyFont="1"/>
    <xf numFmtId="0" fontId="1" fillId="0" borderId="0" xfId="0" applyFont="1"/>
    <xf numFmtId="0" fontId="71" fillId="0" borderId="0" xfId="0" applyFont="1" applyAlignment="1">
      <alignment horizontal="center"/>
    </xf>
    <xf numFmtId="0" fontId="38" fillId="0" borderId="58" xfId="0" applyFont="1" applyBorder="1" applyAlignment="1">
      <alignment horizontal="center" vertical="top" wrapText="1"/>
    </xf>
    <xf numFmtId="0" fontId="38" fillId="0" borderId="70" xfId="0" applyFont="1" applyBorder="1" applyAlignment="1">
      <alignment horizontal="center" vertical="top" wrapText="1"/>
    </xf>
    <xf numFmtId="0" fontId="1" fillId="0" borderId="92" xfId="0" applyFont="1" applyBorder="1" applyAlignment="1">
      <alignment horizontal="center" vertical="top" wrapText="1"/>
    </xf>
    <xf numFmtId="0" fontId="1" fillId="0" borderId="67" xfId="0" applyFont="1" applyBorder="1" applyAlignment="1">
      <alignment horizontal="center" vertical="top" wrapText="1"/>
    </xf>
    <xf numFmtId="2" fontId="28" fillId="12" borderId="40" xfId="0" applyNumberFormat="1" applyFont="1" applyFill="1" applyBorder="1" applyAlignment="1">
      <alignment horizontal="center"/>
    </xf>
    <xf numFmtId="0" fontId="66" fillId="0" borderId="58" xfId="0" applyFont="1" applyBorder="1" applyAlignment="1">
      <alignment horizontal="center" vertical="center" wrapText="1"/>
    </xf>
    <xf numFmtId="0" fontId="66" fillId="0" borderId="70" xfId="0" applyFont="1" applyBorder="1" applyAlignment="1">
      <alignment horizontal="center" vertical="center" wrapText="1"/>
    </xf>
    <xf numFmtId="0" fontId="65" fillId="0" borderId="92" xfId="0" applyFont="1" applyBorder="1" applyAlignment="1">
      <alignment vertical="center" wrapText="1"/>
    </xf>
    <xf numFmtId="0" fontId="65" fillId="0" borderId="67" xfId="0" applyFont="1" applyBorder="1" applyAlignment="1">
      <alignment horizontal="center" vertical="center" wrapText="1"/>
    </xf>
    <xf numFmtId="2" fontId="0" fillId="12" borderId="0" xfId="0" applyNumberFormat="1" applyFill="1"/>
    <xf numFmtId="0" fontId="27" fillId="10" borderId="1" xfId="0" applyFont="1" applyFill="1" applyBorder="1"/>
    <xf numFmtId="1" fontId="28" fillId="0" borderId="1" xfId="0" applyNumberFormat="1" applyFont="1" applyBorder="1"/>
    <xf numFmtId="0" fontId="28" fillId="0" borderId="1" xfId="0" applyFont="1" applyBorder="1"/>
    <xf numFmtId="0" fontId="46" fillId="8" borderId="2" xfId="2" applyFont="1" applyFill="1" applyBorder="1" applyAlignment="1">
      <alignment horizontal="center" vertical="center"/>
    </xf>
    <xf numFmtId="0" fontId="32" fillId="8" borderId="2" xfId="2" applyFont="1" applyFill="1" applyBorder="1" applyAlignment="1">
      <alignment horizontal="center" vertical="center"/>
    </xf>
    <xf numFmtId="14" fontId="74" fillId="12" borderId="1" xfId="2" applyNumberFormat="1" applyFont="1" applyFill="1" applyBorder="1" applyAlignment="1">
      <alignment horizontal="center" vertical="center"/>
    </xf>
    <xf numFmtId="0" fontId="75" fillId="12" borderId="2" xfId="2" applyFont="1" applyFill="1" applyBorder="1" applyAlignment="1">
      <alignment horizontal="center" vertical="center"/>
    </xf>
    <xf numFmtId="165" fontId="76" fillId="0" borderId="143" xfId="6" applyNumberFormat="1" applyFont="1" applyBorder="1" applyAlignment="1">
      <alignment horizontal="center" wrapText="1"/>
    </xf>
    <xf numFmtId="165" fontId="56" fillId="0" borderId="1" xfId="2" applyNumberFormat="1" applyFont="1" applyBorder="1" applyAlignment="1">
      <alignment horizontal="center" vertical="center"/>
    </xf>
    <xf numFmtId="167" fontId="56" fillId="0" borderId="1" xfId="2" applyNumberFormat="1" applyFont="1" applyBorder="1" applyAlignment="1">
      <alignment horizontal="center" vertical="center"/>
    </xf>
    <xf numFmtId="2" fontId="76" fillId="0" borderId="143" xfId="6" applyNumberFormat="1" applyFont="1" applyBorder="1" applyAlignment="1">
      <alignment horizontal="center" wrapText="1"/>
    </xf>
    <xf numFmtId="0" fontId="6" fillId="48" borderId="3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77" fillId="49" borderId="3" xfId="0" applyNumberFormat="1" applyFont="1" applyFill="1" applyBorder="1" applyAlignment="1">
      <alignment horizontal="center"/>
    </xf>
    <xf numFmtId="2" fontId="6" fillId="53" borderId="3" xfId="0" applyNumberFormat="1" applyFont="1" applyFill="1" applyBorder="1" applyAlignment="1">
      <alignment horizontal="center"/>
    </xf>
    <xf numFmtId="2" fontId="0" fillId="6" borderId="3" xfId="0" applyNumberFormat="1" applyFill="1" applyBorder="1" applyAlignment="1">
      <alignment horizontal="center"/>
    </xf>
    <xf numFmtId="0" fontId="78" fillId="12" borderId="145" xfId="0" applyFont="1" applyFill="1" applyBorder="1" applyAlignment="1">
      <alignment horizontal="center" vertical="center"/>
    </xf>
    <xf numFmtId="14" fontId="78" fillId="12" borderId="145" xfId="0" applyNumberFormat="1" applyFont="1" applyFill="1" applyBorder="1" applyAlignment="1">
      <alignment horizontal="center" vertical="center"/>
    </xf>
    <xf numFmtId="165" fontId="78" fillId="12" borderId="145" xfId="0" applyNumberFormat="1" applyFont="1" applyFill="1" applyBorder="1" applyAlignment="1">
      <alignment horizontal="center" vertical="center"/>
    </xf>
    <xf numFmtId="165" fontId="39" fillId="12" borderId="145" xfId="0" applyNumberFormat="1" applyFont="1" applyFill="1" applyBorder="1" applyAlignment="1">
      <alignment horizontal="center" vertical="center"/>
    </xf>
    <xf numFmtId="0" fontId="39" fillId="49" borderId="146" xfId="0" applyFont="1" applyFill="1" applyBorder="1" applyAlignment="1">
      <alignment horizontal="center" vertical="center" textRotation="90"/>
    </xf>
    <xf numFmtId="0" fontId="39" fillId="49" borderId="0" xfId="0" applyFont="1" applyFill="1" applyAlignment="1">
      <alignment horizontal="center" vertical="center"/>
    </xf>
    <xf numFmtId="165" fontId="39" fillId="49" borderId="147" xfId="0" applyNumberFormat="1" applyFont="1" applyFill="1" applyBorder="1" applyAlignment="1">
      <alignment horizontal="center" vertical="center"/>
    </xf>
    <xf numFmtId="0" fontId="78" fillId="12" borderId="144" xfId="0" applyFont="1" applyFill="1" applyBorder="1" applyAlignment="1">
      <alignment horizontal="center" vertical="center"/>
    </xf>
    <xf numFmtId="0" fontId="78" fillId="12" borderId="10" xfId="0" applyFont="1" applyFill="1" applyBorder="1" applyAlignment="1">
      <alignment horizontal="center" vertical="center"/>
    </xf>
    <xf numFmtId="0" fontId="39" fillId="49" borderId="147" xfId="0" applyFont="1" applyFill="1" applyBorder="1" applyAlignment="1">
      <alignment horizontal="center" vertical="center"/>
    </xf>
    <xf numFmtId="0" fontId="78" fillId="12" borderId="2" xfId="0" applyFont="1" applyFill="1" applyBorder="1" applyAlignment="1">
      <alignment horizontal="center" vertical="center"/>
    </xf>
    <xf numFmtId="0" fontId="78" fillId="49" borderId="25" xfId="0" applyFont="1" applyFill="1" applyBorder="1" applyAlignment="1">
      <alignment horizontal="center" vertical="center" wrapText="1"/>
    </xf>
    <xf numFmtId="0" fontId="78" fillId="49" borderId="2" xfId="0" applyFont="1" applyFill="1" applyBorder="1" applyAlignment="1">
      <alignment horizontal="center" vertical="center"/>
    </xf>
    <xf numFmtId="165" fontId="39" fillId="49" borderId="26" xfId="0" applyNumberFormat="1" applyFont="1" applyFill="1" applyBorder="1" applyAlignment="1">
      <alignment horizontal="center" vertical="center"/>
    </xf>
    <xf numFmtId="0" fontId="78" fillId="27" borderId="10" xfId="0" applyFont="1" applyFill="1" applyBorder="1" applyAlignment="1">
      <alignment horizontal="center" vertical="center"/>
    </xf>
    <xf numFmtId="165" fontId="39" fillId="27" borderId="0" xfId="0" applyNumberFormat="1" applyFont="1" applyFill="1" applyAlignment="1">
      <alignment horizontal="center" vertical="center"/>
    </xf>
    <xf numFmtId="0" fontId="78" fillId="27" borderId="2" xfId="0" applyFont="1" applyFill="1" applyBorder="1" applyAlignment="1">
      <alignment horizontal="center" vertical="center"/>
    </xf>
    <xf numFmtId="0" fontId="39" fillId="49" borderId="146" xfId="0" applyFont="1" applyFill="1" applyBorder="1" applyAlignment="1">
      <alignment horizontal="center" vertical="center"/>
    </xf>
    <xf numFmtId="165" fontId="39" fillId="12" borderId="0" xfId="0" applyNumberFormat="1" applyFont="1" applyFill="1" applyAlignment="1">
      <alignment horizontal="center" vertical="center"/>
    </xf>
    <xf numFmtId="0" fontId="78" fillId="27" borderId="0" xfId="0" applyFont="1" applyFill="1" applyAlignment="1">
      <alignment horizontal="center" vertical="center"/>
    </xf>
    <xf numFmtId="165" fontId="78" fillId="27" borderId="0" xfId="0" applyNumberFormat="1" applyFont="1" applyFill="1" applyAlignment="1">
      <alignment horizontal="center" vertical="center"/>
    </xf>
    <xf numFmtId="0" fontId="78" fillId="6" borderId="10" xfId="0" applyFont="1" applyFill="1" applyBorder="1" applyAlignment="1">
      <alignment horizontal="center" vertical="center"/>
    </xf>
    <xf numFmtId="165" fontId="78" fillId="6" borderId="0" xfId="0" applyNumberFormat="1" applyFont="1" applyFill="1" applyAlignment="1">
      <alignment horizontal="center" vertical="center"/>
    </xf>
    <xf numFmtId="165" fontId="39" fillId="12" borderId="0" xfId="7" applyNumberFormat="1" applyFont="1" applyFill="1" applyBorder="1" applyAlignment="1">
      <alignment horizontal="center" vertical="center"/>
    </xf>
    <xf numFmtId="0" fontId="39" fillId="49" borderId="145" xfId="0" applyFont="1" applyFill="1" applyBorder="1" applyAlignment="1">
      <alignment horizontal="center" vertical="center"/>
    </xf>
    <xf numFmtId="0" fontId="78" fillId="12" borderId="0" xfId="0" applyFont="1" applyFill="1" applyAlignment="1">
      <alignment horizontal="center" vertical="center"/>
    </xf>
    <xf numFmtId="0" fontId="78" fillId="5" borderId="10" xfId="0" applyFont="1" applyFill="1" applyBorder="1" applyAlignment="1">
      <alignment horizontal="center" vertical="center"/>
    </xf>
    <xf numFmtId="165" fontId="78" fillId="5" borderId="0" xfId="0" applyNumberFormat="1" applyFont="1" applyFill="1" applyAlignment="1">
      <alignment horizontal="center" vertical="center"/>
    </xf>
    <xf numFmtId="0" fontId="39" fillId="12" borderId="0" xfId="0" applyFont="1" applyFill="1" applyAlignment="1">
      <alignment horizontal="center" vertical="center"/>
    </xf>
    <xf numFmtId="0" fontId="39" fillId="12" borderId="146" xfId="0" applyFont="1" applyFill="1" applyBorder="1" applyAlignment="1">
      <alignment horizontal="center" vertical="center"/>
    </xf>
    <xf numFmtId="0" fontId="39" fillId="12" borderId="147" xfId="0" applyFont="1" applyFill="1" applyBorder="1" applyAlignment="1">
      <alignment horizontal="center" vertical="center"/>
    </xf>
    <xf numFmtId="0" fontId="78" fillId="6" borderId="0" xfId="0" applyFont="1" applyFill="1" applyAlignment="1">
      <alignment horizontal="center" vertical="center"/>
    </xf>
    <xf numFmtId="0" fontId="39" fillId="49" borderId="148" xfId="0" applyFont="1" applyFill="1" applyBorder="1" applyAlignment="1">
      <alignment horizontal="center" vertical="center"/>
    </xf>
    <xf numFmtId="0" fontId="78" fillId="7" borderId="38" xfId="0" applyFont="1" applyFill="1" applyBorder="1" applyAlignment="1">
      <alignment horizontal="center" vertical="center"/>
    </xf>
    <xf numFmtId="165" fontId="39" fillId="7" borderId="0" xfId="0" applyNumberFormat="1" applyFont="1" applyFill="1" applyAlignment="1">
      <alignment horizontal="center" vertical="center"/>
    </xf>
    <xf numFmtId="0" fontId="79" fillId="8" borderId="2" xfId="0" applyFont="1" applyFill="1" applyBorder="1" applyAlignment="1">
      <alignment horizontal="center" vertical="center"/>
    </xf>
    <xf numFmtId="165" fontId="80" fillId="8" borderId="0" xfId="0" applyNumberFormat="1" applyFont="1" applyFill="1" applyAlignment="1">
      <alignment horizontal="center" vertical="center"/>
    </xf>
    <xf numFmtId="0" fontId="78" fillId="44" borderId="10" xfId="0" applyFont="1" applyFill="1" applyBorder="1" applyAlignment="1">
      <alignment horizontal="center" vertical="center"/>
    </xf>
    <xf numFmtId="165" fontId="78" fillId="44" borderId="0" xfId="0" applyNumberFormat="1" applyFont="1" applyFill="1" applyAlignment="1">
      <alignment horizontal="center" vertical="center"/>
    </xf>
    <xf numFmtId="2" fontId="78" fillId="44" borderId="0" xfId="0" applyNumberFormat="1" applyFont="1" applyFill="1" applyAlignment="1">
      <alignment horizontal="center" vertical="center"/>
    </xf>
    <xf numFmtId="0" fontId="78" fillId="12" borderId="37" xfId="0" applyFont="1" applyFill="1" applyBorder="1" applyAlignment="1">
      <alignment horizontal="center" vertical="center"/>
    </xf>
    <xf numFmtId="2" fontId="39" fillId="12" borderId="0" xfId="0" applyNumberFormat="1" applyFont="1" applyFill="1" applyAlignment="1">
      <alignment horizontal="center" vertical="center"/>
    </xf>
    <xf numFmtId="0" fontId="39" fillId="12" borderId="144" xfId="0" applyFont="1" applyFill="1" applyBorder="1" applyAlignment="1">
      <alignment horizontal="center" vertical="center"/>
    </xf>
    <xf numFmtId="0" fontId="39" fillId="12" borderId="10" xfId="0" applyFont="1" applyFill="1" applyBorder="1" applyAlignment="1">
      <alignment horizontal="center" vertical="center"/>
    </xf>
    <xf numFmtId="0" fontId="39" fillId="12" borderId="2" xfId="0" applyFont="1" applyFill="1" applyBorder="1" applyAlignment="1">
      <alignment horizontal="center" vertical="center" wrapText="1"/>
    </xf>
    <xf numFmtId="0" fontId="39" fillId="12" borderId="144" xfId="0" applyFont="1" applyFill="1" applyBorder="1" applyAlignment="1">
      <alignment horizontal="center" vertical="center" wrapText="1"/>
    </xf>
    <xf numFmtId="0" fontId="39" fillId="12" borderId="2" xfId="0" applyFont="1" applyFill="1" applyBorder="1" applyAlignment="1">
      <alignment horizontal="center" vertical="center"/>
    </xf>
    <xf numFmtId="165" fontId="39" fillId="1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6" fillId="48" borderId="93" xfId="0" applyFont="1" applyFill="1" applyBorder="1" applyAlignment="1">
      <alignment horizontal="center"/>
    </xf>
    <xf numFmtId="165" fontId="5" fillId="63" borderId="151" xfId="0" applyNumberFormat="1" applyFont="1" applyFill="1" applyBorder="1" applyAlignment="1">
      <alignment horizontal="center"/>
    </xf>
    <xf numFmtId="14" fontId="0" fillId="0" borderId="154" xfId="0" applyNumberFormat="1" applyBorder="1" applyAlignment="1">
      <alignment horizontal="center"/>
    </xf>
    <xf numFmtId="2" fontId="0" fillId="0" borderId="157" xfId="0" applyNumberFormat="1" applyBorder="1" applyAlignment="1">
      <alignment horizontal="center"/>
    </xf>
    <xf numFmtId="2" fontId="5" fillId="49" borderId="157" xfId="0" applyNumberFormat="1" applyFont="1" applyFill="1" applyBorder="1" applyAlignment="1">
      <alignment horizontal="center"/>
    </xf>
    <xf numFmtId="2" fontId="6" fillId="53" borderId="157" xfId="0" applyNumberFormat="1" applyFont="1" applyFill="1" applyBorder="1" applyAlignment="1">
      <alignment horizontal="center"/>
    </xf>
    <xf numFmtId="2" fontId="6" fillId="12" borderId="157" xfId="0" applyNumberFormat="1" applyFont="1" applyFill="1" applyBorder="1" applyAlignment="1">
      <alignment horizontal="center"/>
    </xf>
    <xf numFmtId="2" fontId="0" fillId="7" borderId="157" xfId="0" applyNumberFormat="1" applyFill="1" applyBorder="1" applyAlignment="1">
      <alignment horizontal="center"/>
    </xf>
    <xf numFmtId="2" fontId="0" fillId="6" borderId="157" xfId="0" applyNumberFormat="1" applyFill="1" applyBorder="1" applyAlignment="1">
      <alignment horizontal="center"/>
    </xf>
    <xf numFmtId="2" fontId="0" fillId="0" borderId="150" xfId="0" applyNumberFormat="1" applyBorder="1" applyAlignment="1">
      <alignment horizontal="center"/>
    </xf>
    <xf numFmtId="2" fontId="6" fillId="58" borderId="3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30" borderId="1" xfId="0" applyFont="1" applyFill="1" applyBorder="1" applyAlignment="1">
      <alignment horizontal="center"/>
    </xf>
    <xf numFmtId="14" fontId="7" fillId="30" borderId="1" xfId="0" applyNumberFormat="1" applyFont="1" applyFill="1" applyBorder="1" applyAlignment="1">
      <alignment horizontal="center"/>
    </xf>
    <xf numFmtId="0" fontId="7" fillId="30" borderId="1" xfId="0" applyFont="1" applyFill="1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7" fillId="30" borderId="1" xfId="0" applyFont="1" applyFill="1" applyBorder="1"/>
    <xf numFmtId="0" fontId="0" fillId="0" borderId="58" xfId="0" applyBorder="1" applyAlignment="1">
      <alignment horizontal="center"/>
    </xf>
    <xf numFmtId="2" fontId="28" fillId="12" borderId="4" xfId="0" applyNumberFormat="1" applyFont="1" applyFill="1" applyBorder="1" applyAlignment="1">
      <alignment horizontal="center"/>
    </xf>
    <xf numFmtId="2" fontId="28" fillId="12" borderId="30" xfId="0" applyNumberFormat="1" applyFont="1" applyFill="1" applyBorder="1" applyAlignment="1">
      <alignment horizontal="center"/>
    </xf>
    <xf numFmtId="2" fontId="28" fillId="12" borderId="118" xfId="0" applyNumberFormat="1" applyFont="1" applyFill="1" applyBorder="1" applyAlignment="1">
      <alignment horizontal="center"/>
    </xf>
    <xf numFmtId="2" fontId="28" fillId="12" borderId="36" xfId="0" applyNumberFormat="1" applyFont="1" applyFill="1" applyBorder="1" applyAlignment="1">
      <alignment horizontal="center"/>
    </xf>
    <xf numFmtId="0" fontId="27" fillId="10" borderId="3" xfId="0" applyFont="1" applyFill="1" applyBorder="1" applyAlignment="1">
      <alignment horizontal="center"/>
    </xf>
    <xf numFmtId="0" fontId="27" fillId="10" borderId="13" xfId="0" applyFont="1" applyFill="1" applyBorder="1" applyAlignment="1">
      <alignment horizontal="center"/>
    </xf>
    <xf numFmtId="0" fontId="28" fillId="0" borderId="31" xfId="0" applyFont="1" applyBorder="1" applyAlignment="1">
      <alignment horizontal="center"/>
    </xf>
    <xf numFmtId="0" fontId="28" fillId="0" borderId="29" xfId="0" applyFont="1" applyBorder="1" applyAlignment="1">
      <alignment horizontal="center"/>
    </xf>
    <xf numFmtId="0" fontId="28" fillId="0" borderId="51" xfId="0" applyFont="1" applyBorder="1" applyAlignment="1">
      <alignment horizontal="center"/>
    </xf>
    <xf numFmtId="2" fontId="28" fillId="12" borderId="57" xfId="0" applyNumberFormat="1" applyFont="1" applyFill="1" applyBorder="1" applyAlignment="1">
      <alignment horizontal="center"/>
    </xf>
    <xf numFmtId="2" fontId="28" fillId="12" borderId="44" xfId="0" applyNumberFormat="1" applyFont="1" applyFill="1" applyBorder="1" applyAlignment="1">
      <alignment horizontal="center"/>
    </xf>
    <xf numFmtId="0" fontId="26" fillId="30" borderId="55" xfId="0" applyFont="1" applyFill="1" applyBorder="1" applyAlignment="1">
      <alignment horizontal="center"/>
    </xf>
    <xf numFmtId="0" fontId="26" fillId="30" borderId="117" xfId="0" applyFont="1" applyFill="1" applyBorder="1" applyAlignment="1">
      <alignment horizontal="center"/>
    </xf>
    <xf numFmtId="0" fontId="26" fillId="30" borderId="7" xfId="0" applyFont="1" applyFill="1" applyBorder="1" applyAlignment="1">
      <alignment horizontal="center"/>
    </xf>
    <xf numFmtId="0" fontId="26" fillId="30" borderId="12" xfId="0" applyFont="1" applyFill="1" applyBorder="1" applyAlignment="1">
      <alignment horizontal="center"/>
    </xf>
    <xf numFmtId="0" fontId="28" fillId="0" borderId="30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7" fillId="10" borderId="7" xfId="0" applyFont="1" applyFill="1" applyBorder="1" applyAlignment="1">
      <alignment horizontal="center"/>
    </xf>
    <xf numFmtId="0" fontId="27" fillId="12" borderId="14" xfId="0" applyFont="1" applyFill="1" applyBorder="1" applyAlignment="1">
      <alignment horizontal="center"/>
    </xf>
    <xf numFmtId="0" fontId="27" fillId="12" borderId="21" xfId="0" applyFont="1" applyFill="1" applyBorder="1" applyAlignment="1">
      <alignment horizontal="center"/>
    </xf>
    <xf numFmtId="0" fontId="28" fillId="0" borderId="57" xfId="0" applyFont="1" applyBorder="1" applyAlignment="1">
      <alignment horizontal="center"/>
    </xf>
    <xf numFmtId="0" fontId="28" fillId="0" borderId="56" xfId="0" applyFont="1" applyBorder="1" applyAlignment="1">
      <alignment horizontal="center"/>
    </xf>
    <xf numFmtId="0" fontId="28" fillId="0" borderId="44" xfId="0" applyFont="1" applyBorder="1" applyAlignment="1">
      <alignment horizontal="center"/>
    </xf>
    <xf numFmtId="0" fontId="27" fillId="10" borderId="19" xfId="0" applyFont="1" applyFill="1" applyBorder="1" applyAlignment="1">
      <alignment horizontal="center"/>
    </xf>
    <xf numFmtId="0" fontId="27" fillId="10" borderId="12" xfId="0" applyFont="1" applyFill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12" borderId="3" xfId="0" applyFont="1" applyFill="1" applyBorder="1" applyAlignment="1">
      <alignment horizontal="center"/>
    </xf>
    <xf numFmtId="0" fontId="27" fillId="19" borderId="3" xfId="0" applyFont="1" applyFill="1" applyBorder="1" applyAlignment="1">
      <alignment horizontal="center"/>
    </xf>
    <xf numFmtId="0" fontId="26" fillId="49" borderId="7" xfId="0" applyFont="1" applyFill="1" applyBorder="1" applyAlignment="1">
      <alignment horizontal="center"/>
    </xf>
    <xf numFmtId="0" fontId="26" fillId="49" borderId="19" xfId="0" applyFont="1" applyFill="1" applyBorder="1" applyAlignment="1">
      <alignment horizontal="center"/>
    </xf>
    <xf numFmtId="0" fontId="26" fillId="49" borderId="12" xfId="0" applyFont="1" applyFill="1" applyBorder="1" applyAlignment="1">
      <alignment horizontal="center"/>
    </xf>
    <xf numFmtId="0" fontId="28" fillId="0" borderId="21" xfId="0" applyFont="1" applyBorder="1" applyAlignment="1">
      <alignment vertical="top"/>
    </xf>
    <xf numFmtId="0" fontId="28" fillId="0" borderId="22" xfId="0" applyFont="1" applyBorder="1" applyAlignment="1">
      <alignment vertical="top"/>
    </xf>
    <xf numFmtId="0" fontId="28" fillId="0" borderId="50" xfId="0" applyFont="1" applyBorder="1" applyAlignment="1">
      <alignment vertical="top"/>
    </xf>
    <xf numFmtId="0" fontId="28" fillId="0" borderId="53" xfId="0" applyFont="1" applyBorder="1" applyAlignment="1">
      <alignment vertical="top"/>
    </xf>
    <xf numFmtId="0" fontId="28" fillId="0" borderId="26" xfId="0" applyFont="1" applyBorder="1" applyAlignment="1">
      <alignment vertical="top"/>
    </xf>
    <xf numFmtId="0" fontId="28" fillId="0" borderId="16" xfId="0" applyFont="1" applyBorder="1" applyAlignment="1">
      <alignment vertical="top"/>
    </xf>
    <xf numFmtId="0" fontId="28" fillId="0" borderId="52" xfId="0" applyFont="1" applyBorder="1" applyAlignment="1">
      <alignment vertical="top" wrapText="1"/>
    </xf>
    <xf numFmtId="0" fontId="28" fillId="0" borderId="24" xfId="0" applyFont="1" applyBorder="1" applyAlignment="1">
      <alignment vertical="top" wrapText="1"/>
    </xf>
    <xf numFmtId="0" fontId="28" fillId="0" borderId="40" xfId="0" applyFont="1" applyBorder="1" applyAlignment="1">
      <alignment vertical="top" wrapText="1"/>
    </xf>
    <xf numFmtId="0" fontId="28" fillId="0" borderId="53" xfId="0" applyFont="1" applyBorder="1" applyAlignment="1">
      <alignment vertical="top" wrapText="1"/>
    </xf>
    <xf numFmtId="0" fontId="28" fillId="0" borderId="26" xfId="0" applyFont="1" applyBorder="1" applyAlignment="1">
      <alignment vertical="top" wrapText="1"/>
    </xf>
    <xf numFmtId="0" fontId="28" fillId="0" borderId="16" xfId="0" applyFont="1" applyBorder="1" applyAlignment="1">
      <alignment vertical="top" wrapText="1"/>
    </xf>
    <xf numFmtId="0" fontId="28" fillId="0" borderId="52" xfId="0" applyFont="1" applyBorder="1" applyAlignment="1">
      <alignment vertical="top"/>
    </xf>
    <xf numFmtId="0" fontId="28" fillId="0" borderId="24" xfId="0" applyFont="1" applyBorder="1" applyAlignment="1">
      <alignment vertical="top"/>
    </xf>
    <xf numFmtId="0" fontId="28" fillId="0" borderId="40" xfId="0" applyFont="1" applyBorder="1" applyAlignment="1">
      <alignment vertical="top"/>
    </xf>
    <xf numFmtId="0" fontId="28" fillId="0" borderId="28" xfId="0" applyFont="1" applyBorder="1" applyAlignment="1">
      <alignment vertical="top"/>
    </xf>
    <xf numFmtId="0" fontId="28" fillId="0" borderId="0" xfId="0" applyFont="1" applyAlignment="1">
      <alignment vertical="top"/>
    </xf>
    <xf numFmtId="0" fontId="28" fillId="0" borderId="38" xfId="0" applyFont="1" applyBorder="1" applyAlignment="1">
      <alignment vertical="top"/>
    </xf>
    <xf numFmtId="0" fontId="27" fillId="0" borderId="54" xfId="0" applyFont="1" applyBorder="1" applyAlignment="1">
      <alignment horizontal="center"/>
    </xf>
    <xf numFmtId="0" fontId="28" fillId="0" borderId="52" xfId="0" applyFont="1" applyBorder="1" applyAlignment="1">
      <alignment horizontal="left" vertical="top"/>
    </xf>
    <xf numFmtId="0" fontId="28" fillId="0" borderId="24" xfId="0" applyFont="1" applyBorder="1" applyAlignment="1">
      <alignment horizontal="left" vertical="top"/>
    </xf>
    <xf numFmtId="0" fontId="28" fillId="0" borderId="40" xfId="0" applyFont="1" applyBorder="1" applyAlignment="1">
      <alignment horizontal="left" vertical="top"/>
    </xf>
    <xf numFmtId="0" fontId="28" fillId="0" borderId="53" xfId="0" applyFont="1" applyBorder="1" applyAlignment="1">
      <alignment horizontal="left" vertical="top"/>
    </xf>
    <xf numFmtId="0" fontId="28" fillId="0" borderId="26" xfId="0" applyFont="1" applyBorder="1" applyAlignment="1">
      <alignment horizontal="left" vertical="top"/>
    </xf>
    <xf numFmtId="0" fontId="28" fillId="0" borderId="16" xfId="0" applyFont="1" applyBorder="1" applyAlignment="1">
      <alignment horizontal="left" vertical="top"/>
    </xf>
    <xf numFmtId="0" fontId="27" fillId="40" borderId="21" xfId="0" applyFont="1" applyFill="1" applyBorder="1" applyAlignment="1">
      <alignment horizontal="center" vertical="center"/>
    </xf>
    <xf numFmtId="0" fontId="27" fillId="40" borderId="22" xfId="0" applyFont="1" applyFill="1" applyBorder="1" applyAlignment="1">
      <alignment horizontal="center" vertical="center"/>
    </xf>
    <xf numFmtId="0" fontId="27" fillId="40" borderId="15" xfId="0" applyFont="1" applyFill="1" applyBorder="1" applyAlignment="1">
      <alignment horizontal="center" vertical="center"/>
    </xf>
    <xf numFmtId="0" fontId="27" fillId="40" borderId="23" xfId="0" applyFont="1" applyFill="1" applyBorder="1" applyAlignment="1">
      <alignment horizontal="center" vertical="center"/>
    </xf>
    <xf numFmtId="0" fontId="27" fillId="40" borderId="20" xfId="0" applyFont="1" applyFill="1" applyBorder="1" applyAlignment="1">
      <alignment horizontal="center" vertical="center"/>
    </xf>
    <xf numFmtId="0" fontId="27" fillId="40" borderId="18" xfId="0" applyFont="1" applyFill="1" applyBorder="1" applyAlignment="1">
      <alignment horizontal="center" vertical="center"/>
    </xf>
    <xf numFmtId="0" fontId="28" fillId="0" borderId="21" xfId="0" applyFont="1" applyBorder="1" applyAlignment="1">
      <alignment horizontal="center"/>
    </xf>
    <xf numFmtId="0" fontId="28" fillId="0" borderId="22" xfId="0" applyFont="1" applyBorder="1" applyAlignment="1">
      <alignment horizontal="center"/>
    </xf>
    <xf numFmtId="0" fontId="28" fillId="0" borderId="50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8" fillId="0" borderId="20" xfId="0" applyFont="1" applyBorder="1" applyAlignment="1">
      <alignment horizontal="center"/>
    </xf>
    <xf numFmtId="0" fontId="28" fillId="0" borderId="89" xfId="0" applyFont="1" applyBorder="1" applyAlignment="1">
      <alignment horizontal="center"/>
    </xf>
    <xf numFmtId="0" fontId="27" fillId="58" borderId="19" xfId="0" applyFont="1" applyFill="1" applyBorder="1" applyAlignment="1">
      <alignment horizontal="center"/>
    </xf>
    <xf numFmtId="0" fontId="27" fillId="58" borderId="12" xfId="0" applyFont="1" applyFill="1" applyBorder="1" applyAlignment="1">
      <alignment horizontal="center"/>
    </xf>
    <xf numFmtId="1" fontId="28" fillId="0" borderId="57" xfId="0" applyNumberFormat="1" applyFont="1" applyBorder="1" applyAlignment="1">
      <alignment horizontal="center"/>
    </xf>
    <xf numFmtId="1" fontId="28" fillId="0" borderId="44" xfId="0" applyNumberFormat="1" applyFont="1" applyBorder="1" applyAlignment="1">
      <alignment horizontal="center"/>
    </xf>
    <xf numFmtId="0" fontId="28" fillId="0" borderId="115" xfId="0" applyFont="1" applyBorder="1" applyAlignment="1">
      <alignment horizontal="center"/>
    </xf>
    <xf numFmtId="0" fontId="28" fillId="0" borderId="116" xfId="0" applyFont="1" applyBorder="1" applyAlignment="1">
      <alignment horizontal="center"/>
    </xf>
    <xf numFmtId="0" fontId="28" fillId="0" borderId="54" xfId="0" applyFont="1" applyBorder="1" applyAlignment="1">
      <alignment horizontal="center"/>
    </xf>
    <xf numFmtId="0" fontId="27" fillId="20" borderId="4" xfId="0" applyFont="1" applyFill="1" applyBorder="1" applyAlignment="1">
      <alignment horizontal="center"/>
    </xf>
    <xf numFmtId="0" fontId="27" fillId="20" borderId="29" xfId="0" applyFont="1" applyFill="1" applyBorder="1" applyAlignment="1">
      <alignment horizontal="center"/>
    </xf>
    <xf numFmtId="0" fontId="27" fillId="20" borderId="30" xfId="0" applyFont="1" applyFill="1" applyBorder="1" applyAlignment="1">
      <alignment horizontal="center"/>
    </xf>
    <xf numFmtId="2" fontId="28" fillId="20" borderId="4" xfId="0" applyNumberFormat="1" applyFont="1" applyFill="1" applyBorder="1" applyAlignment="1">
      <alignment horizontal="center"/>
    </xf>
    <xf numFmtId="2" fontId="28" fillId="20" borderId="29" xfId="0" applyNumberFormat="1" applyFont="1" applyFill="1" applyBorder="1" applyAlignment="1">
      <alignment horizontal="center"/>
    </xf>
    <xf numFmtId="2" fontId="28" fillId="20" borderId="30" xfId="0" applyNumberFormat="1" applyFont="1" applyFill="1" applyBorder="1" applyAlignment="1">
      <alignment horizontal="center"/>
    </xf>
    <xf numFmtId="0" fontId="26" fillId="49" borderId="23" xfId="0" applyFont="1" applyFill="1" applyBorder="1" applyAlignment="1">
      <alignment horizontal="center"/>
    </xf>
    <xf numFmtId="0" fontId="26" fillId="49" borderId="20" xfId="0" applyFont="1" applyFill="1" applyBorder="1" applyAlignment="1">
      <alignment horizontal="center"/>
    </xf>
    <xf numFmtId="0" fontId="26" fillId="49" borderId="18" xfId="0" applyFont="1" applyFill="1" applyBorder="1" applyAlignment="1">
      <alignment horizontal="center"/>
    </xf>
    <xf numFmtId="0" fontId="27" fillId="58" borderId="7" xfId="0" applyFont="1" applyFill="1" applyBorder="1" applyAlignment="1">
      <alignment horizontal="center"/>
    </xf>
    <xf numFmtId="0" fontId="26" fillId="49" borderId="0" xfId="0" applyFont="1" applyFill="1" applyAlignment="1">
      <alignment horizontal="center"/>
    </xf>
    <xf numFmtId="0" fontId="26" fillId="49" borderId="22" xfId="0" applyFont="1" applyFill="1" applyBorder="1" applyAlignment="1">
      <alignment horizontal="center"/>
    </xf>
    <xf numFmtId="0" fontId="27" fillId="12" borderId="0" xfId="0" applyFont="1" applyFill="1" applyAlignment="1">
      <alignment horizontal="center"/>
    </xf>
    <xf numFmtId="0" fontId="28" fillId="12" borderId="0" xfId="0" applyFont="1" applyFill="1" applyAlignment="1">
      <alignment horizontal="center"/>
    </xf>
    <xf numFmtId="0" fontId="27" fillId="10" borderId="14" xfId="0" applyFont="1" applyFill="1" applyBorder="1" applyAlignment="1">
      <alignment horizontal="center"/>
    </xf>
    <xf numFmtId="0" fontId="27" fillId="10" borderId="21" xfId="0" applyFont="1" applyFill="1" applyBorder="1" applyAlignment="1">
      <alignment horizontal="center"/>
    </xf>
    <xf numFmtId="18" fontId="28" fillId="0" borderId="1" xfId="0" applyNumberFormat="1" applyFont="1" applyBorder="1" applyAlignment="1">
      <alignment horizontal="center"/>
    </xf>
    <xf numFmtId="0" fontId="27" fillId="10" borderId="1" xfId="0" applyFont="1" applyFill="1" applyBorder="1" applyAlignment="1">
      <alignment horizontal="center"/>
    </xf>
    <xf numFmtId="0" fontId="17" fillId="61" borderId="7" xfId="0" applyFont="1" applyFill="1" applyBorder="1" applyAlignment="1">
      <alignment horizontal="center"/>
    </xf>
    <xf numFmtId="0" fontId="17" fillId="61" borderId="19" xfId="0" applyFont="1" applyFill="1" applyBorder="1" applyAlignment="1">
      <alignment horizontal="center"/>
    </xf>
    <xf numFmtId="0" fontId="17" fillId="61" borderId="12" xfId="0" applyFont="1" applyFill="1" applyBorder="1" applyAlignment="1">
      <alignment horizontal="center"/>
    </xf>
    <xf numFmtId="0" fontId="26" fillId="49" borderId="3" xfId="0" applyFont="1" applyFill="1" applyBorder="1" applyAlignment="1">
      <alignment horizontal="center"/>
    </xf>
    <xf numFmtId="0" fontId="27" fillId="10" borderId="10" xfId="0" applyFont="1" applyFill="1" applyBorder="1" applyAlignment="1">
      <alignment horizontal="center"/>
    </xf>
    <xf numFmtId="0" fontId="27" fillId="10" borderId="11" xfId="0" applyFont="1" applyFill="1" applyBorder="1" applyAlignment="1">
      <alignment horizontal="center"/>
    </xf>
    <xf numFmtId="0" fontId="27" fillId="10" borderId="32" xfId="0" applyFont="1" applyFill="1" applyBorder="1" applyAlignment="1">
      <alignment horizontal="center"/>
    </xf>
    <xf numFmtId="0" fontId="27" fillId="10" borderId="33" xfId="0" applyFont="1" applyFill="1" applyBorder="1" applyAlignment="1">
      <alignment horizontal="center"/>
    </xf>
    <xf numFmtId="0" fontId="27" fillId="10" borderId="41" xfId="0" applyFont="1" applyFill="1" applyBorder="1" applyAlignment="1">
      <alignment horizontal="center"/>
    </xf>
    <xf numFmtId="0" fontId="27" fillId="10" borderId="42" xfId="0" applyFont="1" applyFill="1" applyBorder="1" applyAlignment="1">
      <alignment horizontal="center"/>
    </xf>
    <xf numFmtId="0" fontId="27" fillId="10" borderId="77" xfId="0" applyFont="1" applyFill="1" applyBorder="1" applyAlignment="1">
      <alignment horizontal="center"/>
    </xf>
    <xf numFmtId="0" fontId="27" fillId="10" borderId="83" xfId="0" applyFont="1" applyFill="1" applyBorder="1" applyAlignment="1">
      <alignment horizontal="center"/>
    </xf>
    <xf numFmtId="0" fontId="27" fillId="10" borderId="91" xfId="0" applyFont="1" applyFill="1" applyBorder="1" applyAlignment="1">
      <alignment horizontal="center"/>
    </xf>
    <xf numFmtId="0" fontId="27" fillId="10" borderId="23" xfId="0" applyFont="1" applyFill="1" applyBorder="1" applyAlignment="1">
      <alignment horizontal="center"/>
    </xf>
    <xf numFmtId="0" fontId="28" fillId="0" borderId="16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7" fillId="10" borderId="78" xfId="0" applyFont="1" applyFill="1" applyBorder="1" applyAlignment="1">
      <alignment horizontal="center"/>
    </xf>
    <xf numFmtId="0" fontId="27" fillId="10" borderId="68" xfId="0" applyFont="1" applyFill="1" applyBorder="1" applyAlignment="1">
      <alignment horizontal="center"/>
    </xf>
    <xf numFmtId="0" fontId="27" fillId="10" borderId="69" xfId="0" applyFont="1" applyFill="1" applyBorder="1" applyAlignment="1">
      <alignment horizontal="center"/>
    </xf>
    <xf numFmtId="0" fontId="27" fillId="10" borderId="70" xfId="0" applyFont="1" applyFill="1" applyBorder="1" applyAlignment="1">
      <alignment horizontal="center"/>
    </xf>
    <xf numFmtId="0" fontId="27" fillId="10" borderId="5" xfId="0" applyFont="1" applyFill="1" applyBorder="1" applyAlignment="1">
      <alignment horizontal="center"/>
    </xf>
    <xf numFmtId="0" fontId="27" fillId="10" borderId="9" xfId="0" applyFont="1" applyFill="1" applyBorder="1" applyAlignment="1">
      <alignment horizontal="center"/>
    </xf>
    <xf numFmtId="0" fontId="28" fillId="0" borderId="26" xfId="0" applyFont="1" applyBorder="1" applyAlignment="1">
      <alignment horizontal="center"/>
    </xf>
    <xf numFmtId="0" fontId="28" fillId="0" borderId="119" xfId="0" applyFont="1" applyBorder="1" applyAlignment="1">
      <alignment horizontal="center"/>
    </xf>
    <xf numFmtId="3" fontId="28" fillId="0" borderId="29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7" fillId="56" borderId="24" xfId="0" applyFont="1" applyFill="1" applyBorder="1" applyAlignment="1">
      <alignment horizontal="left" vertical="top"/>
    </xf>
    <xf numFmtId="0" fontId="0" fillId="56" borderId="24" xfId="0" applyFill="1" applyBorder="1" applyAlignment="1">
      <alignment horizontal="left" vertical="top"/>
    </xf>
    <xf numFmtId="0" fontId="0" fillId="56" borderId="40" xfId="0" applyFill="1" applyBorder="1" applyAlignment="1">
      <alignment horizontal="left" vertical="top"/>
    </xf>
    <xf numFmtId="0" fontId="0" fillId="56" borderId="0" xfId="0" applyFill="1" applyAlignment="1">
      <alignment horizontal="left" vertical="top"/>
    </xf>
    <xf numFmtId="0" fontId="0" fillId="56" borderId="38" xfId="0" applyFill="1" applyBorder="1" applyAlignment="1">
      <alignment horizontal="left" vertical="top"/>
    </xf>
    <xf numFmtId="0" fontId="0" fillId="56" borderId="20" xfId="0" applyFill="1" applyBorder="1" applyAlignment="1">
      <alignment horizontal="left" vertical="top"/>
    </xf>
    <xf numFmtId="0" fontId="0" fillId="56" borderId="89" xfId="0" applyFill="1" applyBorder="1" applyAlignment="1">
      <alignment horizontal="left" vertical="top"/>
    </xf>
    <xf numFmtId="14" fontId="28" fillId="0" borderId="31" xfId="0" applyNumberFormat="1" applyFont="1" applyBorder="1" applyAlignment="1">
      <alignment horizontal="center"/>
    </xf>
    <xf numFmtId="0" fontId="28" fillId="0" borderId="55" xfId="0" applyFont="1" applyBorder="1" applyAlignment="1">
      <alignment horizontal="center" wrapText="1"/>
    </xf>
    <xf numFmtId="0" fontId="28" fillId="0" borderId="56" xfId="0" applyFont="1" applyBorder="1" applyAlignment="1">
      <alignment horizontal="center" wrapText="1"/>
    </xf>
    <xf numFmtId="0" fontId="28" fillId="0" borderId="44" xfId="0" applyFont="1" applyBorder="1" applyAlignment="1">
      <alignment horizontal="center" wrapText="1"/>
    </xf>
    <xf numFmtId="0" fontId="27" fillId="10" borderId="35" xfId="0" applyFont="1" applyFill="1" applyBorder="1" applyAlignment="1">
      <alignment horizontal="center"/>
    </xf>
    <xf numFmtId="0" fontId="28" fillId="0" borderId="87" xfId="0" applyFont="1" applyBorder="1" applyAlignment="1">
      <alignment horizontal="center"/>
    </xf>
    <xf numFmtId="0" fontId="27" fillId="10" borderId="34" xfId="0" applyFont="1" applyFill="1" applyBorder="1" applyAlignment="1">
      <alignment horizontal="center"/>
    </xf>
    <xf numFmtId="0" fontId="27" fillId="10" borderId="100" xfId="0" applyFont="1" applyFill="1" applyBorder="1" applyAlignment="1">
      <alignment horizontal="center"/>
    </xf>
    <xf numFmtId="0" fontId="27" fillId="10" borderId="99" xfId="0" applyFont="1" applyFill="1" applyBorder="1" applyAlignment="1">
      <alignment horizontal="center"/>
    </xf>
    <xf numFmtId="0" fontId="27" fillId="10" borderId="37" xfId="0" applyFont="1" applyFill="1" applyBorder="1" applyAlignment="1">
      <alignment horizontal="center"/>
    </xf>
    <xf numFmtId="165" fontId="28" fillId="0" borderId="31" xfId="0" applyNumberFormat="1" applyFont="1" applyBorder="1" applyAlignment="1">
      <alignment horizontal="center"/>
    </xf>
    <xf numFmtId="165" fontId="28" fillId="0" borderId="29" xfId="0" applyNumberFormat="1" applyFont="1" applyBorder="1" applyAlignment="1">
      <alignment horizontal="center"/>
    </xf>
    <xf numFmtId="165" fontId="28" fillId="0" borderId="51" xfId="0" applyNumberFormat="1" applyFont="1" applyBorder="1" applyAlignment="1">
      <alignment horizontal="center"/>
    </xf>
    <xf numFmtId="0" fontId="27" fillId="10" borderId="15" xfId="0" applyFont="1" applyFill="1" applyBorder="1" applyAlignment="1">
      <alignment horizontal="center"/>
    </xf>
    <xf numFmtId="0" fontId="31" fillId="0" borderId="31" xfId="4" applyBorder="1" applyAlignment="1">
      <alignment horizontal="center"/>
    </xf>
    <xf numFmtId="0" fontId="28" fillId="12" borderId="87" xfId="0" applyFont="1" applyFill="1" applyBorder="1" applyAlignment="1">
      <alignment horizontal="center"/>
    </xf>
    <xf numFmtId="0" fontId="28" fillId="12" borderId="1" xfId="0" applyFont="1" applyFill="1" applyBorder="1" applyAlignment="1">
      <alignment horizontal="center"/>
    </xf>
    <xf numFmtId="0" fontId="27" fillId="10" borderId="76" xfId="0" applyFont="1" applyFill="1" applyBorder="1" applyAlignment="1">
      <alignment horizontal="center"/>
    </xf>
    <xf numFmtId="0" fontId="0" fillId="0" borderId="136" xfId="0" applyBorder="1" applyAlignment="1">
      <alignment horizontal="center"/>
    </xf>
    <xf numFmtId="0" fontId="0" fillId="0" borderId="63" xfId="0" applyBorder="1" applyAlignment="1">
      <alignment horizontal="center"/>
    </xf>
    <xf numFmtId="0" fontId="28" fillId="12" borderId="138" xfId="0" applyFont="1" applyFill="1" applyBorder="1" applyAlignment="1">
      <alignment horizontal="center"/>
    </xf>
    <xf numFmtId="0" fontId="28" fillId="12" borderId="6" xfId="0" applyFont="1" applyFill="1" applyBorder="1" applyAlignment="1">
      <alignment horizontal="center"/>
    </xf>
    <xf numFmtId="0" fontId="28" fillId="0" borderId="109" xfId="0" applyFont="1" applyBorder="1" applyAlignment="1">
      <alignment horizontal="center"/>
    </xf>
    <xf numFmtId="0" fontId="0" fillId="12" borderId="0" xfId="0" applyFill="1"/>
    <xf numFmtId="0" fontId="6" fillId="12" borderId="0" xfId="0" applyFont="1" applyFill="1" applyAlignment="1">
      <alignment horizontal="center"/>
    </xf>
    <xf numFmtId="0" fontId="27" fillId="10" borderId="28" xfId="0" applyFont="1" applyFill="1" applyBorder="1" applyAlignment="1">
      <alignment horizontal="center"/>
    </xf>
    <xf numFmtId="0" fontId="27" fillId="10" borderId="0" xfId="0" applyFont="1" applyFill="1" applyAlignment="1">
      <alignment horizontal="center"/>
    </xf>
    <xf numFmtId="0" fontId="27" fillId="10" borderId="17" xfId="0" applyFont="1" applyFill="1" applyBorder="1" applyAlignment="1">
      <alignment horizontal="center"/>
    </xf>
    <xf numFmtId="0" fontId="27" fillId="10" borderId="38" xfId="0" applyFont="1" applyFill="1" applyBorder="1" applyAlignment="1">
      <alignment horizontal="center"/>
    </xf>
    <xf numFmtId="0" fontId="28" fillId="0" borderId="27" xfId="0" applyFont="1" applyBorder="1" applyAlignment="1">
      <alignment horizontal="center" wrapText="1"/>
    </xf>
    <xf numFmtId="0" fontId="28" fillId="0" borderId="22" xfId="0" applyFont="1" applyBorder="1" applyAlignment="1">
      <alignment horizontal="center" wrapText="1"/>
    </xf>
    <xf numFmtId="0" fontId="28" fillId="0" borderId="50" xfId="0" applyFont="1" applyBorder="1" applyAlignment="1">
      <alignment horizontal="center" wrapText="1"/>
    </xf>
    <xf numFmtId="0" fontId="26" fillId="49" borderId="68" xfId="0" applyFont="1" applyFill="1" applyBorder="1" applyAlignment="1">
      <alignment horizontal="center"/>
    </xf>
    <xf numFmtId="0" fontId="26" fillId="49" borderId="69" xfId="0" applyFont="1" applyFill="1" applyBorder="1" applyAlignment="1">
      <alignment horizontal="center"/>
    </xf>
    <xf numFmtId="0" fontId="26" fillId="49" borderId="63" xfId="0" applyFont="1" applyFill="1" applyBorder="1" applyAlignment="1">
      <alignment horizontal="center"/>
    </xf>
    <xf numFmtId="0" fontId="26" fillId="49" borderId="64" xfId="0" applyFont="1" applyFill="1" applyBorder="1" applyAlignment="1">
      <alignment horizontal="center"/>
    </xf>
    <xf numFmtId="0" fontId="27" fillId="10" borderId="27" xfId="0" applyFont="1" applyFill="1" applyBorder="1" applyAlignment="1">
      <alignment horizontal="center"/>
    </xf>
    <xf numFmtId="0" fontId="28" fillId="0" borderId="52" xfId="0" applyFont="1" applyBorder="1" applyAlignment="1">
      <alignment horizontal="center" wrapText="1"/>
    </xf>
    <xf numFmtId="0" fontId="28" fillId="0" borderId="24" xfId="0" applyFont="1" applyBorder="1" applyAlignment="1">
      <alignment horizontal="center" wrapText="1"/>
    </xf>
    <xf numFmtId="0" fontId="28" fillId="0" borderId="54" xfId="0" applyFont="1" applyBorder="1" applyAlignment="1">
      <alignment horizontal="center" wrapText="1"/>
    </xf>
    <xf numFmtId="0" fontId="28" fillId="0" borderId="40" xfId="0" applyFont="1" applyBorder="1" applyAlignment="1">
      <alignment horizontal="center" wrapText="1"/>
    </xf>
    <xf numFmtId="0" fontId="27" fillId="10" borderId="43" xfId="0" applyFont="1" applyFill="1" applyBorder="1" applyAlignment="1">
      <alignment horizontal="center"/>
    </xf>
    <xf numFmtId="0" fontId="27" fillId="10" borderId="20" xfId="0" applyFont="1" applyFill="1" applyBorder="1" applyAlignment="1">
      <alignment horizontal="center"/>
    </xf>
    <xf numFmtId="0" fontId="27" fillId="10" borderId="18" xfId="0" applyFont="1" applyFill="1" applyBorder="1" applyAlignment="1">
      <alignment horizontal="center"/>
    </xf>
    <xf numFmtId="0" fontId="28" fillId="0" borderId="90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43" fillId="49" borderId="0" xfId="0" applyFont="1" applyFill="1" applyAlignment="1">
      <alignment horizontal="center"/>
    </xf>
    <xf numFmtId="0" fontId="15" fillId="1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26" fillId="8" borderId="0" xfId="0" applyFont="1" applyFill="1" applyAlignment="1">
      <alignment horizontal="center"/>
    </xf>
    <xf numFmtId="0" fontId="27" fillId="27" borderId="3" xfId="0" applyFont="1" applyFill="1" applyBorder="1" applyAlignment="1">
      <alignment horizontal="left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6" xfId="0" applyFont="1" applyBorder="1" applyAlignment="1" applyProtection="1">
      <alignment horizontal="center" vertical="center" wrapText="1"/>
      <protection locked="0"/>
    </xf>
    <xf numFmtId="0" fontId="28" fillId="0" borderId="2" xfId="0" applyFont="1" applyBorder="1" applyAlignment="1" applyProtection="1">
      <alignment horizontal="center" vertical="center" wrapText="1"/>
      <protection locked="0"/>
    </xf>
    <xf numFmtId="0" fontId="28" fillId="0" borderId="39" xfId="0" applyFont="1" applyBorder="1" applyAlignment="1">
      <alignment horizontal="center"/>
    </xf>
    <xf numFmtId="0" fontId="28" fillId="0" borderId="71" xfId="0" applyFont="1" applyBorder="1" applyAlignment="1">
      <alignment horizontal="left" vertical="center" wrapText="1"/>
    </xf>
    <xf numFmtId="0" fontId="38" fillId="2" borderId="59" xfId="0" applyFont="1" applyFill="1" applyBorder="1" applyAlignment="1">
      <alignment horizontal="center" vertical="top" textRotation="90" wrapText="1"/>
    </xf>
    <xf numFmtId="0" fontId="38" fillId="2" borderId="105" xfId="0" applyFont="1" applyFill="1" applyBorder="1" applyAlignment="1">
      <alignment horizontal="center" vertical="top" textRotation="90" wrapText="1"/>
    </xf>
    <xf numFmtId="0" fontId="38" fillId="2" borderId="92" xfId="0" applyFont="1" applyFill="1" applyBorder="1" applyAlignment="1">
      <alignment horizontal="center" vertical="top" textRotation="90" wrapText="1"/>
    </xf>
    <xf numFmtId="0" fontId="38" fillId="18" borderId="59" xfId="0" applyFont="1" applyFill="1" applyBorder="1" applyAlignment="1">
      <alignment horizontal="center" vertical="top" textRotation="90" wrapText="1"/>
    </xf>
    <xf numFmtId="0" fontId="38" fillId="18" borderId="105" xfId="0" applyFont="1" applyFill="1" applyBorder="1" applyAlignment="1">
      <alignment horizontal="center" vertical="top" textRotation="90" wrapText="1"/>
    </xf>
    <xf numFmtId="0" fontId="38" fillId="18" borderId="92" xfId="0" applyFont="1" applyFill="1" applyBorder="1" applyAlignment="1">
      <alignment horizontal="center" vertical="top" textRotation="90" wrapText="1"/>
    </xf>
    <xf numFmtId="0" fontId="2" fillId="45" borderId="0" xfId="0" applyFont="1" applyFill="1" applyAlignment="1">
      <alignment horizontal="center"/>
    </xf>
    <xf numFmtId="0" fontId="30" fillId="18" borderId="4" xfId="0" applyFont="1" applyFill="1" applyBorder="1" applyAlignment="1">
      <alignment horizontal="center" vertical="top"/>
    </xf>
    <xf numFmtId="0" fontId="30" fillId="18" borderId="29" xfId="0" applyFont="1" applyFill="1" applyBorder="1" applyAlignment="1">
      <alignment horizontal="center" vertical="top"/>
    </xf>
    <xf numFmtId="0" fontId="30" fillId="18" borderId="30" xfId="0" applyFont="1" applyFill="1" applyBorder="1" applyAlignment="1">
      <alignment horizontal="center" vertical="top"/>
    </xf>
    <xf numFmtId="0" fontId="30" fillId="2" borderId="4" xfId="0" applyFont="1" applyFill="1" applyBorder="1" applyAlignment="1">
      <alignment horizontal="center" vertical="top"/>
    </xf>
    <xf numFmtId="0" fontId="30" fillId="2" borderId="29" xfId="0" applyFont="1" applyFill="1" applyBorder="1" applyAlignment="1">
      <alignment horizontal="center" vertical="top"/>
    </xf>
    <xf numFmtId="0" fontId="30" fillId="2" borderId="30" xfId="0" applyFont="1" applyFill="1" applyBorder="1" applyAlignment="1">
      <alignment horizontal="center" vertical="top"/>
    </xf>
    <xf numFmtId="0" fontId="66" fillId="0" borderId="59" xfId="0" applyFont="1" applyBorder="1" applyAlignment="1">
      <alignment horizontal="center" vertical="top" wrapText="1"/>
    </xf>
    <xf numFmtId="0" fontId="66" fillId="0" borderId="92" xfId="0" applyFont="1" applyBorder="1" applyAlignment="1">
      <alignment horizontal="center" vertical="top" wrapText="1"/>
    </xf>
    <xf numFmtId="0" fontId="52" fillId="55" borderId="26" xfId="0" applyFont="1" applyFill="1" applyBorder="1" applyAlignment="1">
      <alignment horizontal="center"/>
    </xf>
    <xf numFmtId="0" fontId="33" fillId="0" borderId="129" xfId="0" applyFont="1" applyBorder="1" applyAlignment="1" applyProtection="1">
      <alignment horizontal="center"/>
      <protection hidden="1"/>
    </xf>
    <xf numFmtId="0" fontId="33" fillId="0" borderId="121" xfId="0" applyFont="1" applyBorder="1" applyAlignment="1" applyProtection="1">
      <alignment horizontal="center"/>
      <protection hidden="1"/>
    </xf>
    <xf numFmtId="0" fontId="19" fillId="0" borderId="120" xfId="0" applyFont="1" applyBorder="1" applyAlignment="1" applyProtection="1">
      <alignment horizontal="center" vertical="center" textRotation="90"/>
      <protection hidden="1"/>
    </xf>
    <xf numFmtId="0" fontId="19" fillId="0" borderId="121" xfId="0" applyFont="1" applyBorder="1" applyAlignment="1" applyProtection="1">
      <alignment horizontal="center" vertical="center" textRotation="90"/>
      <protection hidden="1"/>
    </xf>
    <xf numFmtId="0" fontId="19" fillId="0" borderId="122" xfId="0" applyFont="1" applyBorder="1" applyAlignment="1" applyProtection="1">
      <alignment horizontal="center" vertical="center" textRotation="90"/>
      <protection hidden="1"/>
    </xf>
    <xf numFmtId="0" fontId="33" fillId="0" borderId="128" xfId="0" applyFont="1" applyBorder="1" applyAlignment="1" applyProtection="1">
      <alignment horizontal="center"/>
      <protection hidden="1"/>
    </xf>
    <xf numFmtId="0" fontId="33" fillId="0" borderId="120" xfId="0" applyFont="1" applyBorder="1" applyAlignment="1" applyProtection="1">
      <alignment horizontal="center"/>
      <protection hidden="1"/>
    </xf>
    <xf numFmtId="0" fontId="33" fillId="0" borderId="38" xfId="0" applyFont="1" applyBorder="1" applyAlignment="1" applyProtection="1">
      <alignment horizontal="center"/>
      <protection hidden="1"/>
    </xf>
    <xf numFmtId="0" fontId="33" fillId="0" borderId="130" xfId="0" applyFont="1" applyBorder="1" applyAlignment="1" applyProtection="1">
      <alignment horizontal="center"/>
      <protection hidden="1"/>
    </xf>
    <xf numFmtId="0" fontId="33" fillId="0" borderId="122" xfId="0" applyFont="1" applyBorder="1" applyAlignment="1" applyProtection="1">
      <alignment horizontal="center"/>
      <protection hidden="1"/>
    </xf>
    <xf numFmtId="0" fontId="33" fillId="0" borderId="135" xfId="0" applyFont="1" applyBorder="1" applyAlignment="1" applyProtection="1">
      <alignment horizontal="center"/>
      <protection hidden="1"/>
    </xf>
    <xf numFmtId="0" fontId="33" fillId="0" borderId="134" xfId="0" applyFont="1" applyBorder="1" applyAlignment="1" applyProtection="1">
      <alignment horizontal="center"/>
      <protection hidden="1"/>
    </xf>
    <xf numFmtId="0" fontId="5" fillId="17" borderId="61" xfId="0" applyFont="1" applyFill="1" applyBorder="1" applyAlignment="1">
      <alignment horizontal="center" vertical="center" wrapText="1"/>
    </xf>
    <xf numFmtId="0" fontId="5" fillId="17" borderId="0" xfId="0" applyFont="1" applyFill="1" applyAlignment="1">
      <alignment horizontal="center" vertical="center" wrapText="1"/>
    </xf>
    <xf numFmtId="0" fontId="5" fillId="17" borderId="65" xfId="0" applyFont="1" applyFill="1" applyBorder="1" applyAlignment="1">
      <alignment horizontal="center" vertical="center" wrapText="1"/>
    </xf>
    <xf numFmtId="0" fontId="5" fillId="17" borderId="62" xfId="0" applyFont="1" applyFill="1" applyBorder="1" applyAlignment="1">
      <alignment horizontal="center" vertical="center" wrapText="1"/>
    </xf>
    <xf numFmtId="0" fontId="5" fillId="17" borderId="66" xfId="0" applyFont="1" applyFill="1" applyBorder="1" applyAlignment="1">
      <alignment horizontal="center" vertical="center" wrapText="1"/>
    </xf>
    <xf numFmtId="0" fontId="5" fillId="17" borderId="67" xfId="0" applyFont="1" applyFill="1" applyBorder="1" applyAlignment="1">
      <alignment horizontal="center" vertical="center" wrapText="1"/>
    </xf>
    <xf numFmtId="0" fontId="6" fillId="26" borderId="61" xfId="0" applyFont="1" applyFill="1" applyBorder="1" applyAlignment="1">
      <alignment horizontal="center" vertical="center"/>
    </xf>
    <xf numFmtId="0" fontId="6" fillId="26" borderId="0" xfId="0" applyFont="1" applyFill="1" applyAlignment="1">
      <alignment horizontal="center" vertical="center"/>
    </xf>
    <xf numFmtId="0" fontId="19" fillId="0" borderId="127" xfId="0" applyFont="1" applyBorder="1" applyAlignment="1" applyProtection="1">
      <alignment horizontal="center"/>
      <protection hidden="1"/>
    </xf>
    <xf numFmtId="0" fontId="19" fillId="0" borderId="132" xfId="0" applyFont="1" applyBorder="1" applyAlignment="1" applyProtection="1">
      <alignment horizontal="center"/>
      <protection hidden="1"/>
    </xf>
    <xf numFmtId="0" fontId="42" fillId="49" borderId="60" xfId="0" applyFont="1" applyFill="1" applyBorder="1" applyAlignment="1">
      <alignment horizontal="center"/>
    </xf>
    <xf numFmtId="0" fontId="42" fillId="49" borderId="63" xfId="0" applyFont="1" applyFill="1" applyBorder="1" applyAlignment="1">
      <alignment horizontal="center"/>
    </xf>
    <xf numFmtId="0" fontId="42" fillId="49" borderId="64" xfId="0" applyFont="1" applyFill="1" applyBorder="1" applyAlignment="1">
      <alignment horizontal="center"/>
    </xf>
    <xf numFmtId="0" fontId="42" fillId="49" borderId="61" xfId="0" applyFont="1" applyFill="1" applyBorder="1" applyAlignment="1">
      <alignment horizontal="center"/>
    </xf>
    <xf numFmtId="0" fontId="42" fillId="49" borderId="0" xfId="0" applyFont="1" applyFill="1" applyAlignment="1">
      <alignment horizontal="center"/>
    </xf>
    <xf numFmtId="0" fontId="42" fillId="49" borderId="65" xfId="0" applyFont="1" applyFill="1" applyBorder="1" applyAlignment="1">
      <alignment horizontal="center"/>
    </xf>
    <xf numFmtId="0" fontId="42" fillId="49" borderId="66" xfId="0" applyFont="1" applyFill="1" applyBorder="1" applyAlignment="1">
      <alignment horizontal="center"/>
    </xf>
    <xf numFmtId="0" fontId="42" fillId="49" borderId="67" xfId="0" applyFont="1" applyFill="1" applyBorder="1" applyAlignment="1">
      <alignment horizontal="center"/>
    </xf>
    <xf numFmtId="0" fontId="42" fillId="61" borderId="60" xfId="0" applyFont="1" applyFill="1" applyBorder="1" applyAlignment="1">
      <alignment horizontal="center"/>
    </xf>
    <xf numFmtId="0" fontId="42" fillId="61" borderId="63" xfId="0" applyFont="1" applyFill="1" applyBorder="1" applyAlignment="1">
      <alignment horizontal="center"/>
    </xf>
    <xf numFmtId="0" fontId="42" fillId="61" borderId="64" xfId="0" applyFont="1" applyFill="1" applyBorder="1" applyAlignment="1">
      <alignment horizontal="center"/>
    </xf>
    <xf numFmtId="0" fontId="42" fillId="61" borderId="61" xfId="0" applyFont="1" applyFill="1" applyBorder="1" applyAlignment="1">
      <alignment horizontal="center"/>
    </xf>
    <xf numFmtId="0" fontId="42" fillId="61" borderId="0" xfId="0" applyFont="1" applyFill="1" applyAlignment="1">
      <alignment horizontal="center"/>
    </xf>
    <xf numFmtId="0" fontId="42" fillId="61" borderId="65" xfId="0" applyFont="1" applyFill="1" applyBorder="1" applyAlignment="1">
      <alignment horizontal="center"/>
    </xf>
    <xf numFmtId="0" fontId="42" fillId="61" borderId="66" xfId="0" applyFont="1" applyFill="1" applyBorder="1" applyAlignment="1">
      <alignment horizontal="center"/>
    </xf>
    <xf numFmtId="0" fontId="42" fillId="61" borderId="67" xfId="0" applyFont="1" applyFill="1" applyBorder="1" applyAlignment="1">
      <alignment horizontal="center"/>
    </xf>
    <xf numFmtId="0" fontId="48" fillId="50" borderId="0" xfId="0" applyFont="1" applyFill="1" applyAlignment="1">
      <alignment horizontal="center" vertical="center"/>
    </xf>
    <xf numFmtId="0" fontId="51" fillId="37" borderId="0" xfId="0" applyFont="1" applyFill="1" applyAlignment="1" applyProtection="1">
      <alignment horizontal="center" vertical="center" wrapText="1"/>
      <protection hidden="1"/>
    </xf>
    <xf numFmtId="0" fontId="51" fillId="37" borderId="38" xfId="0" applyFont="1" applyFill="1" applyBorder="1" applyAlignment="1" applyProtection="1">
      <alignment horizontal="center" vertical="center" wrapText="1"/>
      <protection hidden="1"/>
    </xf>
    <xf numFmtId="0" fontId="50" fillId="0" borderId="127" xfId="0" applyFont="1" applyBorder="1" applyAlignment="1" applyProtection="1">
      <alignment horizontal="center"/>
      <protection hidden="1"/>
    </xf>
    <xf numFmtId="0" fontId="50" fillId="0" borderId="131" xfId="0" applyFont="1" applyBorder="1" applyAlignment="1" applyProtection="1">
      <alignment horizontal="center"/>
      <protection hidden="1"/>
    </xf>
    <xf numFmtId="0" fontId="50" fillId="0" borderId="133" xfId="0" applyFont="1" applyBorder="1" applyAlignment="1" applyProtection="1">
      <alignment horizontal="center"/>
      <protection hidden="1"/>
    </xf>
    <xf numFmtId="0" fontId="19" fillId="0" borderId="133" xfId="0" applyFont="1" applyBorder="1" applyAlignment="1" applyProtection="1">
      <alignment horizontal="center"/>
      <protection hidden="1"/>
    </xf>
    <xf numFmtId="14" fontId="78" fillId="12" borderId="146" xfId="0" applyNumberFormat="1" applyFont="1" applyFill="1" applyBorder="1" applyAlignment="1">
      <alignment horizontal="center" vertical="center"/>
    </xf>
    <xf numFmtId="14" fontId="78" fillId="12" borderId="147" xfId="0" applyNumberFormat="1" applyFont="1" applyFill="1" applyBorder="1" applyAlignment="1">
      <alignment horizontal="center" vertical="center"/>
    </xf>
    <xf numFmtId="14" fontId="78" fillId="12" borderId="148" xfId="0" applyNumberFormat="1" applyFont="1" applyFill="1" applyBorder="1" applyAlignment="1">
      <alignment horizontal="center" vertical="center"/>
    </xf>
    <xf numFmtId="0" fontId="78" fillId="12" borderId="146" xfId="0" applyFont="1" applyFill="1" applyBorder="1" applyAlignment="1">
      <alignment horizontal="center" vertical="center"/>
    </xf>
    <xf numFmtId="0" fontId="78" fillId="27" borderId="145" xfId="0" applyFont="1" applyFill="1" applyBorder="1" applyAlignment="1">
      <alignment horizontal="center" vertical="center" wrapText="1"/>
    </xf>
    <xf numFmtId="0" fontId="78" fillId="15" borderId="144" xfId="0" applyFont="1" applyFill="1" applyBorder="1" applyAlignment="1">
      <alignment horizontal="center" vertical="center" wrapText="1"/>
    </xf>
    <xf numFmtId="0" fontId="78" fillId="15" borderId="10" xfId="0" applyFont="1" applyFill="1" applyBorder="1" applyAlignment="1">
      <alignment horizontal="center" vertical="center" wrapText="1"/>
    </xf>
    <xf numFmtId="0" fontId="78" fillId="15" borderId="25" xfId="0" applyFont="1" applyFill="1" applyBorder="1" applyAlignment="1">
      <alignment horizontal="center" vertical="center" wrapText="1"/>
    </xf>
    <xf numFmtId="0" fontId="78" fillId="5" borderId="25" xfId="0" applyFont="1" applyFill="1" applyBorder="1" applyAlignment="1">
      <alignment horizontal="center" vertical="center" wrapText="1"/>
    </xf>
    <xf numFmtId="0" fontId="78" fillId="5" borderId="146" xfId="0" applyFont="1" applyFill="1" applyBorder="1" applyAlignment="1">
      <alignment horizontal="center" vertical="center" wrapText="1"/>
    </xf>
    <xf numFmtId="0" fontId="78" fillId="5" borderId="145" xfId="0" applyFont="1" applyFill="1" applyBorder="1" applyAlignment="1">
      <alignment horizontal="center" vertical="center" wrapText="1"/>
    </xf>
    <xf numFmtId="0" fontId="78" fillId="5" borderId="149" xfId="0" applyFont="1" applyFill="1" applyBorder="1" applyAlignment="1">
      <alignment horizontal="center" vertical="center" wrapText="1"/>
    </xf>
    <xf numFmtId="0" fontId="78" fillId="6" borderId="144" xfId="0" applyFont="1" applyFill="1" applyBorder="1" applyAlignment="1">
      <alignment horizontal="center" vertical="center" wrapText="1"/>
    </xf>
    <xf numFmtId="0" fontId="78" fillId="6" borderId="10" xfId="0" applyFont="1" applyFill="1" applyBorder="1" applyAlignment="1">
      <alignment horizontal="center" vertical="center" wrapText="1"/>
    </xf>
    <xf numFmtId="0" fontId="78" fillId="12" borderId="145" xfId="0" applyFont="1" applyFill="1" applyBorder="1" applyAlignment="1">
      <alignment horizontal="center" vertical="center"/>
    </xf>
    <xf numFmtId="0" fontId="78" fillId="12" borderId="145" xfId="0" applyFont="1" applyFill="1" applyBorder="1" applyAlignment="1">
      <alignment horizontal="center" vertical="center" wrapText="1"/>
    </xf>
    <xf numFmtId="0" fontId="39" fillId="12" borderId="145" xfId="0" applyFont="1" applyFill="1" applyBorder="1" applyAlignment="1">
      <alignment horizontal="center" vertical="center" wrapText="1"/>
    </xf>
    <xf numFmtId="0" fontId="39" fillId="12" borderId="146" xfId="0" applyFont="1" applyFill="1" applyBorder="1" applyAlignment="1">
      <alignment horizontal="center" vertical="center" wrapText="1"/>
    </xf>
    <xf numFmtId="0" fontId="78" fillId="56" borderId="144" xfId="0" applyFont="1" applyFill="1" applyBorder="1" applyAlignment="1">
      <alignment horizontal="center" vertical="center" wrapText="1"/>
    </xf>
    <xf numFmtId="0" fontId="78" fillId="56" borderId="10" xfId="0" applyFont="1" applyFill="1" applyBorder="1" applyAlignment="1">
      <alignment horizontal="center" vertical="center" wrapText="1"/>
    </xf>
    <xf numFmtId="0" fontId="78" fillId="56" borderId="2" xfId="0" applyFont="1" applyFill="1" applyBorder="1" applyAlignment="1">
      <alignment horizontal="center" vertical="center" wrapText="1"/>
    </xf>
    <xf numFmtId="0" fontId="79" fillId="49" borderId="146" xfId="0" applyFont="1" applyFill="1" applyBorder="1" applyAlignment="1">
      <alignment horizontal="center" vertical="center"/>
    </xf>
    <xf numFmtId="0" fontId="79" fillId="49" borderId="147" xfId="0" applyFont="1" applyFill="1" applyBorder="1" applyAlignment="1">
      <alignment horizontal="center" vertical="center"/>
    </xf>
    <xf numFmtId="0" fontId="79" fillId="49" borderId="148" xfId="0" applyFont="1" applyFill="1" applyBorder="1" applyAlignment="1">
      <alignment horizontal="center" vertical="center"/>
    </xf>
    <xf numFmtId="0" fontId="78" fillId="20" borderId="144" xfId="0" applyFont="1" applyFill="1" applyBorder="1" applyAlignment="1">
      <alignment horizontal="center" vertical="center" wrapText="1"/>
    </xf>
    <xf numFmtId="0" fontId="78" fillId="20" borderId="10" xfId="0" applyFont="1" applyFill="1" applyBorder="1" applyAlignment="1">
      <alignment horizontal="center" vertical="center" wrapText="1"/>
    </xf>
    <xf numFmtId="0" fontId="78" fillId="26" borderId="145" xfId="0" applyFont="1" applyFill="1" applyBorder="1" applyAlignment="1">
      <alignment horizontal="center" vertical="center" wrapText="1"/>
    </xf>
    <xf numFmtId="0" fontId="78" fillId="28" borderId="37" xfId="0" applyFont="1" applyFill="1" applyBorder="1" applyAlignment="1">
      <alignment horizontal="center" vertical="center" wrapText="1"/>
    </xf>
    <xf numFmtId="0" fontId="78" fillId="28" borderId="25" xfId="0" applyFont="1" applyFill="1" applyBorder="1" applyAlignment="1">
      <alignment horizontal="center" vertical="center" wrapText="1"/>
    </xf>
    <xf numFmtId="0" fontId="78" fillId="48" borderId="144" xfId="0" applyFont="1" applyFill="1" applyBorder="1" applyAlignment="1">
      <alignment horizontal="center" vertical="center" wrapText="1"/>
    </xf>
    <xf numFmtId="0" fontId="78" fillId="48" borderId="10" xfId="0" applyFont="1" applyFill="1" applyBorder="1" applyAlignment="1">
      <alignment horizontal="center" vertical="center" wrapText="1"/>
    </xf>
    <xf numFmtId="0" fontId="78" fillId="48" borderId="2" xfId="0" applyFont="1" applyFill="1" applyBorder="1" applyAlignment="1">
      <alignment horizontal="center" vertical="center" wrapText="1"/>
    </xf>
    <xf numFmtId="0" fontId="58" fillId="49" borderId="0" xfId="0" applyFont="1" applyFill="1" applyAlignment="1">
      <alignment horizontal="center"/>
    </xf>
    <xf numFmtId="0" fontId="58" fillId="49" borderId="38" xfId="0" applyFont="1" applyFill="1" applyBorder="1" applyAlignment="1">
      <alignment horizontal="center"/>
    </xf>
    <xf numFmtId="0" fontId="58" fillId="49" borderId="26" xfId="0" applyFont="1" applyFill="1" applyBorder="1" applyAlignment="1">
      <alignment horizontal="center"/>
    </xf>
    <xf numFmtId="0" fontId="58" fillId="49" borderId="16" xfId="0" applyFont="1" applyFill="1" applyBorder="1" applyAlignment="1">
      <alignment horizontal="center"/>
    </xf>
    <xf numFmtId="0" fontId="58" fillId="49" borderId="25" xfId="0" applyFont="1" applyFill="1" applyBorder="1" applyAlignment="1">
      <alignment horizontal="center"/>
    </xf>
    <xf numFmtId="0" fontId="59" fillId="49" borderId="25" xfId="0" applyFont="1" applyFill="1" applyBorder="1" applyAlignment="1">
      <alignment horizontal="center"/>
    </xf>
    <xf numFmtId="0" fontId="59" fillId="49" borderId="26" xfId="0" applyFont="1" applyFill="1" applyBorder="1" applyAlignment="1">
      <alignment horizontal="center"/>
    </xf>
    <xf numFmtId="0" fontId="60" fillId="0" borderId="0" xfId="0" applyFont="1" applyAlignment="1">
      <alignment horizontal="center" vertical="center"/>
    </xf>
    <xf numFmtId="0" fontId="6" fillId="58" borderId="0" xfId="0" applyFont="1" applyFill="1" applyAlignment="1">
      <alignment horizontal="center" vertical="center"/>
    </xf>
    <xf numFmtId="0" fontId="60" fillId="0" borderId="0" xfId="0" applyFont="1" applyAlignment="1">
      <alignment horizontal="center" wrapText="1"/>
    </xf>
    <xf numFmtId="0" fontId="60" fillId="0" borderId="0" xfId="0" applyFont="1" applyAlignment="1">
      <alignment horizontal="center" vertical="center" wrapText="1"/>
    </xf>
    <xf numFmtId="0" fontId="60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11" borderId="0" xfId="0" applyFont="1" applyFill="1" applyAlignment="1">
      <alignment horizontal="center"/>
    </xf>
    <xf numFmtId="0" fontId="6" fillId="60" borderId="0" xfId="0" applyFont="1" applyFill="1" applyAlignment="1">
      <alignment horizontal="center"/>
    </xf>
    <xf numFmtId="2" fontId="28" fillId="12" borderId="1" xfId="0" applyNumberFormat="1" applyFont="1" applyFill="1" applyBorder="1" applyAlignment="1">
      <alignment horizontal="center"/>
    </xf>
    <xf numFmtId="0" fontId="37" fillId="10" borderId="4" xfId="0" applyFont="1" applyFill="1" applyBorder="1" applyAlignment="1">
      <alignment horizontal="center"/>
    </xf>
    <xf numFmtId="0" fontId="37" fillId="10" borderId="30" xfId="0" applyFont="1" applyFill="1" applyBorder="1" applyAlignment="1">
      <alignment horizontal="center"/>
    </xf>
    <xf numFmtId="1" fontId="28" fillId="12" borderId="1" xfId="0" applyNumberFormat="1" applyFont="1" applyFill="1" applyBorder="1" applyAlignment="1">
      <alignment horizontal="center"/>
    </xf>
    <xf numFmtId="0" fontId="26" fillId="10" borderId="3" xfId="0" applyFont="1" applyFill="1" applyBorder="1" applyAlignment="1">
      <alignment horizontal="center"/>
    </xf>
    <xf numFmtId="0" fontId="26" fillId="10" borderId="7" xfId="0" applyFont="1" applyFill="1" applyBorder="1" applyAlignment="1">
      <alignment horizontal="center"/>
    </xf>
    <xf numFmtId="0" fontId="26" fillId="10" borderId="19" xfId="0" applyFont="1" applyFill="1" applyBorder="1" applyAlignment="1">
      <alignment horizontal="center"/>
    </xf>
    <xf numFmtId="0" fontId="26" fillId="42" borderId="97" xfId="0" applyFont="1" applyFill="1" applyBorder="1" applyAlignment="1">
      <alignment horizontal="center"/>
    </xf>
    <xf numFmtId="0" fontId="26" fillId="42" borderId="98" xfId="0" applyFont="1" applyFill="1" applyBorder="1" applyAlignment="1">
      <alignment horizontal="center"/>
    </xf>
    <xf numFmtId="0" fontId="26" fillId="42" borderId="22" xfId="0" applyFont="1" applyFill="1" applyBorder="1" applyAlignment="1">
      <alignment horizontal="center"/>
    </xf>
    <xf numFmtId="0" fontId="26" fillId="42" borderId="15" xfId="0" applyFont="1" applyFill="1" applyBorder="1" applyAlignment="1">
      <alignment horizontal="center"/>
    </xf>
    <xf numFmtId="0" fontId="27" fillId="19" borderId="7" xfId="0" applyFont="1" applyFill="1" applyBorder="1" applyAlignment="1">
      <alignment horizontal="center"/>
    </xf>
    <xf numFmtId="0" fontId="27" fillId="19" borderId="12" xfId="0" applyFont="1" applyFill="1" applyBorder="1" applyAlignment="1">
      <alignment horizontal="center"/>
    </xf>
    <xf numFmtId="0" fontId="27" fillId="2" borderId="13" xfId="0" applyFont="1" applyFill="1" applyBorder="1" applyAlignment="1">
      <alignment horizontal="center"/>
    </xf>
    <xf numFmtId="0" fontId="27" fillId="2" borderId="23" xfId="0" applyFont="1" applyFill="1" applyBorder="1" applyAlignment="1">
      <alignment horizontal="center"/>
    </xf>
    <xf numFmtId="0" fontId="27" fillId="17" borderId="7" xfId="0" applyFont="1" applyFill="1" applyBorder="1" applyAlignment="1">
      <alignment horizontal="center"/>
    </xf>
    <xf numFmtId="0" fontId="27" fillId="17" borderId="12" xfId="0" applyFont="1" applyFill="1" applyBorder="1" applyAlignment="1">
      <alignment horizontal="center"/>
    </xf>
    <xf numFmtId="0" fontId="27" fillId="18" borderId="3" xfId="0" applyFont="1" applyFill="1" applyBorder="1" applyAlignment="1">
      <alignment horizontal="center"/>
    </xf>
    <xf numFmtId="0" fontId="27" fillId="18" borderId="7" xfId="0" applyFont="1" applyFill="1" applyBorder="1" applyAlignment="1">
      <alignment horizontal="center"/>
    </xf>
    <xf numFmtId="165" fontId="28" fillId="12" borderId="1" xfId="0" applyNumberFormat="1" applyFont="1" applyFill="1" applyBorder="1" applyAlignment="1">
      <alignment horizontal="center"/>
    </xf>
    <xf numFmtId="0" fontId="27" fillId="18" borderId="97" xfId="0" applyFont="1" applyFill="1" applyBorder="1" applyAlignment="1">
      <alignment horizontal="center"/>
    </xf>
    <xf numFmtId="0" fontId="27" fillId="18" borderId="99" xfId="0" applyFont="1" applyFill="1" applyBorder="1" applyAlignment="1">
      <alignment horizontal="center"/>
    </xf>
    <xf numFmtId="0" fontId="27" fillId="5" borderId="3" xfId="0" applyFont="1" applyFill="1" applyBorder="1" applyAlignment="1">
      <alignment horizontal="center"/>
    </xf>
    <xf numFmtId="0" fontId="27" fillId="5" borderId="7" xfId="0" applyFont="1" applyFill="1" applyBorder="1" applyAlignment="1">
      <alignment horizontal="center"/>
    </xf>
    <xf numFmtId="0" fontId="27" fillId="17" borderId="68" xfId="0" applyFont="1" applyFill="1" applyBorder="1" applyAlignment="1">
      <alignment horizontal="center"/>
    </xf>
    <xf numFmtId="0" fontId="27" fillId="17" borderId="70" xfId="0" applyFont="1" applyFill="1" applyBorder="1" applyAlignment="1">
      <alignment horizontal="center"/>
    </xf>
    <xf numFmtId="0" fontId="27" fillId="19" borderId="14" xfId="0" applyFont="1" applyFill="1" applyBorder="1" applyAlignment="1">
      <alignment horizontal="center"/>
    </xf>
    <xf numFmtId="0" fontId="27" fillId="19" borderId="21" xfId="0" applyFont="1" applyFill="1" applyBorder="1" applyAlignment="1">
      <alignment horizontal="center"/>
    </xf>
    <xf numFmtId="0" fontId="27" fillId="3" borderId="68" xfId="0" applyFont="1" applyFill="1" applyBorder="1" applyAlignment="1">
      <alignment horizontal="center"/>
    </xf>
    <xf numFmtId="0" fontId="27" fillId="3" borderId="70" xfId="0" applyFont="1" applyFill="1" applyBorder="1" applyAlignment="1">
      <alignment horizontal="center"/>
    </xf>
    <xf numFmtId="0" fontId="27" fillId="29" borderId="1" xfId="0" applyFont="1" applyFill="1" applyBorder="1" applyAlignment="1">
      <alignment horizontal="center"/>
    </xf>
    <xf numFmtId="0" fontId="27" fillId="29" borderId="4" xfId="0" applyFont="1" applyFill="1" applyBorder="1" applyAlignment="1">
      <alignment horizontal="center"/>
    </xf>
    <xf numFmtId="0" fontId="27" fillId="29" borderId="30" xfId="0" applyFont="1" applyFill="1" applyBorder="1" applyAlignment="1">
      <alignment horizontal="center"/>
    </xf>
    <xf numFmtId="0" fontId="28" fillId="12" borderId="25" xfId="0" applyFont="1" applyFill="1" applyBorder="1" applyAlignment="1">
      <alignment horizontal="center"/>
    </xf>
    <xf numFmtId="0" fontId="28" fillId="12" borderId="26" xfId="0" applyFont="1" applyFill="1" applyBorder="1" applyAlignment="1">
      <alignment horizontal="center"/>
    </xf>
    <xf numFmtId="0" fontId="28" fillId="12" borderId="16" xfId="0" applyFont="1" applyFill="1" applyBorder="1" applyAlignment="1">
      <alignment horizontal="center"/>
    </xf>
    <xf numFmtId="0" fontId="44" fillId="50" borderId="1" xfId="0" applyFont="1" applyFill="1" applyBorder="1" applyAlignment="1">
      <alignment horizontal="center" vertical="center"/>
    </xf>
    <xf numFmtId="0" fontId="3" fillId="50" borderId="1" xfId="0" applyFont="1" applyFill="1" applyBorder="1" applyAlignment="1">
      <alignment horizontal="center" vertical="center"/>
    </xf>
    <xf numFmtId="0" fontId="37" fillId="10" borderId="1" xfId="0" applyFont="1" applyFill="1" applyBorder="1" applyAlignment="1">
      <alignment horizontal="center" wrapText="1"/>
    </xf>
    <xf numFmtId="0" fontId="26" fillId="10" borderId="60" xfId="0" applyFont="1" applyFill="1" applyBorder="1" applyAlignment="1">
      <alignment horizontal="center"/>
    </xf>
    <xf numFmtId="0" fontId="26" fillId="10" borderId="63" xfId="0" applyFont="1" applyFill="1" applyBorder="1" applyAlignment="1">
      <alignment horizontal="center"/>
    </xf>
    <xf numFmtId="0" fontId="26" fillId="10" borderId="64" xfId="0" applyFont="1" applyFill="1" applyBorder="1" applyAlignment="1">
      <alignment horizontal="center"/>
    </xf>
    <xf numFmtId="0" fontId="37" fillId="10" borderId="93" xfId="0" applyFont="1" applyFill="1" applyBorder="1" applyAlignment="1">
      <alignment horizontal="center"/>
    </xf>
    <xf numFmtId="0" fontId="37" fillId="10" borderId="94" xfId="0" applyFont="1" applyFill="1" applyBorder="1" applyAlignment="1">
      <alignment horizontal="center"/>
    </xf>
    <xf numFmtId="0" fontId="27" fillId="10" borderId="95" xfId="0" applyFont="1" applyFill="1" applyBorder="1" applyAlignment="1">
      <alignment horizontal="center"/>
    </xf>
    <xf numFmtId="0" fontId="27" fillId="10" borderId="96" xfId="0" applyFont="1" applyFill="1" applyBorder="1" applyAlignment="1">
      <alignment horizontal="center"/>
    </xf>
    <xf numFmtId="0" fontId="27" fillId="18" borderId="62" xfId="0" applyFont="1" applyFill="1" applyBorder="1" applyAlignment="1">
      <alignment horizontal="center"/>
    </xf>
    <xf numFmtId="0" fontId="27" fillId="18" borderId="66" xfId="0" applyFont="1" applyFill="1" applyBorder="1" applyAlignment="1">
      <alignment horizontal="center"/>
    </xf>
    <xf numFmtId="0" fontId="27" fillId="17" borderId="91" xfId="0" applyFont="1" applyFill="1" applyBorder="1" applyAlignment="1">
      <alignment horizontal="center"/>
    </xf>
    <xf numFmtId="0" fontId="27" fillId="17" borderId="106" xfId="0" applyFont="1" applyFill="1" applyBorder="1" applyAlignment="1">
      <alignment horizontal="center"/>
    </xf>
    <xf numFmtId="0" fontId="28" fillId="12" borderId="4" xfId="0" applyFont="1" applyFill="1" applyBorder="1" applyAlignment="1">
      <alignment horizontal="center"/>
    </xf>
    <xf numFmtId="0" fontId="28" fillId="12" borderId="29" xfId="0" applyFont="1" applyFill="1" applyBorder="1" applyAlignment="1">
      <alignment horizontal="center"/>
    </xf>
    <xf numFmtId="0" fontId="28" fillId="12" borderId="30" xfId="0" applyFont="1" applyFill="1" applyBorder="1" applyAlignment="1">
      <alignment horizontal="center"/>
    </xf>
    <xf numFmtId="0" fontId="27" fillId="18" borderId="68" xfId="0" applyFont="1" applyFill="1" applyBorder="1" applyAlignment="1">
      <alignment horizontal="center"/>
    </xf>
    <xf numFmtId="0" fontId="27" fillId="18" borderId="70" xfId="0" applyFont="1" applyFill="1" applyBorder="1" applyAlignment="1">
      <alignment horizontal="center"/>
    </xf>
    <xf numFmtId="0" fontId="26" fillId="10" borderId="86" xfId="0" applyFont="1" applyFill="1" applyBorder="1" applyAlignment="1">
      <alignment horizontal="center"/>
    </xf>
    <xf numFmtId="0" fontId="26" fillId="10" borderId="103" xfId="0" applyFont="1" applyFill="1" applyBorder="1" applyAlignment="1">
      <alignment horizontal="center"/>
    </xf>
    <xf numFmtId="0" fontId="26" fillId="10" borderId="104" xfId="0" applyFont="1" applyFill="1" applyBorder="1" applyAlignment="1">
      <alignment horizontal="center"/>
    </xf>
    <xf numFmtId="0" fontId="27" fillId="2" borderId="68" xfId="0" applyFont="1" applyFill="1" applyBorder="1" applyAlignment="1">
      <alignment horizontal="center"/>
    </xf>
    <xf numFmtId="0" fontId="27" fillId="2" borderId="69" xfId="0" applyFont="1" applyFill="1" applyBorder="1" applyAlignment="1">
      <alignment horizontal="center"/>
    </xf>
    <xf numFmtId="165" fontId="28" fillId="12" borderId="68" xfId="0" applyNumberFormat="1" applyFont="1" applyFill="1" applyBorder="1" applyAlignment="1">
      <alignment horizontal="center"/>
    </xf>
    <xf numFmtId="165" fontId="28" fillId="12" borderId="70" xfId="0" applyNumberFormat="1" applyFont="1" applyFill="1" applyBorder="1" applyAlignment="1">
      <alignment horizontal="center"/>
    </xf>
    <xf numFmtId="0" fontId="40" fillId="45" borderId="20" xfId="0" applyFont="1" applyFill="1" applyBorder="1" applyAlignment="1">
      <alignment horizontal="center"/>
    </xf>
    <xf numFmtId="0" fontId="27" fillId="37" borderId="109" xfId="0" applyFont="1" applyFill="1" applyBorder="1" applyAlignment="1">
      <alignment horizontal="center"/>
    </xf>
    <xf numFmtId="0" fontId="27" fillId="37" borderId="30" xfId="0" applyFont="1" applyFill="1" applyBorder="1" applyAlignment="1">
      <alignment horizontal="center"/>
    </xf>
    <xf numFmtId="0" fontId="27" fillId="18" borderId="12" xfId="0" applyFont="1" applyFill="1" applyBorder="1" applyAlignment="1">
      <alignment horizontal="center"/>
    </xf>
    <xf numFmtId="0" fontId="30" fillId="5" borderId="68" xfId="0" applyFont="1" applyFill="1" applyBorder="1" applyAlignment="1">
      <alignment horizontal="center" wrapText="1"/>
    </xf>
    <xf numFmtId="0" fontId="30" fillId="5" borderId="69" xfId="0" applyFont="1" applyFill="1" applyBorder="1" applyAlignment="1">
      <alignment horizontal="center" wrapText="1"/>
    </xf>
    <xf numFmtId="0" fontId="30" fillId="5" borderId="70" xfId="0" applyFont="1" applyFill="1" applyBorder="1" applyAlignment="1">
      <alignment horizontal="center" wrapText="1"/>
    </xf>
    <xf numFmtId="0" fontId="26" fillId="32" borderId="97" xfId="0" applyFont="1" applyFill="1" applyBorder="1" applyAlignment="1">
      <alignment horizontal="center"/>
    </xf>
    <xf numFmtId="0" fontId="26" fillId="32" borderId="98" xfId="0" applyFont="1" applyFill="1" applyBorder="1" applyAlignment="1">
      <alignment horizontal="center"/>
    </xf>
    <xf numFmtId="0" fontId="26" fillId="32" borderId="99" xfId="0" applyFont="1" applyFill="1" applyBorder="1" applyAlignment="1">
      <alignment horizontal="center"/>
    </xf>
    <xf numFmtId="0" fontId="26" fillId="43" borderId="97" xfId="0" applyFont="1" applyFill="1" applyBorder="1" applyAlignment="1">
      <alignment horizontal="center"/>
    </xf>
    <xf numFmtId="0" fontId="26" fillId="43" borderId="98" xfId="0" applyFont="1" applyFill="1" applyBorder="1" applyAlignment="1">
      <alignment horizontal="center"/>
    </xf>
    <xf numFmtId="0" fontId="26" fillId="43" borderId="99" xfId="0" applyFont="1" applyFill="1" applyBorder="1" applyAlignment="1">
      <alignment horizontal="center"/>
    </xf>
    <xf numFmtId="0" fontId="30" fillId="44" borderId="0" xfId="0" applyFont="1" applyFill="1" applyAlignment="1">
      <alignment horizontal="center"/>
    </xf>
    <xf numFmtId="0" fontId="27" fillId="10" borderId="107" xfId="0" applyFont="1" applyFill="1" applyBorder="1" applyAlignment="1">
      <alignment horizontal="center"/>
    </xf>
    <xf numFmtId="0" fontId="27" fillId="2" borderId="20" xfId="0" applyFont="1" applyFill="1" applyBorder="1" applyAlignment="1">
      <alignment horizontal="center"/>
    </xf>
    <xf numFmtId="0" fontId="27" fillId="2" borderId="108" xfId="0" applyFont="1" applyFill="1" applyBorder="1" applyAlignment="1">
      <alignment horizontal="center"/>
    </xf>
    <xf numFmtId="0" fontId="27" fillId="2" borderId="80" xfId="0" applyFont="1" applyFill="1" applyBorder="1" applyAlignment="1">
      <alignment horizontal="center"/>
    </xf>
    <xf numFmtId="9" fontId="0" fillId="12" borderId="4" xfId="0" applyNumberFormat="1" applyFill="1" applyBorder="1" applyAlignment="1">
      <alignment horizontal="center"/>
    </xf>
    <xf numFmtId="0" fontId="0" fillId="12" borderId="30" xfId="0" applyFill="1" applyBorder="1" applyAlignment="1">
      <alignment horizontal="center"/>
    </xf>
    <xf numFmtId="0" fontId="27" fillId="10" borderId="112" xfId="0" applyFont="1" applyFill="1" applyBorder="1" applyAlignment="1">
      <alignment horizontal="center"/>
    </xf>
    <xf numFmtId="0" fontId="27" fillId="10" borderId="102" xfId="0" applyFont="1" applyFill="1" applyBorder="1" applyAlignment="1">
      <alignment horizontal="center"/>
    </xf>
    <xf numFmtId="0" fontId="27" fillId="10" borderId="48" xfId="0" applyFont="1" applyFill="1" applyBorder="1" applyAlignment="1">
      <alignment horizontal="center"/>
    </xf>
    <xf numFmtId="0" fontId="28" fillId="12" borderId="110" xfId="0" applyFont="1" applyFill="1" applyBorder="1" applyAlignment="1">
      <alignment horizontal="center"/>
    </xf>
    <xf numFmtId="0" fontId="28" fillId="12" borderId="111" xfId="0" applyFont="1" applyFill="1" applyBorder="1" applyAlignment="1">
      <alignment horizontal="center"/>
    </xf>
    <xf numFmtId="0" fontId="27" fillId="10" borderId="79" xfId="0" applyFont="1" applyFill="1" applyBorder="1" applyAlignment="1">
      <alignment horizontal="center"/>
    </xf>
    <xf numFmtId="0" fontId="27" fillId="10" borderId="80" xfId="0" applyFont="1" applyFill="1" applyBorder="1" applyAlignment="1">
      <alignment horizontal="center"/>
    </xf>
    <xf numFmtId="0" fontId="27" fillId="5" borderId="22" xfId="0" applyFont="1" applyFill="1" applyBorder="1" applyAlignment="1">
      <alignment horizontal="center"/>
    </xf>
    <xf numFmtId="0" fontId="27" fillId="37" borderId="102" xfId="0" applyFont="1" applyFill="1" applyBorder="1" applyAlignment="1">
      <alignment horizontal="center"/>
    </xf>
    <xf numFmtId="0" fontId="27" fillId="37" borderId="48" xfId="0" applyFont="1" applyFill="1" applyBorder="1" applyAlignment="1">
      <alignment horizontal="center"/>
    </xf>
    <xf numFmtId="0" fontId="27" fillId="2" borderId="100" xfId="0" applyFont="1" applyFill="1" applyBorder="1" applyAlignment="1">
      <alignment horizontal="center"/>
    </xf>
    <xf numFmtId="0" fontId="27" fillId="2" borderId="101" xfId="0" applyFont="1" applyFill="1" applyBorder="1" applyAlignment="1">
      <alignment horizontal="center"/>
    </xf>
    <xf numFmtId="0" fontId="30" fillId="3" borderId="14" xfId="0" applyFont="1" applyFill="1" applyBorder="1" applyAlignment="1">
      <alignment horizontal="center"/>
    </xf>
    <xf numFmtId="0" fontId="30" fillId="3" borderId="3" xfId="0" applyFont="1" applyFill="1" applyBorder="1" applyAlignment="1">
      <alignment horizontal="center"/>
    </xf>
    <xf numFmtId="0" fontId="30" fillId="10" borderId="7" xfId="0" applyFont="1" applyFill="1" applyBorder="1" applyAlignment="1">
      <alignment horizontal="center"/>
    </xf>
    <xf numFmtId="0" fontId="30" fillId="10" borderId="19" xfId="0" applyFont="1" applyFill="1" applyBorder="1" applyAlignment="1">
      <alignment horizontal="center"/>
    </xf>
    <xf numFmtId="0" fontId="27" fillId="5" borderId="12" xfId="0" applyFont="1" applyFill="1" applyBorder="1" applyAlignment="1">
      <alignment horizontal="center"/>
    </xf>
    <xf numFmtId="0" fontId="27" fillId="10" borderId="101" xfId="0" applyFont="1" applyFill="1" applyBorder="1" applyAlignment="1">
      <alignment horizontal="center"/>
    </xf>
    <xf numFmtId="0" fontId="27" fillId="10" borderId="113" xfId="0" applyFont="1" applyFill="1" applyBorder="1" applyAlignment="1">
      <alignment horizontal="center"/>
    </xf>
    <xf numFmtId="0" fontId="15" fillId="46" borderId="4" xfId="0" applyFont="1" applyFill="1" applyBorder="1" applyAlignment="1">
      <alignment horizontal="center"/>
    </xf>
    <xf numFmtId="0" fontId="15" fillId="46" borderId="30" xfId="0" applyFont="1" applyFill="1" applyBorder="1" applyAlignment="1">
      <alignment horizontal="center"/>
    </xf>
    <xf numFmtId="0" fontId="26" fillId="30" borderId="15" xfId="0" applyFont="1" applyFill="1" applyBorder="1" applyAlignment="1">
      <alignment horizontal="center"/>
    </xf>
    <xf numFmtId="0" fontId="26" fillId="30" borderId="14" xfId="0" applyFont="1" applyFill="1" applyBorder="1" applyAlignment="1">
      <alignment horizontal="center"/>
    </xf>
    <xf numFmtId="0" fontId="26" fillId="30" borderId="3" xfId="0" applyFont="1" applyFill="1" applyBorder="1" applyAlignment="1">
      <alignment horizontal="center"/>
    </xf>
    <xf numFmtId="0" fontId="26" fillId="30" borderId="1" xfId="0" applyFont="1" applyFill="1" applyBorder="1" applyAlignment="1">
      <alignment horizontal="center"/>
    </xf>
    <xf numFmtId="165" fontId="28" fillId="5" borderId="3" xfId="0" applyNumberFormat="1" applyFont="1" applyFill="1" applyBorder="1" applyAlignment="1">
      <alignment horizontal="center"/>
    </xf>
    <xf numFmtId="0" fontId="28" fillId="5" borderId="3" xfId="0" applyFont="1" applyFill="1" applyBorder="1" applyAlignment="1">
      <alignment horizontal="center"/>
    </xf>
    <xf numFmtId="0" fontId="28" fillId="5" borderId="7" xfId="0" applyFont="1" applyFill="1" applyBorder="1" applyAlignment="1">
      <alignment horizontal="center"/>
    </xf>
    <xf numFmtId="0" fontId="27" fillId="12" borderId="4" xfId="0" applyFont="1" applyFill="1" applyBorder="1" applyAlignment="1">
      <alignment horizontal="center"/>
    </xf>
    <xf numFmtId="0" fontId="27" fillId="12" borderId="30" xfId="0" applyFont="1" applyFill="1" applyBorder="1" applyAlignment="1">
      <alignment horizontal="center"/>
    </xf>
    <xf numFmtId="0" fontId="40" fillId="42" borderId="1" xfId="0" applyFont="1" applyFill="1" applyBorder="1" applyAlignment="1">
      <alignment horizontal="center"/>
    </xf>
    <xf numFmtId="0" fontId="54" fillId="42" borderId="1" xfId="0" applyFont="1" applyFill="1" applyBorder="1" applyAlignment="1">
      <alignment horizontal="center"/>
    </xf>
    <xf numFmtId="0" fontId="54" fillId="5" borderId="1" xfId="0" applyFont="1" applyFill="1" applyBorder="1" applyAlignment="1">
      <alignment horizontal="center"/>
    </xf>
    <xf numFmtId="0" fontId="28" fillId="12" borderId="142" xfId="0" applyFont="1" applyFill="1" applyBorder="1" applyAlignment="1">
      <alignment horizontal="center"/>
    </xf>
    <xf numFmtId="0" fontId="28" fillId="12" borderId="98" xfId="0" applyFont="1" applyFill="1" applyBorder="1" applyAlignment="1">
      <alignment horizontal="center"/>
    </xf>
    <xf numFmtId="0" fontId="28" fillId="12" borderId="99" xfId="0" applyFont="1" applyFill="1" applyBorder="1" applyAlignment="1">
      <alignment horizontal="center"/>
    </xf>
    <xf numFmtId="0" fontId="28" fillId="12" borderId="118" xfId="0" applyFont="1" applyFill="1" applyBorder="1" applyAlignment="1">
      <alignment horizontal="center"/>
    </xf>
    <xf numFmtId="0" fontId="28" fillId="12" borderId="19" xfId="0" applyFont="1" applyFill="1" applyBorder="1" applyAlignment="1">
      <alignment horizontal="center"/>
    </xf>
    <xf numFmtId="0" fontId="28" fillId="12" borderId="12" xfId="0" applyFont="1" applyFill="1" applyBorder="1" applyAlignment="1">
      <alignment horizontal="center"/>
    </xf>
    <xf numFmtId="0" fontId="28" fillId="12" borderId="139" xfId="0" applyFont="1" applyFill="1" applyBorder="1" applyAlignment="1">
      <alignment horizontal="center"/>
    </xf>
    <xf numFmtId="0" fontId="28" fillId="12" borderId="81" xfId="0" applyFont="1" applyFill="1" applyBorder="1" applyAlignment="1">
      <alignment horizontal="center"/>
    </xf>
    <xf numFmtId="0" fontId="27" fillId="28" borderId="26" xfId="0" applyFont="1" applyFill="1" applyBorder="1" applyAlignment="1">
      <alignment horizontal="center"/>
    </xf>
    <xf numFmtId="0" fontId="26" fillId="47" borderId="4" xfId="0" applyFont="1" applyFill="1" applyBorder="1" applyAlignment="1">
      <alignment horizontal="center" vertical="center" wrapText="1"/>
    </xf>
    <xf numFmtId="0" fontId="26" fillId="47" borderId="30" xfId="0" applyFont="1" applyFill="1" applyBorder="1" applyAlignment="1">
      <alignment horizontal="center" vertical="center" wrapText="1"/>
    </xf>
    <xf numFmtId="0" fontId="27" fillId="2" borderId="141" xfId="0" applyFont="1" applyFill="1" applyBorder="1" applyAlignment="1">
      <alignment horizontal="center"/>
    </xf>
    <xf numFmtId="0" fontId="27" fillId="5" borderId="36" xfId="0" applyFont="1" applyFill="1" applyBorder="1" applyAlignment="1">
      <alignment horizontal="center"/>
    </xf>
    <xf numFmtId="2" fontId="27" fillId="2" borderId="108" xfId="0" applyNumberFormat="1" applyFont="1" applyFill="1" applyBorder="1" applyAlignment="1">
      <alignment horizontal="center"/>
    </xf>
    <xf numFmtId="2" fontId="27" fillId="2" borderId="140" xfId="0" applyNumberFormat="1" applyFont="1" applyFill="1" applyBorder="1" applyAlignment="1">
      <alignment horizontal="center"/>
    </xf>
    <xf numFmtId="2" fontId="27" fillId="18" borderId="7" xfId="0" applyNumberFormat="1" applyFont="1" applyFill="1" applyBorder="1" applyAlignment="1">
      <alignment horizontal="center"/>
    </xf>
    <xf numFmtId="2" fontId="27" fillId="18" borderId="36" xfId="0" applyNumberFormat="1" applyFont="1" applyFill="1" applyBorder="1" applyAlignment="1">
      <alignment horizontal="center"/>
    </xf>
    <xf numFmtId="0" fontId="27" fillId="18" borderId="113" xfId="0" applyFont="1" applyFill="1" applyBorder="1" applyAlignment="1">
      <alignment horizontal="center"/>
    </xf>
    <xf numFmtId="0" fontId="30" fillId="61" borderId="97" xfId="0" applyFont="1" applyFill="1" applyBorder="1" applyAlignment="1">
      <alignment horizontal="center"/>
    </xf>
    <xf numFmtId="0" fontId="30" fillId="61" borderId="98" xfId="0" applyFont="1" applyFill="1" applyBorder="1" applyAlignment="1">
      <alignment horizontal="center"/>
    </xf>
    <xf numFmtId="0" fontId="30" fillId="61" borderId="22" xfId="0" applyFont="1" applyFill="1" applyBorder="1" applyAlignment="1">
      <alignment horizontal="center"/>
    </xf>
    <xf numFmtId="0" fontId="30" fillId="61" borderId="15" xfId="0" applyFont="1" applyFill="1" applyBorder="1" applyAlignment="1">
      <alignment horizontal="center"/>
    </xf>
    <xf numFmtId="0" fontId="77" fillId="49" borderId="3" xfId="0" applyFont="1" applyFill="1" applyBorder="1" applyAlignment="1">
      <alignment horizontal="center"/>
    </xf>
    <xf numFmtId="0" fontId="6" fillId="26" borderId="7" xfId="0" applyFont="1" applyFill="1" applyBorder="1" applyAlignment="1">
      <alignment horizontal="center"/>
    </xf>
    <xf numFmtId="0" fontId="77" fillId="26" borderId="12" xfId="0" applyFont="1" applyFill="1" applyBorder="1" applyAlignment="1">
      <alignment horizontal="center"/>
    </xf>
    <xf numFmtId="0" fontId="6" fillId="6" borderId="86" xfId="0" applyFont="1" applyFill="1" applyBorder="1" applyAlignment="1">
      <alignment horizontal="center"/>
    </xf>
    <xf numFmtId="0" fontId="6" fillId="6" borderId="153" xfId="0" applyFont="1" applyFill="1" applyBorder="1" applyAlignment="1">
      <alignment horizontal="center"/>
    </xf>
    <xf numFmtId="0" fontId="5" fillId="8" borderId="86" xfId="0" applyFont="1" applyFill="1" applyBorder="1" applyAlignment="1">
      <alignment horizontal="center"/>
    </xf>
    <xf numFmtId="0" fontId="5" fillId="8" borderId="153" xfId="0" applyFont="1" applyFill="1" applyBorder="1" applyAlignment="1">
      <alignment horizontal="center"/>
    </xf>
    <xf numFmtId="0" fontId="5" fillId="63" borderId="151" xfId="0" applyFont="1" applyFill="1" applyBorder="1" applyAlignment="1">
      <alignment horizontal="center"/>
    </xf>
    <xf numFmtId="0" fontId="5" fillId="63" borderId="152" xfId="0" applyFont="1" applyFill="1" applyBorder="1" applyAlignment="1">
      <alignment horizontal="center"/>
    </xf>
    <xf numFmtId="0" fontId="6" fillId="53" borderId="3" xfId="0" applyFont="1" applyFill="1" applyBorder="1" applyAlignment="1">
      <alignment horizontal="center"/>
    </xf>
    <xf numFmtId="0" fontId="6" fillId="19" borderId="3" xfId="0" applyFont="1" applyFill="1" applyBorder="1" applyAlignment="1">
      <alignment horizontal="center"/>
    </xf>
    <xf numFmtId="0" fontId="45" fillId="50" borderId="0" xfId="0" applyFont="1" applyFill="1" applyAlignment="1">
      <alignment horizontal="center" vertical="center"/>
    </xf>
    <xf numFmtId="0" fontId="6" fillId="48" borderId="3" xfId="0" applyFont="1" applyFill="1" applyBorder="1" applyAlignment="1">
      <alignment horizontal="center"/>
    </xf>
    <xf numFmtId="0" fontId="6" fillId="36" borderId="3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6" fillId="48" borderId="86" xfId="0" applyFont="1" applyFill="1" applyBorder="1" applyAlignment="1">
      <alignment horizontal="center"/>
    </xf>
    <xf numFmtId="0" fontId="6" fillId="48" borderId="153" xfId="0" applyFont="1" applyFill="1" applyBorder="1" applyAlignment="1">
      <alignment horizontal="center"/>
    </xf>
    <xf numFmtId="0" fontId="6" fillId="36" borderId="151" xfId="0" applyFont="1" applyFill="1" applyBorder="1" applyAlignment="1">
      <alignment horizontal="center"/>
    </xf>
    <xf numFmtId="0" fontId="6" fillId="36" borderId="152" xfId="0" applyFont="1" applyFill="1" applyBorder="1" applyAlignment="1">
      <alignment horizontal="center"/>
    </xf>
    <xf numFmtId="0" fontId="6" fillId="36" borderId="86" xfId="0" applyFont="1" applyFill="1" applyBorder="1" applyAlignment="1">
      <alignment horizontal="center"/>
    </xf>
    <xf numFmtId="0" fontId="6" fillId="36" borderId="153" xfId="0" applyFont="1" applyFill="1" applyBorder="1" applyAlignment="1">
      <alignment horizontal="center"/>
    </xf>
    <xf numFmtId="0" fontId="6" fillId="36" borderId="155" xfId="0" applyFont="1" applyFill="1" applyBorder="1" applyAlignment="1">
      <alignment horizontal="center"/>
    </xf>
    <xf numFmtId="0" fontId="6" fillId="36" borderId="156" xfId="0" applyFont="1" applyFill="1" applyBorder="1" applyAlignment="1">
      <alignment horizontal="center"/>
    </xf>
    <xf numFmtId="0" fontId="5" fillId="49" borderId="93" xfId="0" applyFont="1" applyFill="1" applyBorder="1" applyAlignment="1">
      <alignment horizontal="center"/>
    </xf>
    <xf numFmtId="0" fontId="5" fillId="49" borderId="94" xfId="0" applyFont="1" applyFill="1" applyBorder="1" applyAlignment="1">
      <alignment horizontal="center"/>
    </xf>
    <xf numFmtId="0" fontId="6" fillId="19" borderId="86" xfId="0" applyFont="1" applyFill="1" applyBorder="1" applyAlignment="1">
      <alignment horizontal="center"/>
    </xf>
    <xf numFmtId="0" fontId="6" fillId="19" borderId="153" xfId="0" applyFont="1" applyFill="1" applyBorder="1" applyAlignment="1">
      <alignment horizontal="center"/>
    </xf>
    <xf numFmtId="0" fontId="6" fillId="19" borderId="155" xfId="0" applyFont="1" applyFill="1" applyBorder="1" applyAlignment="1">
      <alignment horizontal="center"/>
    </xf>
    <xf numFmtId="0" fontId="6" fillId="19" borderId="156" xfId="0" applyFont="1" applyFill="1" applyBorder="1" applyAlignment="1">
      <alignment horizontal="center"/>
    </xf>
    <xf numFmtId="0" fontId="6" fillId="53" borderId="93" xfId="0" applyFont="1" applyFill="1" applyBorder="1" applyAlignment="1">
      <alignment horizontal="center"/>
    </xf>
    <xf numFmtId="0" fontId="6" fillId="53" borderId="94" xfId="0" applyFont="1" applyFill="1" applyBorder="1" applyAlignment="1">
      <alignment horizontal="center"/>
    </xf>
    <xf numFmtId="0" fontId="6" fillId="33" borderId="86" xfId="0" applyFont="1" applyFill="1" applyBorder="1" applyAlignment="1">
      <alignment horizontal="center"/>
    </xf>
    <xf numFmtId="0" fontId="6" fillId="33" borderId="153" xfId="0" applyFont="1" applyFill="1" applyBorder="1" applyAlignment="1">
      <alignment horizontal="center"/>
    </xf>
    <xf numFmtId="0" fontId="6" fillId="62" borderId="93" xfId="0" applyFont="1" applyFill="1" applyBorder="1" applyAlignment="1">
      <alignment horizontal="center"/>
    </xf>
    <xf numFmtId="0" fontId="6" fillId="62" borderId="94" xfId="0" applyFont="1" applyFill="1" applyBorder="1" applyAlignment="1">
      <alignment horizontal="center"/>
    </xf>
    <xf numFmtId="0" fontId="6" fillId="7" borderId="93" xfId="0" applyFont="1" applyFill="1" applyBorder="1" applyAlignment="1">
      <alignment horizontal="center"/>
    </xf>
    <xf numFmtId="0" fontId="6" fillId="7" borderId="94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12" borderId="19" xfId="0" applyFont="1" applyFill="1" applyBorder="1" applyAlignment="1">
      <alignment horizontal="center"/>
    </xf>
    <xf numFmtId="0" fontId="1" fillId="12" borderId="36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8" borderId="19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8" fillId="12" borderId="60" xfId="0" applyFont="1" applyFill="1" applyBorder="1" applyAlignment="1">
      <alignment horizontal="center" vertical="top"/>
    </xf>
    <xf numFmtId="0" fontId="8" fillId="12" borderId="63" xfId="0" applyFont="1" applyFill="1" applyBorder="1" applyAlignment="1">
      <alignment horizontal="center" vertical="top"/>
    </xf>
    <xf numFmtId="0" fontId="8" fillId="12" borderId="64" xfId="0" applyFont="1" applyFill="1" applyBorder="1" applyAlignment="1">
      <alignment horizontal="center" vertical="top"/>
    </xf>
    <xf numFmtId="0" fontId="8" fillId="12" borderId="61" xfId="0" applyFont="1" applyFill="1" applyBorder="1" applyAlignment="1">
      <alignment horizontal="center" vertical="top"/>
    </xf>
    <xf numFmtId="0" fontId="8" fillId="12" borderId="0" xfId="0" applyFont="1" applyFill="1" applyAlignment="1">
      <alignment horizontal="center" vertical="top"/>
    </xf>
    <xf numFmtId="0" fontId="8" fillId="12" borderId="65" xfId="0" applyFont="1" applyFill="1" applyBorder="1" applyAlignment="1">
      <alignment horizontal="center" vertical="top"/>
    </xf>
    <xf numFmtId="0" fontId="8" fillId="12" borderId="68" xfId="0" applyFont="1" applyFill="1" applyBorder="1" applyAlignment="1">
      <alignment horizontal="center"/>
    </xf>
    <xf numFmtId="0" fontId="8" fillId="12" borderId="69" xfId="0" applyFont="1" applyFill="1" applyBorder="1" applyAlignment="1">
      <alignment horizontal="center"/>
    </xf>
    <xf numFmtId="0" fontId="8" fillId="12" borderId="70" xfId="0" applyFont="1" applyFill="1" applyBorder="1" applyAlignment="1">
      <alignment horizontal="center"/>
    </xf>
    <xf numFmtId="0" fontId="0" fillId="12" borderId="61" xfId="0" applyFill="1" applyBorder="1" applyAlignment="1">
      <alignment horizontal="center" vertical="top"/>
    </xf>
    <xf numFmtId="0" fontId="0" fillId="12" borderId="0" xfId="0" applyFill="1" applyAlignment="1">
      <alignment horizontal="center" vertical="top"/>
    </xf>
    <xf numFmtId="0" fontId="0" fillId="12" borderId="65" xfId="0" applyFill="1" applyBorder="1" applyAlignment="1">
      <alignment horizontal="center" vertical="top"/>
    </xf>
    <xf numFmtId="0" fontId="14" fillId="12" borderId="61" xfId="0" applyFont="1" applyFill="1" applyBorder="1" applyAlignment="1">
      <alignment horizontal="center" vertical="top" wrapText="1"/>
    </xf>
    <xf numFmtId="0" fontId="14" fillId="12" borderId="0" xfId="0" applyFont="1" applyFill="1" applyAlignment="1">
      <alignment horizontal="center" vertical="top" wrapText="1"/>
    </xf>
    <xf numFmtId="0" fontId="14" fillId="12" borderId="65" xfId="0" applyFont="1" applyFill="1" applyBorder="1" applyAlignment="1">
      <alignment horizontal="center" vertical="top" wrapText="1"/>
    </xf>
    <xf numFmtId="0" fontId="14" fillId="12" borderId="62" xfId="0" applyFont="1" applyFill="1" applyBorder="1" applyAlignment="1">
      <alignment horizontal="center" vertical="top" wrapText="1"/>
    </xf>
    <xf numFmtId="0" fontId="14" fillId="12" borderId="66" xfId="0" applyFont="1" applyFill="1" applyBorder="1" applyAlignment="1">
      <alignment horizontal="center" vertical="top" wrapText="1"/>
    </xf>
    <xf numFmtId="0" fontId="14" fillId="12" borderId="67" xfId="0" applyFont="1" applyFill="1" applyBorder="1" applyAlignment="1">
      <alignment horizontal="center" vertical="top" wrapText="1"/>
    </xf>
    <xf numFmtId="0" fontId="9" fillId="16" borderId="58" xfId="0" applyFont="1" applyFill="1" applyBorder="1" applyAlignment="1">
      <alignment horizontal="center"/>
    </xf>
    <xf numFmtId="0" fontId="6" fillId="16" borderId="68" xfId="0" applyFont="1" applyFill="1" applyBorder="1" applyAlignment="1">
      <alignment horizontal="center"/>
    </xf>
    <xf numFmtId="0" fontId="6" fillId="16" borderId="69" xfId="0" applyFont="1" applyFill="1" applyBorder="1" applyAlignment="1">
      <alignment horizontal="center"/>
    </xf>
    <xf numFmtId="0" fontId="6" fillId="16" borderId="70" xfId="0" applyFont="1" applyFill="1" applyBorder="1" applyAlignment="1">
      <alignment horizontal="center"/>
    </xf>
    <xf numFmtId="0" fontId="8" fillId="12" borderId="61" xfId="0" applyFont="1" applyFill="1" applyBorder="1" applyAlignment="1">
      <alignment horizontal="left" vertical="top" wrapText="1"/>
    </xf>
    <xf numFmtId="0" fontId="8" fillId="12" borderId="0" xfId="0" applyFont="1" applyFill="1" applyAlignment="1">
      <alignment horizontal="left" vertical="top" wrapText="1"/>
    </xf>
    <xf numFmtId="0" fontId="8" fillId="12" borderId="65" xfId="0" applyFont="1" applyFill="1" applyBorder="1" applyAlignment="1">
      <alignment horizontal="left" vertical="top" wrapText="1"/>
    </xf>
    <xf numFmtId="0" fontId="8" fillId="12" borderId="62" xfId="0" applyFont="1" applyFill="1" applyBorder="1" applyAlignment="1">
      <alignment horizontal="left" vertical="top" wrapText="1"/>
    </xf>
    <xf numFmtId="0" fontId="8" fillId="12" borderId="66" xfId="0" applyFont="1" applyFill="1" applyBorder="1" applyAlignment="1">
      <alignment horizontal="left" vertical="top" wrapText="1"/>
    </xf>
    <xf numFmtId="0" fontId="8" fillId="12" borderId="67" xfId="0" applyFont="1" applyFill="1" applyBorder="1" applyAlignment="1">
      <alignment horizontal="left" vertical="top" wrapText="1"/>
    </xf>
    <xf numFmtId="0" fontId="8" fillId="12" borderId="59" xfId="0" applyFont="1" applyFill="1" applyBorder="1" applyAlignment="1">
      <alignment horizontal="center"/>
    </xf>
    <xf numFmtId="0" fontId="9" fillId="12" borderId="68" xfId="0" applyFont="1" applyFill="1" applyBorder="1" applyAlignment="1">
      <alignment horizontal="center" vertical="center"/>
    </xf>
    <xf numFmtId="0" fontId="9" fillId="12" borderId="69" xfId="0" applyFont="1" applyFill="1" applyBorder="1" applyAlignment="1">
      <alignment horizontal="center" vertical="center"/>
    </xf>
    <xf numFmtId="0" fontId="9" fillId="12" borderId="70" xfId="0" applyFont="1" applyFill="1" applyBorder="1" applyAlignment="1">
      <alignment horizontal="center" vertical="center"/>
    </xf>
    <xf numFmtId="165" fontId="8" fillId="12" borderId="68" xfId="0" applyNumberFormat="1" applyFont="1" applyFill="1" applyBorder="1" applyAlignment="1">
      <alignment horizontal="center"/>
    </xf>
    <xf numFmtId="165" fontId="8" fillId="12" borderId="70" xfId="0" applyNumberFormat="1" applyFont="1" applyFill="1" applyBorder="1" applyAlignment="1">
      <alignment horizontal="center"/>
    </xf>
    <xf numFmtId="0" fontId="9" fillId="16" borderId="68" xfId="0" applyFont="1" applyFill="1" applyBorder="1" applyAlignment="1">
      <alignment horizontal="center"/>
    </xf>
    <xf numFmtId="0" fontId="9" fillId="16" borderId="69" xfId="0" applyFont="1" applyFill="1" applyBorder="1" applyAlignment="1">
      <alignment horizontal="center"/>
    </xf>
    <xf numFmtId="0" fontId="9" fillId="16" borderId="70" xfId="0" applyFont="1" applyFill="1" applyBorder="1" applyAlignment="1">
      <alignment horizontal="center"/>
    </xf>
    <xf numFmtId="0" fontId="8" fillId="12" borderId="58" xfId="0" applyFont="1" applyFill="1" applyBorder="1" applyAlignment="1">
      <alignment horizontal="center"/>
    </xf>
    <xf numFmtId="0" fontId="9" fillId="12" borderId="58" xfId="0" applyFont="1" applyFill="1" applyBorder="1" applyAlignment="1">
      <alignment horizontal="center"/>
    </xf>
    <xf numFmtId="0" fontId="9" fillId="12" borderId="58" xfId="0" applyFont="1" applyFill="1" applyBorder="1" applyAlignment="1">
      <alignment horizontal="center" vertical="center"/>
    </xf>
    <xf numFmtId="0" fontId="9" fillId="12" borderId="60" xfId="0" applyFont="1" applyFill="1" applyBorder="1" applyAlignment="1">
      <alignment horizontal="center" vertical="center"/>
    </xf>
    <xf numFmtId="0" fontId="9" fillId="12" borderId="64" xfId="0" applyFont="1" applyFill="1" applyBorder="1" applyAlignment="1">
      <alignment horizontal="center" vertical="center"/>
    </xf>
    <xf numFmtId="0" fontId="9" fillId="12" borderId="62" xfId="0" applyFont="1" applyFill="1" applyBorder="1" applyAlignment="1">
      <alignment horizontal="center" vertical="center"/>
    </xf>
    <xf numFmtId="0" fontId="9" fillId="12" borderId="67" xfId="0" applyFont="1" applyFill="1" applyBorder="1" applyAlignment="1">
      <alignment horizontal="center" vertical="center"/>
    </xf>
    <xf numFmtId="0" fontId="9" fillId="12" borderId="68" xfId="0" applyFont="1" applyFill="1" applyBorder="1" applyAlignment="1">
      <alignment horizontal="center"/>
    </xf>
    <xf numFmtId="0" fontId="9" fillId="12" borderId="70" xfId="0" applyFont="1" applyFill="1" applyBorder="1" applyAlignment="1">
      <alignment horizontal="center"/>
    </xf>
    <xf numFmtId="0" fontId="12" fillId="12" borderId="58" xfId="0" applyFont="1" applyFill="1" applyBorder="1" applyAlignment="1">
      <alignment horizontal="center"/>
    </xf>
    <xf numFmtId="0" fontId="9" fillId="16" borderId="63" xfId="0" applyFont="1" applyFill="1" applyBorder="1" applyAlignment="1">
      <alignment horizontal="center"/>
    </xf>
    <xf numFmtId="0" fontId="10" fillId="15" borderId="68" xfId="0" applyFont="1" applyFill="1" applyBorder="1" applyAlignment="1">
      <alignment horizontal="center"/>
    </xf>
    <xf numFmtId="0" fontId="10" fillId="15" borderId="69" xfId="0" applyFont="1" applyFill="1" applyBorder="1" applyAlignment="1">
      <alignment horizontal="center"/>
    </xf>
    <xf numFmtId="0" fontId="10" fillId="15" borderId="70" xfId="0" applyFont="1" applyFill="1" applyBorder="1" applyAlignment="1">
      <alignment horizontal="center"/>
    </xf>
    <xf numFmtId="0" fontId="9" fillId="12" borderId="61" xfId="0" applyFont="1" applyFill="1" applyBorder="1" applyAlignment="1">
      <alignment horizontal="center"/>
    </xf>
    <xf numFmtId="0" fontId="9" fillId="12" borderId="0" xfId="0" applyFont="1" applyFill="1" applyAlignment="1">
      <alignment horizontal="center"/>
    </xf>
    <xf numFmtId="0" fontId="9" fillId="15" borderId="68" xfId="0" applyFont="1" applyFill="1" applyBorder="1" applyAlignment="1">
      <alignment horizontal="center"/>
    </xf>
    <xf numFmtId="0" fontId="9" fillId="15" borderId="69" xfId="0" applyFont="1" applyFill="1" applyBorder="1" applyAlignment="1">
      <alignment horizontal="center"/>
    </xf>
    <xf numFmtId="0" fontId="9" fillId="15" borderId="70" xfId="0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11" fillId="12" borderId="58" xfId="0" applyFont="1" applyFill="1" applyBorder="1" applyAlignment="1">
      <alignment horizontal="center"/>
    </xf>
  </cellXfs>
  <cellStyles count="8">
    <cellStyle name="Accent4" xfId="1" builtinId="41"/>
    <cellStyle name="Comma" xfId="7" builtinId="3"/>
    <cellStyle name="Euro 3 2" xfId="3" xr:uid="{00000000-0005-0000-0000-000001000000}"/>
    <cellStyle name="Hyperlink" xfId="4" builtinId="8"/>
    <cellStyle name="Normal" xfId="0" builtinId="0"/>
    <cellStyle name="Normal 2" xfId="2" xr:uid="{00000000-0005-0000-0000-000004000000}"/>
    <cellStyle name="Normal_Hoja3" xfId="6" xr:uid="{AEE1628E-F413-4C54-A0A5-E1A9FC54636D}"/>
    <cellStyle name="Percent" xfId="5" builtinId="5"/>
  </cellStyles>
  <dxfs count="7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2" defaultPivotStyle="PivotStyleLight16"/>
  <colors>
    <mruColors>
      <color rgb="FFFF9966"/>
      <color rgb="FF66FF99"/>
      <color rgb="FF57D3FF"/>
      <color rgb="FF43FF82"/>
      <color rgb="FFFF99FF"/>
      <color rgb="FF8FE2FF"/>
      <color rgb="FFCCCC00"/>
      <color rgb="FF66FF66"/>
      <color rgb="FF73D46E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SOMATOCARTA!$F$16</c:f>
              <c:numCache>
                <c:formatCode>0.0</c:formatCode>
                <c:ptCount val="1"/>
                <c:pt idx="0">
                  <c:v>0</c:v>
                </c:pt>
              </c:numCache>
            </c:numRef>
          </c:xVal>
          <c:yVal>
            <c:numRef>
              <c:f>SOMATOCARTA!$G$16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AB-4497-B2C7-D8EBC796B442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SOMATOCARTA!$F$17</c:f>
              <c:numCache>
                <c:formatCode>0.0</c:formatCode>
                <c:ptCount val="1"/>
                <c:pt idx="0">
                  <c:v>0</c:v>
                </c:pt>
              </c:numCache>
            </c:numRef>
          </c:xVal>
          <c:yVal>
            <c:numRef>
              <c:f>SOMATOCARTA!$G$17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AB-4497-B2C7-D8EBC796B442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SOMATOCARTA!$F$19</c:f>
              <c:numCache>
                <c:formatCode>0.0</c:formatCode>
                <c:ptCount val="1"/>
                <c:pt idx="0">
                  <c:v>0</c:v>
                </c:pt>
              </c:numCache>
            </c:numRef>
          </c:xVal>
          <c:yVal>
            <c:numRef>
              <c:f>SOMATOCARTA!$G$19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AB-4497-B2C7-D8EBC796B442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SOMATOCARTA!$F$20</c:f>
              <c:numCache>
                <c:formatCode>0.0</c:formatCode>
                <c:ptCount val="1"/>
                <c:pt idx="0">
                  <c:v>0</c:v>
                </c:pt>
              </c:numCache>
            </c:numRef>
          </c:xVal>
          <c:yVal>
            <c:numRef>
              <c:f>SOMATOCARTA!$G$20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DAB-4497-B2C7-D8EBC796B442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SOMATOCARTA!$F$21</c:f>
              <c:numCache>
                <c:formatCode>0.0</c:formatCode>
                <c:ptCount val="1"/>
                <c:pt idx="0">
                  <c:v>0</c:v>
                </c:pt>
              </c:numCache>
            </c:numRef>
          </c:xVal>
          <c:yVal>
            <c:numRef>
              <c:f>SOMATOCARTA!$G$21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DAB-4497-B2C7-D8EBC796B442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SOMATOCARTA!$F$22</c:f>
              <c:numCache>
                <c:formatCode>0.0</c:formatCode>
                <c:ptCount val="1"/>
                <c:pt idx="0">
                  <c:v>0</c:v>
                </c:pt>
              </c:numCache>
            </c:numRef>
          </c:xVal>
          <c:yVal>
            <c:numRef>
              <c:f>SOMATOCARTA!$G$22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DAB-4497-B2C7-D8EBC796B442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SOMATOCARTA!$F$23</c:f>
              <c:numCache>
                <c:formatCode>0.0</c:formatCode>
                <c:ptCount val="1"/>
                <c:pt idx="0">
                  <c:v>0</c:v>
                </c:pt>
              </c:numCache>
            </c:numRef>
          </c:xVal>
          <c:yVal>
            <c:numRef>
              <c:f>SOMATOCARTA!$G$23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DAB-4497-B2C7-D8EBC796B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588544"/>
        <c:axId val="35058619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SOMATOCARTA!$F$17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01-DDAB-4497-B2C7-D8EBC796B442}"/>
                  </c:ext>
                </c:extLst>
              </c15:ser>
            </c15:filteredScatterSeries>
          </c:ext>
        </c:extLst>
      </c:scatterChart>
      <c:valAx>
        <c:axId val="350588544"/>
        <c:scaling>
          <c:orientation val="minMax"/>
          <c:max val="8"/>
          <c:min val="-8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50586192"/>
        <c:crosses val="autoZero"/>
        <c:crossBetween val="midCat"/>
        <c:majorUnit val="1"/>
      </c:valAx>
      <c:valAx>
        <c:axId val="350586192"/>
        <c:scaling>
          <c:orientation val="minMax"/>
          <c:max val="18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50588544"/>
        <c:crosses val="autoZero"/>
        <c:crossBetween val="midCat"/>
        <c:majorUnit val="2"/>
        <c:min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ANTROPOMETRIA!#REF!</c:f>
            </c:numRef>
          </c:xVal>
          <c:yVal>
            <c:numRef>
              <c:f>ANTROPOMETRIA!#REF!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A98-4C23-B8D1-1B26E9871E6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ANTROPOMETRIA!#REF!</c:f>
            </c:numRef>
          </c:xVal>
          <c:yVal>
            <c:numRef>
              <c:f>ANTROPOMETRIA!#REF!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A98-4C23-B8D1-1B26E9871E6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ANTROPOMETRIA!#REF!</c:f>
            </c:numRef>
          </c:xVal>
          <c:yVal>
            <c:numRef>
              <c:f>ANTROPOMETRIA!#REF!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A98-4C23-B8D1-1B26E9871E6A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ANTROPOMETRIA!#REF!</c:f>
            </c:numRef>
          </c:xVal>
          <c:yVal>
            <c:numRef>
              <c:f>ANTROPOMETRIA!#REF!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98-4C23-B8D1-1B26E9871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586584"/>
        <c:axId val="350590896"/>
        <c:extLst/>
      </c:scatterChart>
      <c:valAx>
        <c:axId val="350586584"/>
        <c:scaling>
          <c:orientation val="minMax"/>
          <c:max val="8"/>
          <c:min val="-8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50590896"/>
        <c:crosses val="autoZero"/>
        <c:crossBetween val="midCat"/>
        <c:majorUnit val="1"/>
      </c:valAx>
      <c:valAx>
        <c:axId val="350590896"/>
        <c:scaling>
          <c:orientation val="minMax"/>
          <c:max val="18"/>
          <c:min val="-1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50586584"/>
        <c:crosses val="autoZero"/>
        <c:crossBetween val="midCat"/>
        <c:majorUnit val="2"/>
        <c:min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1.xml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64608</xdr:colOff>
      <xdr:row>0</xdr:row>
      <xdr:rowOff>10886</xdr:rowOff>
    </xdr:from>
    <xdr:to>
      <xdr:col>18</xdr:col>
      <xdr:colOff>409714</xdr:colOff>
      <xdr:row>14</xdr:row>
      <xdr:rowOff>163286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83C7F6-9119-FB53-327F-D98EFE359F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456" t="61384" r="49935" b="14063"/>
        <a:stretch>
          <a:fillRect/>
        </a:stretch>
      </xdr:blipFill>
      <xdr:spPr>
        <a:xfrm>
          <a:off x="12376351" y="10886"/>
          <a:ext cx="4568763" cy="37991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22085</xdr:colOff>
      <xdr:row>0</xdr:row>
      <xdr:rowOff>33131</xdr:rowOff>
    </xdr:from>
    <xdr:to>
      <xdr:col>6</xdr:col>
      <xdr:colOff>408607</xdr:colOff>
      <xdr:row>4</xdr:row>
      <xdr:rowOff>417729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BB4130C-930D-ADB8-D2EE-350834587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8433" y="33131"/>
          <a:ext cx="1170609" cy="15331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1055688</xdr:colOff>
      <xdr:row>0</xdr:row>
      <xdr:rowOff>47625</xdr:rowOff>
    </xdr:from>
    <xdr:to>
      <xdr:col>0</xdr:col>
      <xdr:colOff>1552661</xdr:colOff>
      <xdr:row>3</xdr:row>
      <xdr:rowOff>150812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E9B246-67A1-F1DC-E9D4-43F9ADC96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688" y="47625"/>
          <a:ext cx="496973" cy="6508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276225</xdr:colOff>
      <xdr:row>3</xdr:row>
      <xdr:rowOff>138144</xdr:rowOff>
    </xdr:from>
    <xdr:to>
      <xdr:col>15</xdr:col>
      <xdr:colOff>762000</xdr:colOff>
      <xdr:row>10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1CC4398-8E5D-5D57-903D-0AB0DA9E8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16225" y="928719"/>
          <a:ext cx="1276350" cy="16716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714375</xdr:colOff>
      <xdr:row>6</xdr:row>
      <xdr:rowOff>152400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2238375" y="129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8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2238375" y="129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8</xdr:row>
      <xdr:rowOff>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2238375" y="148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8</xdr:row>
      <xdr:rowOff>152400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2238375" y="167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twoCellAnchor editAs="oneCell">
    <xdr:from>
      <xdr:col>0</xdr:col>
      <xdr:colOff>342900</xdr:colOff>
      <xdr:row>40</xdr:row>
      <xdr:rowOff>0</xdr:rowOff>
    </xdr:from>
    <xdr:to>
      <xdr:col>3</xdr:col>
      <xdr:colOff>277650</xdr:colOff>
      <xdr:row>47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5076825"/>
          <a:ext cx="2220750" cy="1343025"/>
        </a:xfrm>
        <a:prstGeom prst="rect">
          <a:avLst/>
        </a:prstGeom>
      </xdr:spPr>
    </xdr:pic>
    <xdr:clientData/>
  </xdr:twoCellAnchor>
  <xdr:oneCellAnchor>
    <xdr:from>
      <xdr:col>2</xdr:col>
      <xdr:colOff>714375</xdr:colOff>
      <xdr:row>20</xdr:row>
      <xdr:rowOff>152400</xdr:rowOff>
    </xdr:from>
    <xdr:ext cx="184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55F7A771-9DE6-4E67-B590-EDE959A5B2DC}"/>
            </a:ext>
          </a:extLst>
        </xdr:cNvPr>
        <xdr:cNvSpPr txBox="1"/>
      </xdr:nvSpPr>
      <xdr:spPr>
        <a:xfrm>
          <a:off x="2299335" y="12496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21</xdr:row>
      <xdr:rowOff>0</xdr:rowOff>
    </xdr:from>
    <xdr:ext cx="184731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CB62B3DC-E1EE-4BC4-AED4-5B3ECD67A91A}"/>
            </a:ext>
          </a:extLst>
        </xdr:cNvPr>
        <xdr:cNvSpPr txBox="1"/>
      </xdr:nvSpPr>
      <xdr:spPr>
        <a:xfrm>
          <a:off x="2299335" y="1280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21</xdr:row>
      <xdr:rowOff>0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96B9C5D3-2D8F-4D48-8232-41B06E84BA4A}"/>
            </a:ext>
          </a:extLst>
        </xdr:cNvPr>
        <xdr:cNvSpPr txBox="1"/>
      </xdr:nvSpPr>
      <xdr:spPr>
        <a:xfrm>
          <a:off x="2299335" y="1280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21</xdr:row>
      <xdr:rowOff>152400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811E542-C268-4343-AAC6-E007C61F2A1D}"/>
            </a:ext>
          </a:extLst>
        </xdr:cNvPr>
        <xdr:cNvSpPr txBox="1"/>
      </xdr:nvSpPr>
      <xdr:spPr>
        <a:xfrm>
          <a:off x="2299335" y="14325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20</xdr:row>
      <xdr:rowOff>152400</xdr:rowOff>
    </xdr:from>
    <xdr:ext cx="18473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5696A425-F4CD-46EA-956B-42E2147A4E0D}"/>
            </a:ext>
          </a:extLst>
        </xdr:cNvPr>
        <xdr:cNvSpPr txBox="1"/>
      </xdr:nvSpPr>
      <xdr:spPr>
        <a:xfrm>
          <a:off x="2299335" y="12496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21</xdr:row>
      <xdr:rowOff>0</xdr:rowOff>
    </xdr:from>
    <xdr:ext cx="184731" cy="2645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B5A35DDE-326A-42DA-9361-07E849A6F9AE}"/>
            </a:ext>
          </a:extLst>
        </xdr:cNvPr>
        <xdr:cNvSpPr txBox="1"/>
      </xdr:nvSpPr>
      <xdr:spPr>
        <a:xfrm>
          <a:off x="2299335" y="1280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21</xdr:row>
      <xdr:rowOff>0</xdr:rowOff>
    </xdr:from>
    <xdr:ext cx="184731" cy="264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38FC0320-5ADA-469E-BA17-A835C677CD68}"/>
            </a:ext>
          </a:extLst>
        </xdr:cNvPr>
        <xdr:cNvSpPr txBox="1"/>
      </xdr:nvSpPr>
      <xdr:spPr>
        <a:xfrm>
          <a:off x="2299335" y="1280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21</xdr:row>
      <xdr:rowOff>152400</xdr:rowOff>
    </xdr:from>
    <xdr:ext cx="184731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82C98083-DE06-4090-9146-C12EFD244E44}"/>
            </a:ext>
          </a:extLst>
        </xdr:cNvPr>
        <xdr:cNvSpPr txBox="1"/>
      </xdr:nvSpPr>
      <xdr:spPr>
        <a:xfrm>
          <a:off x="2299335" y="14325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7</xdr:row>
      <xdr:rowOff>0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43C516-A948-4797-8EE5-828B015123C1}"/>
            </a:ext>
          </a:extLst>
        </xdr:cNvPr>
        <xdr:cNvSpPr txBox="1"/>
      </xdr:nvSpPr>
      <xdr:spPr>
        <a:xfrm>
          <a:off x="2299335" y="15468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7</xdr:row>
      <xdr:rowOff>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F4D4B30-88B2-40C6-9227-848DA33D9896}"/>
            </a:ext>
          </a:extLst>
        </xdr:cNvPr>
        <xdr:cNvSpPr txBox="1"/>
      </xdr:nvSpPr>
      <xdr:spPr>
        <a:xfrm>
          <a:off x="2299335" y="15468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1</xdr:row>
      <xdr:rowOff>47625</xdr:rowOff>
    </xdr:from>
    <xdr:to>
      <xdr:col>1</xdr:col>
      <xdr:colOff>457200</xdr:colOff>
      <xdr:row>12</xdr:row>
      <xdr:rowOff>87433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8125"/>
          <a:ext cx="2324100" cy="2135308"/>
        </a:xfrm>
        <a:prstGeom prst="rect">
          <a:avLst/>
        </a:prstGeom>
      </xdr:spPr>
    </xdr:pic>
    <xdr:clientData/>
  </xdr:twoCellAnchor>
  <xdr:oneCellAnchor>
    <xdr:from>
      <xdr:col>2</xdr:col>
      <xdr:colOff>70666</xdr:colOff>
      <xdr:row>4</xdr:row>
      <xdr:rowOff>112210</xdr:rowOff>
    </xdr:from>
    <xdr:ext cx="6850017" cy="937629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3099616" y="874210"/>
          <a:ext cx="685001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D&amp;V</a:t>
          </a:r>
          <a:r>
            <a:rPr lang="es-E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SPORT NUTRICIÓN</a:t>
          </a:r>
          <a:endParaRPr lang="es-E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382058</xdr:colOff>
      <xdr:row>26</xdr:row>
      <xdr:rowOff>77259</xdr:rowOff>
    </xdr:from>
    <xdr:to>
      <xdr:col>6</xdr:col>
      <xdr:colOff>1000125</xdr:colOff>
      <xdr:row>61</xdr:row>
      <xdr:rowOff>15337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058" y="5087409"/>
          <a:ext cx="6037792" cy="6605578"/>
        </a:xfrm>
        <a:prstGeom prst="rect">
          <a:avLst/>
        </a:prstGeom>
        <a:ln w="38100" cap="sq">
          <a:solidFill>
            <a:srgbClr val="FFC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685801</xdr:colOff>
      <xdr:row>28</xdr:row>
      <xdr:rowOff>118533</xdr:rowOff>
    </xdr:from>
    <xdr:to>
      <xdr:col>6</xdr:col>
      <xdr:colOff>685801</xdr:colOff>
      <xdr:row>57</xdr:row>
      <xdr:rowOff>16934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247650</xdr:colOff>
      <xdr:row>1</xdr:row>
      <xdr:rowOff>47625</xdr:rowOff>
    </xdr:from>
    <xdr:to>
      <xdr:col>3</xdr:col>
      <xdr:colOff>85725</xdr:colOff>
      <xdr:row>12</xdr:row>
      <xdr:rowOff>87433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8125"/>
          <a:ext cx="2324100" cy="2135308"/>
        </a:xfrm>
        <a:prstGeom prst="rect">
          <a:avLst/>
        </a:prstGeom>
      </xdr:spPr>
    </xdr:pic>
    <xdr:clientData/>
  </xdr:twoCellAnchor>
  <xdr:oneCellAnchor>
    <xdr:from>
      <xdr:col>3</xdr:col>
      <xdr:colOff>327841</xdr:colOff>
      <xdr:row>5</xdr:row>
      <xdr:rowOff>74110</xdr:rowOff>
    </xdr:from>
    <xdr:ext cx="6850017" cy="937629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2813866" y="1026610"/>
          <a:ext cx="685001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D&amp;V</a:t>
          </a:r>
          <a:r>
            <a:rPr lang="es-E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SPORT NUTRICIÓN</a:t>
          </a:r>
          <a:endParaRPr lang="es-E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67</xdr:row>
      <xdr:rowOff>123825</xdr:rowOff>
    </xdr:from>
    <xdr:to>
      <xdr:col>7</xdr:col>
      <xdr:colOff>752475</xdr:colOff>
      <xdr:row>90</xdr:row>
      <xdr:rowOff>38101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68" t="13825" r="7814" b="13665"/>
        <a:stretch/>
      </xdr:blipFill>
      <xdr:spPr>
        <a:xfrm>
          <a:off x="895350" y="13439775"/>
          <a:ext cx="4705350" cy="4295776"/>
        </a:xfrm>
        <a:prstGeom prst="rect">
          <a:avLst/>
        </a:prstGeom>
        <a:ln w="38100" cap="sq">
          <a:noFill/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</xdr:col>
      <xdr:colOff>0</xdr:colOff>
      <xdr:row>64</xdr:row>
      <xdr:rowOff>161924</xdr:rowOff>
    </xdr:from>
    <xdr:to>
      <xdr:col>8</xdr:col>
      <xdr:colOff>171450</xdr:colOff>
      <xdr:row>90</xdr:row>
      <xdr:rowOff>136525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B0F0"/>
  </sheetPr>
  <dimension ref="A1:AC123"/>
  <sheetViews>
    <sheetView zoomScale="132" zoomScaleNormal="70" workbookViewId="0">
      <selection activeCell="C4" sqref="C4:F4"/>
    </sheetView>
  </sheetViews>
  <sheetFormatPr baseColWidth="10" defaultRowHeight="15" x14ac:dyDescent="0.2"/>
  <cols>
    <col min="1" max="1" width="15.6640625" customWidth="1"/>
    <col min="2" max="2" width="14.6640625" customWidth="1"/>
    <col min="3" max="3" width="13.6640625" customWidth="1"/>
    <col min="4" max="4" width="18.83203125" customWidth="1"/>
    <col min="7" max="7" width="15.33203125" customWidth="1"/>
    <col min="8" max="8" width="17.33203125" customWidth="1"/>
    <col min="10" max="10" width="20.5" customWidth="1"/>
    <col min="11" max="11" width="13" customWidth="1"/>
    <col min="13" max="13" width="4.1640625" customWidth="1"/>
    <col min="15" max="15" width="11.5" customWidth="1"/>
    <col min="16" max="16" width="15.33203125" customWidth="1"/>
  </cols>
  <sheetData>
    <row r="1" spans="1:29" ht="40.5" customHeight="1" thickTop="1" thickBot="1" x14ac:dyDescent="0.55000000000000004">
      <c r="A1" s="616" t="s">
        <v>770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8"/>
      <c r="N1" s="11"/>
      <c r="O1" s="11"/>
      <c r="P1" s="11"/>
      <c r="Q1" s="11"/>
      <c r="R1" s="672"/>
      <c r="AC1" t="s">
        <v>84</v>
      </c>
    </row>
    <row r="2" spans="1:29" ht="18" thickTop="1" thickBot="1" x14ac:dyDescent="0.25">
      <c r="A2" s="319" t="s">
        <v>636</v>
      </c>
      <c r="B2" s="320">
        <v>46045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  <c r="P2" s="11"/>
      <c r="Q2" s="11"/>
      <c r="R2" s="672"/>
      <c r="AC2" t="s">
        <v>264</v>
      </c>
    </row>
    <row r="3" spans="1:29" ht="17" thickTop="1" thickBot="1" x14ac:dyDescent="0.25">
      <c r="A3" s="619" t="s">
        <v>53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619"/>
      <c r="N3" s="11"/>
      <c r="O3" s="11"/>
      <c r="P3" s="11"/>
      <c r="Q3" s="11"/>
      <c r="R3" s="672"/>
    </row>
    <row r="4" spans="1:29" ht="17" thickTop="1" thickBot="1" x14ac:dyDescent="0.25">
      <c r="A4" s="620" t="s">
        <v>54</v>
      </c>
      <c r="B4" s="621"/>
      <c r="C4" s="638" t="s">
        <v>977</v>
      </c>
      <c r="D4" s="638"/>
      <c r="E4" s="638"/>
      <c r="F4" s="638"/>
      <c r="G4" s="624" t="s">
        <v>251</v>
      </c>
      <c r="H4" s="625"/>
      <c r="I4" s="638" t="s">
        <v>979</v>
      </c>
      <c r="J4" s="638"/>
      <c r="K4" s="638"/>
      <c r="L4" s="638"/>
      <c r="M4" s="638"/>
      <c r="N4" s="96"/>
      <c r="O4" s="11"/>
      <c r="P4" s="11"/>
      <c r="Q4" s="11"/>
      <c r="R4" s="672"/>
    </row>
    <row r="5" spans="1:29" ht="17" thickTop="1" thickBot="1" x14ac:dyDescent="0.25">
      <c r="A5" s="622" t="s">
        <v>244</v>
      </c>
      <c r="B5" s="623"/>
      <c r="C5" s="640">
        <v>29625616</v>
      </c>
      <c r="D5" s="526"/>
      <c r="E5" s="526"/>
      <c r="F5" s="526"/>
      <c r="G5" s="636" t="s">
        <v>975</v>
      </c>
      <c r="H5" s="637"/>
      <c r="I5" s="525" t="s">
        <v>980</v>
      </c>
      <c r="J5" s="526"/>
      <c r="K5" s="526"/>
      <c r="L5" s="526"/>
      <c r="M5" s="639"/>
      <c r="N5" s="11"/>
      <c r="O5" s="11"/>
      <c r="P5" s="11"/>
      <c r="Q5" s="11"/>
      <c r="R5" s="672"/>
    </row>
    <row r="6" spans="1:29" ht="17" thickTop="1" thickBot="1" x14ac:dyDescent="0.25">
      <c r="A6" s="655" t="s">
        <v>291</v>
      </c>
      <c r="B6" s="637"/>
      <c r="C6" s="649">
        <v>37404</v>
      </c>
      <c r="D6" s="526"/>
      <c r="E6" s="526"/>
      <c r="F6" s="526"/>
      <c r="G6" s="653" t="s">
        <v>241</v>
      </c>
      <c r="H6" s="623"/>
      <c r="I6" s="526"/>
      <c r="J6" s="526"/>
      <c r="K6" s="526"/>
      <c r="L6" s="526"/>
      <c r="M6" s="534"/>
      <c r="N6" s="96"/>
      <c r="O6" s="11"/>
      <c r="P6" s="11"/>
      <c r="Q6" s="11"/>
      <c r="R6" s="672"/>
    </row>
    <row r="7" spans="1:29" ht="17" thickTop="1" thickBot="1" x14ac:dyDescent="0.25">
      <c r="A7" s="542" t="s">
        <v>243</v>
      </c>
      <c r="B7" s="543"/>
      <c r="C7" s="659">
        <f>(B2-C6)/365</f>
        <v>23.673972602739727</v>
      </c>
      <c r="D7" s="660"/>
      <c r="E7" s="660"/>
      <c r="F7" s="661"/>
      <c r="G7" s="613" t="s">
        <v>293</v>
      </c>
      <c r="H7" s="662"/>
      <c r="I7" s="663"/>
      <c r="J7" s="526"/>
      <c r="K7" s="526"/>
      <c r="L7" s="526"/>
      <c r="M7" s="534"/>
      <c r="N7" s="96"/>
      <c r="O7" s="11"/>
      <c r="P7" s="11"/>
      <c r="Q7" s="11"/>
      <c r="R7" s="672"/>
    </row>
    <row r="8" spans="1:29" ht="17" thickTop="1" thickBot="1" x14ac:dyDescent="0.25">
      <c r="A8" s="666" t="s">
        <v>290</v>
      </c>
      <c r="B8" s="543"/>
      <c r="C8" s="649"/>
      <c r="D8" s="546"/>
      <c r="E8" s="546"/>
      <c r="F8" s="546"/>
      <c r="G8" s="613" t="s">
        <v>635</v>
      </c>
      <c r="H8" s="662"/>
      <c r="I8" s="667"/>
      <c r="J8" s="668"/>
      <c r="K8" s="318" t="s">
        <v>634</v>
      </c>
      <c r="L8" s="669"/>
      <c r="M8" s="670"/>
      <c r="N8" s="11"/>
      <c r="O8" s="11"/>
      <c r="P8" s="11"/>
      <c r="Q8" s="11"/>
      <c r="R8" s="672"/>
    </row>
    <row r="9" spans="1:29" ht="17" thickTop="1" thickBot="1" x14ac:dyDescent="0.25">
      <c r="A9" s="656" t="s">
        <v>248</v>
      </c>
      <c r="B9" s="657"/>
      <c r="C9" s="525" t="s">
        <v>978</v>
      </c>
      <c r="D9" s="526"/>
      <c r="E9" s="526"/>
      <c r="F9" s="526"/>
      <c r="G9" s="526"/>
      <c r="H9" s="526"/>
      <c r="I9" s="526"/>
      <c r="J9" s="526"/>
      <c r="K9" s="318" t="s">
        <v>637</v>
      </c>
      <c r="L9" s="671"/>
      <c r="M9" s="534"/>
      <c r="N9" s="11"/>
      <c r="O9" s="11"/>
      <c r="P9" s="11"/>
      <c r="Q9" s="11"/>
      <c r="R9" s="672"/>
    </row>
    <row r="10" spans="1:29" ht="16" thickBot="1" x14ac:dyDescent="0.25">
      <c r="A10" s="620" t="s">
        <v>82</v>
      </c>
      <c r="B10" s="658"/>
      <c r="C10" s="654" t="s">
        <v>84</v>
      </c>
      <c r="D10" s="535"/>
      <c r="E10" s="535"/>
      <c r="F10" s="545"/>
      <c r="G10" s="664"/>
      <c r="H10" s="665"/>
      <c r="I10" s="665"/>
      <c r="J10" s="665"/>
      <c r="K10" s="665"/>
      <c r="L10" s="665"/>
      <c r="M10" s="665"/>
      <c r="N10" s="11"/>
      <c r="O10" s="11"/>
      <c r="P10" s="11"/>
      <c r="Q10" s="11"/>
      <c r="R10" s="672"/>
    </row>
    <row r="11" spans="1:29" ht="16" thickBot="1" x14ac:dyDescent="0.25">
      <c r="A11" s="627" t="s">
        <v>292</v>
      </c>
      <c r="B11" s="632"/>
      <c r="C11" s="535" t="s">
        <v>985</v>
      </c>
      <c r="D11" s="535"/>
      <c r="E11" s="535"/>
      <c r="F11" s="535"/>
      <c r="G11" s="535"/>
      <c r="H11" s="535"/>
      <c r="I11" s="535"/>
      <c r="J11" s="535"/>
      <c r="K11" s="535"/>
      <c r="L11" s="535"/>
      <c r="M11" s="535"/>
      <c r="N11" s="11"/>
      <c r="O11" s="11"/>
      <c r="P11" s="11"/>
      <c r="Q11" s="11"/>
      <c r="R11" s="672"/>
    </row>
    <row r="12" spans="1:29" ht="16" thickBot="1" x14ac:dyDescent="0.25">
      <c r="A12" s="633" t="s">
        <v>246</v>
      </c>
      <c r="B12" s="635"/>
      <c r="C12" s="589" t="s">
        <v>984</v>
      </c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11"/>
      <c r="O12" s="11"/>
      <c r="P12" s="11"/>
      <c r="Q12" s="11"/>
      <c r="R12" s="672"/>
    </row>
    <row r="13" spans="1:29" ht="17" thickTop="1" thickBot="1" x14ac:dyDescent="0.25">
      <c r="A13" s="604" t="s">
        <v>57</v>
      </c>
      <c r="B13" s="605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3"/>
      <c r="N13" s="11"/>
      <c r="O13" s="11"/>
      <c r="P13" s="11"/>
      <c r="Q13" s="11"/>
      <c r="R13" s="672"/>
    </row>
    <row r="14" spans="1:29" ht="17" thickTop="1" thickBot="1" x14ac:dyDescent="0.25">
      <c r="A14" s="690" t="s">
        <v>294</v>
      </c>
      <c r="B14" s="691"/>
      <c r="C14" s="691"/>
      <c r="D14" s="692"/>
      <c r="E14" s="650" t="s">
        <v>981</v>
      </c>
      <c r="F14" s="651"/>
      <c r="G14" s="651"/>
      <c r="H14" s="651"/>
      <c r="I14" s="651"/>
      <c r="J14" s="651"/>
      <c r="K14" s="651"/>
      <c r="L14" s="651"/>
      <c r="M14" s="652"/>
      <c r="N14" s="11"/>
      <c r="O14" s="11"/>
      <c r="P14" s="11"/>
      <c r="Q14" s="11"/>
      <c r="R14" s="672"/>
    </row>
    <row r="15" spans="1:29" ht="17" thickTop="1" thickBot="1" x14ac:dyDescent="0.25">
      <c r="A15" s="622" t="s">
        <v>295</v>
      </c>
      <c r="B15" s="622"/>
      <c r="C15" s="622"/>
      <c r="D15" s="685"/>
      <c r="E15" s="686" t="s">
        <v>982</v>
      </c>
      <c r="F15" s="687"/>
      <c r="G15" s="688"/>
      <c r="H15" s="688"/>
      <c r="I15" s="688"/>
      <c r="J15" s="688"/>
      <c r="K15" s="687"/>
      <c r="L15" s="687"/>
      <c r="M15" s="689"/>
      <c r="N15" s="11"/>
      <c r="O15" s="11"/>
      <c r="P15" s="11"/>
      <c r="Q15" s="11"/>
      <c r="R15" s="672"/>
    </row>
    <row r="16" spans="1:29" ht="17" thickTop="1" thickBot="1" x14ac:dyDescent="0.25">
      <c r="A16" s="551" t="s">
        <v>58</v>
      </c>
      <c r="B16" s="552"/>
      <c r="C16" s="552"/>
      <c r="D16" s="552"/>
      <c r="E16" s="552"/>
      <c r="F16" s="552"/>
      <c r="G16" s="552"/>
      <c r="H16" s="552"/>
      <c r="I16" s="552"/>
      <c r="J16" s="552"/>
      <c r="K16" s="552"/>
      <c r="L16" s="552"/>
      <c r="M16" s="553"/>
      <c r="N16" s="13"/>
      <c r="O16" s="673"/>
      <c r="P16" s="673"/>
      <c r="Q16" s="11"/>
      <c r="R16" s="672"/>
    </row>
    <row r="17" spans="1:18" ht="17" thickTop="1" thickBot="1" x14ac:dyDescent="0.25">
      <c r="A17" s="658" t="s">
        <v>294</v>
      </c>
      <c r="B17" s="675"/>
      <c r="C17" s="675"/>
      <c r="D17" s="677"/>
      <c r="E17" s="678" t="s">
        <v>983</v>
      </c>
      <c r="F17" s="679"/>
      <c r="G17" s="679"/>
      <c r="H17" s="679"/>
      <c r="I17" s="679"/>
      <c r="J17" s="679"/>
      <c r="K17" s="679"/>
      <c r="L17" s="679"/>
      <c r="M17" s="680"/>
      <c r="N17" s="11"/>
      <c r="O17" s="673"/>
      <c r="P17" s="673"/>
      <c r="Q17" s="11"/>
      <c r="R17" s="672"/>
    </row>
    <row r="18" spans="1:18" ht="16" thickBot="1" x14ac:dyDescent="0.25">
      <c r="A18" s="681" t="s">
        <v>245</v>
      </c>
      <c r="B18" s="682"/>
      <c r="C18" s="682"/>
      <c r="D18" s="682"/>
      <c r="E18" s="682"/>
      <c r="F18" s="682"/>
      <c r="G18" s="682"/>
      <c r="H18" s="683"/>
      <c r="I18" s="683"/>
      <c r="J18" s="683"/>
      <c r="K18" s="683"/>
      <c r="L18" s="683"/>
      <c r="M18" s="684"/>
      <c r="N18" s="11"/>
      <c r="O18" s="673"/>
      <c r="P18" s="673"/>
      <c r="Q18" s="11"/>
      <c r="R18" s="672"/>
    </row>
    <row r="19" spans="1:18" ht="16" thickBot="1" x14ac:dyDescent="0.25">
      <c r="A19" s="524" t="s">
        <v>56</v>
      </c>
      <c r="B19" s="524"/>
      <c r="C19" s="630" t="s">
        <v>986</v>
      </c>
      <c r="D19" s="631"/>
      <c r="E19" s="633" t="s">
        <v>102</v>
      </c>
      <c r="F19" s="634"/>
      <c r="G19" s="635"/>
      <c r="H19" s="534" t="s">
        <v>990</v>
      </c>
      <c r="I19" s="535"/>
      <c r="J19" s="535"/>
      <c r="K19" s="535"/>
      <c r="L19" s="535"/>
      <c r="M19" s="535"/>
      <c r="N19" s="11"/>
      <c r="O19" s="673"/>
      <c r="P19" s="673"/>
      <c r="Q19" s="11"/>
      <c r="R19" s="672"/>
    </row>
    <row r="20" spans="1:18" ht="17" thickTop="1" thickBot="1" x14ac:dyDescent="0.25">
      <c r="A20" s="523" t="s">
        <v>59</v>
      </c>
      <c r="B20" s="523"/>
      <c r="C20" s="534" t="s">
        <v>981</v>
      </c>
      <c r="D20" s="545"/>
      <c r="E20" s="674" t="s">
        <v>61</v>
      </c>
      <c r="F20" s="675"/>
      <c r="G20" s="676"/>
      <c r="H20" s="630" t="s">
        <v>507</v>
      </c>
      <c r="I20" s="544"/>
      <c r="J20" s="544"/>
      <c r="K20" s="544"/>
      <c r="L20" s="544"/>
      <c r="M20" s="544"/>
      <c r="N20" s="11"/>
      <c r="O20" s="11"/>
      <c r="P20" s="11"/>
      <c r="Q20" s="11"/>
      <c r="R20" s="672"/>
    </row>
    <row r="21" spans="1:18" ht="17" thickTop="1" thickBot="1" x14ac:dyDescent="0.25">
      <c r="A21" s="523" t="s">
        <v>60</v>
      </c>
      <c r="B21" s="536"/>
      <c r="C21" s="535" t="s">
        <v>987</v>
      </c>
      <c r="D21" s="641"/>
      <c r="E21" s="642" t="s">
        <v>866</v>
      </c>
      <c r="F21" s="643"/>
      <c r="G21" s="643"/>
      <c r="H21" s="643"/>
      <c r="I21" s="643"/>
      <c r="J21" s="643"/>
      <c r="K21" s="643"/>
      <c r="L21" s="643"/>
      <c r="M21" s="644"/>
      <c r="N21" s="11"/>
      <c r="O21" s="11"/>
      <c r="P21" s="11"/>
      <c r="Q21" s="11"/>
      <c r="R21" s="672"/>
    </row>
    <row r="22" spans="1:18" ht="17" thickTop="1" thickBot="1" x14ac:dyDescent="0.25">
      <c r="A22" s="612" t="s">
        <v>296</v>
      </c>
      <c r="B22" s="613"/>
      <c r="C22" s="535" t="s">
        <v>981</v>
      </c>
      <c r="D22" s="641"/>
      <c r="E22" s="645"/>
      <c r="F22" s="645"/>
      <c r="G22" s="645"/>
      <c r="H22" s="645"/>
      <c r="I22" s="645"/>
      <c r="J22" s="645"/>
      <c r="K22" s="645"/>
      <c r="L22" s="645"/>
      <c r="M22" s="646"/>
      <c r="N22" s="11"/>
      <c r="O22" s="11"/>
      <c r="P22" s="11"/>
      <c r="Q22" s="11"/>
      <c r="R22" s="672"/>
    </row>
    <row r="23" spans="1:18" ht="16" thickBot="1" x14ac:dyDescent="0.25">
      <c r="A23" s="626" t="s">
        <v>638</v>
      </c>
      <c r="B23" s="632"/>
      <c r="C23" s="693" t="s">
        <v>988</v>
      </c>
      <c r="D23" s="694"/>
      <c r="E23" s="645"/>
      <c r="F23" s="645"/>
      <c r="G23" s="645"/>
      <c r="H23" s="645"/>
      <c r="I23" s="645"/>
      <c r="J23" s="645"/>
      <c r="K23" s="645"/>
      <c r="L23" s="645"/>
      <c r="M23" s="646"/>
      <c r="N23" s="11"/>
      <c r="O23" s="11"/>
      <c r="P23" s="11"/>
      <c r="Q23" s="11"/>
      <c r="R23" s="672"/>
    </row>
    <row r="24" spans="1:18" ht="16" thickBot="1" x14ac:dyDescent="0.25">
      <c r="A24" s="626" t="s">
        <v>297</v>
      </c>
      <c r="B24" s="627"/>
      <c r="C24" s="628"/>
      <c r="D24" s="317" t="s">
        <v>989</v>
      </c>
      <c r="E24" s="645"/>
      <c r="F24" s="645"/>
      <c r="G24" s="645"/>
      <c r="H24" s="645"/>
      <c r="I24" s="645"/>
      <c r="J24" s="645"/>
      <c r="K24" s="645"/>
      <c r="L24" s="645"/>
      <c r="M24" s="646"/>
      <c r="N24" s="11"/>
      <c r="O24" s="11"/>
      <c r="P24" s="11"/>
      <c r="Q24" s="11"/>
      <c r="R24" s="672"/>
    </row>
    <row r="25" spans="1:18" ht="16" thickBot="1" x14ac:dyDescent="0.25">
      <c r="A25" s="524" t="s">
        <v>298</v>
      </c>
      <c r="B25" s="524"/>
      <c r="C25" s="629"/>
      <c r="D25" s="317" t="s">
        <v>989</v>
      </c>
      <c r="E25" s="645"/>
      <c r="F25" s="645"/>
      <c r="G25" s="645"/>
      <c r="H25" s="645"/>
      <c r="I25" s="645"/>
      <c r="J25" s="645"/>
      <c r="K25" s="645"/>
      <c r="L25" s="645"/>
      <c r="M25" s="646"/>
      <c r="N25" s="11"/>
      <c r="O25" s="11"/>
      <c r="P25" s="11"/>
      <c r="Q25" s="11"/>
      <c r="R25" s="672"/>
    </row>
    <row r="26" spans="1:18" ht="17" thickTop="1" thickBot="1" x14ac:dyDescent="0.25">
      <c r="A26" s="523" t="s">
        <v>299</v>
      </c>
      <c r="B26" s="523"/>
      <c r="C26" s="536"/>
      <c r="D26" s="317" t="s">
        <v>981</v>
      </c>
      <c r="E26" s="647"/>
      <c r="F26" s="647"/>
      <c r="G26" s="647"/>
      <c r="H26" s="647"/>
      <c r="I26" s="647"/>
      <c r="J26" s="647"/>
      <c r="K26" s="647"/>
      <c r="L26" s="647"/>
      <c r="M26" s="648"/>
      <c r="N26" s="11"/>
      <c r="O26" s="11"/>
      <c r="P26" s="11"/>
      <c r="Q26" s="11"/>
      <c r="R26" s="672"/>
    </row>
    <row r="27" spans="1:18" ht="17" thickTop="1" thickBot="1" x14ac:dyDescent="0.25">
      <c r="A27" s="551" t="s">
        <v>62</v>
      </c>
      <c r="B27" s="552"/>
      <c r="C27" s="552"/>
      <c r="D27" s="608"/>
      <c r="E27" s="609"/>
      <c r="F27" s="609"/>
      <c r="G27" s="552"/>
      <c r="H27" s="552"/>
      <c r="I27" s="552"/>
      <c r="J27" s="552"/>
      <c r="K27" s="552"/>
      <c r="L27" s="552"/>
      <c r="M27" s="553"/>
      <c r="N27" s="11"/>
      <c r="O27" s="11"/>
      <c r="P27" s="11"/>
      <c r="Q27" s="11"/>
      <c r="R27" s="672"/>
    </row>
    <row r="28" spans="1:18" ht="17" thickTop="1" thickBot="1" x14ac:dyDescent="0.25">
      <c r="A28" s="523" t="s">
        <v>63</v>
      </c>
      <c r="B28" s="523"/>
      <c r="C28" s="536"/>
      <c r="D28" s="614" t="s">
        <v>991</v>
      </c>
      <c r="E28" s="535"/>
      <c r="F28" s="535"/>
      <c r="G28" s="615" t="s">
        <v>874</v>
      </c>
      <c r="H28" s="615"/>
      <c r="I28" s="615"/>
      <c r="J28" s="535" t="s">
        <v>993</v>
      </c>
      <c r="K28" s="535"/>
      <c r="L28" s="535"/>
      <c r="M28" s="535"/>
      <c r="N28" s="11"/>
      <c r="O28" s="11"/>
      <c r="P28" s="11"/>
      <c r="Q28" s="11"/>
      <c r="R28" s="672"/>
    </row>
    <row r="29" spans="1:18" ht="17" thickTop="1" thickBot="1" x14ac:dyDescent="0.25">
      <c r="A29" s="523" t="s">
        <v>284</v>
      </c>
      <c r="B29" s="523"/>
      <c r="C29" s="536"/>
      <c r="D29" s="535" t="s">
        <v>992</v>
      </c>
      <c r="E29" s="535"/>
      <c r="F29" s="535"/>
      <c r="G29" s="610"/>
      <c r="H29" s="610"/>
      <c r="I29" s="610"/>
      <c r="J29" s="611"/>
      <c r="K29" s="611"/>
      <c r="L29" s="611"/>
      <c r="M29" s="611"/>
      <c r="N29" s="11"/>
      <c r="O29" s="11"/>
      <c r="P29" s="11"/>
      <c r="Q29" s="11"/>
      <c r="R29" s="672"/>
    </row>
    <row r="30" spans="1:18" ht="17" thickTop="1" thickBot="1" x14ac:dyDescent="0.25">
      <c r="A30" s="523" t="s">
        <v>285</v>
      </c>
      <c r="B30" s="523"/>
      <c r="C30" s="536"/>
      <c r="D30" s="535" t="s">
        <v>987</v>
      </c>
      <c r="E30" s="535"/>
      <c r="F30" s="535"/>
      <c r="G30" s="610"/>
      <c r="H30" s="610"/>
      <c r="I30" s="610"/>
      <c r="J30" s="611"/>
      <c r="K30" s="611"/>
      <c r="L30" s="611"/>
      <c r="M30" s="611"/>
      <c r="N30" s="11"/>
      <c r="O30" s="11"/>
      <c r="P30" s="11"/>
      <c r="Q30" s="11"/>
      <c r="R30" s="672"/>
    </row>
    <row r="31" spans="1:18" ht="16" thickTop="1" x14ac:dyDescent="0.2">
      <c r="A31" s="612" t="s">
        <v>286</v>
      </c>
      <c r="B31" s="612"/>
      <c r="C31" s="613"/>
      <c r="D31" s="535" t="s">
        <v>981</v>
      </c>
      <c r="E31" s="535"/>
      <c r="F31" s="535"/>
      <c r="G31" s="610"/>
      <c r="H31" s="610"/>
      <c r="I31" s="610"/>
      <c r="J31" s="611"/>
      <c r="K31" s="611"/>
      <c r="L31" s="611"/>
      <c r="M31" s="611"/>
      <c r="N31" s="11"/>
      <c r="O31" s="11"/>
      <c r="P31" s="11"/>
      <c r="Q31" s="11"/>
      <c r="R31" s="672"/>
    </row>
    <row r="32" spans="1:18" ht="16" thickBot="1" x14ac:dyDescent="0.25">
      <c r="A32" s="604" t="s">
        <v>435</v>
      </c>
      <c r="B32" s="605"/>
      <c r="C32" s="605"/>
      <c r="D32" s="605"/>
      <c r="E32" s="605"/>
      <c r="F32" s="605"/>
      <c r="G32" s="605"/>
      <c r="H32" s="605"/>
      <c r="I32" s="605"/>
      <c r="J32" s="605"/>
      <c r="K32" s="605"/>
      <c r="L32" s="605"/>
      <c r="M32" s="606"/>
      <c r="N32" s="11"/>
      <c r="O32" s="11"/>
      <c r="P32" s="11"/>
      <c r="Q32" s="11"/>
      <c r="R32" s="672"/>
    </row>
    <row r="33" spans="1:18" ht="17" thickTop="1" thickBot="1" x14ac:dyDescent="0.25">
      <c r="A33" s="523" t="s">
        <v>436</v>
      </c>
      <c r="B33" s="523"/>
      <c r="C33" s="523"/>
      <c r="D33" s="523"/>
      <c r="E33" s="536" t="s">
        <v>437</v>
      </c>
      <c r="F33" s="542"/>
      <c r="G33" s="543"/>
      <c r="H33" s="523" t="s">
        <v>438</v>
      </c>
      <c r="I33" s="523"/>
      <c r="J33" s="523"/>
      <c r="K33" s="523" t="s">
        <v>439</v>
      </c>
      <c r="L33" s="523"/>
      <c r="M33" s="523"/>
      <c r="N33" s="11"/>
      <c r="O33" s="11"/>
      <c r="P33" s="11"/>
      <c r="Q33" s="11"/>
      <c r="R33" s="672"/>
    </row>
    <row r="34" spans="1:18" ht="16" thickTop="1" x14ac:dyDescent="0.2">
      <c r="A34" s="544" t="s">
        <v>196</v>
      </c>
      <c r="B34" s="544"/>
      <c r="C34" s="544"/>
      <c r="D34" s="544"/>
      <c r="E34" s="539"/>
      <c r="F34" s="540"/>
      <c r="G34" s="541"/>
      <c r="H34" s="544">
        <v>3</v>
      </c>
      <c r="I34" s="544"/>
      <c r="J34" s="544"/>
      <c r="K34" s="544">
        <f>PRODUCT(E34*H34)</f>
        <v>0</v>
      </c>
      <c r="L34" s="544"/>
      <c r="M34" s="544"/>
      <c r="N34" s="11"/>
      <c r="O34" s="11"/>
      <c r="P34" s="11"/>
      <c r="Q34" s="11"/>
      <c r="R34" s="672"/>
    </row>
    <row r="35" spans="1:18" x14ac:dyDescent="0.2">
      <c r="A35" s="545" t="s">
        <v>440</v>
      </c>
      <c r="B35" s="526"/>
      <c r="C35" s="526"/>
      <c r="D35" s="534"/>
      <c r="E35" s="545"/>
      <c r="F35" s="526"/>
      <c r="G35" s="534"/>
      <c r="H35" s="545">
        <v>1</v>
      </c>
      <c r="I35" s="526"/>
      <c r="J35" s="534"/>
      <c r="K35" s="544">
        <f t="shared" ref="K35:K39" si="0">PRODUCT(E35*H35)</f>
        <v>0</v>
      </c>
      <c r="L35" s="544"/>
      <c r="M35" s="544"/>
      <c r="N35" s="11"/>
      <c r="O35" s="11"/>
      <c r="P35" s="11"/>
      <c r="Q35" s="11"/>
      <c r="R35" s="672"/>
    </row>
    <row r="36" spans="1:18" x14ac:dyDescent="0.2">
      <c r="A36" s="545" t="s">
        <v>441</v>
      </c>
      <c r="B36" s="526"/>
      <c r="C36" s="526"/>
      <c r="D36" s="534"/>
      <c r="E36" s="545"/>
      <c r="F36" s="526"/>
      <c r="G36" s="534"/>
      <c r="H36" s="545">
        <v>1.5</v>
      </c>
      <c r="I36" s="526"/>
      <c r="J36" s="534"/>
      <c r="K36" s="544">
        <f t="shared" si="0"/>
        <v>0</v>
      </c>
      <c r="L36" s="544"/>
      <c r="M36" s="544"/>
      <c r="N36" s="11"/>
      <c r="O36" s="11"/>
      <c r="P36" s="11"/>
      <c r="Q36" s="11"/>
      <c r="R36" s="672"/>
    </row>
    <row r="37" spans="1:18" x14ac:dyDescent="0.2">
      <c r="A37" s="545" t="s">
        <v>442</v>
      </c>
      <c r="B37" s="526"/>
      <c r="C37" s="526"/>
      <c r="D37" s="534"/>
      <c r="E37" s="545"/>
      <c r="F37" s="526"/>
      <c r="G37" s="534"/>
      <c r="H37" s="545">
        <v>2.5</v>
      </c>
      <c r="I37" s="546"/>
      <c r="J37" s="547"/>
      <c r="K37" s="544">
        <f t="shared" si="0"/>
        <v>0</v>
      </c>
      <c r="L37" s="544"/>
      <c r="M37" s="544"/>
      <c r="N37" s="11"/>
      <c r="O37" s="11"/>
      <c r="P37" s="11"/>
      <c r="Q37" s="11"/>
      <c r="R37" s="672"/>
    </row>
    <row r="38" spans="1:18" x14ac:dyDescent="0.2">
      <c r="A38" s="545" t="s">
        <v>443</v>
      </c>
      <c r="B38" s="526"/>
      <c r="C38" s="526"/>
      <c r="D38" s="534"/>
      <c r="E38" s="545"/>
      <c r="F38" s="526"/>
      <c r="G38" s="534"/>
      <c r="H38" s="545">
        <v>1</v>
      </c>
      <c r="I38" s="526"/>
      <c r="J38" s="534"/>
      <c r="K38" s="544">
        <f t="shared" si="0"/>
        <v>0</v>
      </c>
      <c r="L38" s="544"/>
      <c r="M38" s="544"/>
      <c r="N38" s="11"/>
      <c r="O38" s="11"/>
      <c r="P38" s="11"/>
      <c r="Q38" s="11"/>
      <c r="R38" s="672"/>
    </row>
    <row r="39" spans="1:18" x14ac:dyDescent="0.2">
      <c r="A39" s="545" t="s">
        <v>444</v>
      </c>
      <c r="B39" s="526"/>
      <c r="C39" s="526"/>
      <c r="D39" s="534"/>
      <c r="E39" s="545"/>
      <c r="F39" s="526"/>
      <c r="G39" s="534"/>
      <c r="H39" s="545">
        <v>0</v>
      </c>
      <c r="I39" s="526"/>
      <c r="J39" s="534"/>
      <c r="K39" s="544">
        <f t="shared" si="0"/>
        <v>0</v>
      </c>
      <c r="L39" s="544"/>
      <c r="M39" s="544"/>
      <c r="N39" s="11"/>
      <c r="O39" s="11"/>
      <c r="P39" s="11"/>
      <c r="Q39" s="11"/>
      <c r="R39" s="672"/>
    </row>
    <row r="40" spans="1:18" x14ac:dyDescent="0.2">
      <c r="A40" s="548" t="s">
        <v>445</v>
      </c>
      <c r="B40" s="548"/>
      <c r="C40" s="548"/>
      <c r="D40" s="548"/>
      <c r="E40" s="545">
        <f>SUM(E34:G39)</f>
        <v>0</v>
      </c>
      <c r="F40" s="526"/>
      <c r="G40" s="534"/>
      <c r="H40" s="535"/>
      <c r="I40" s="535"/>
      <c r="J40" s="535"/>
      <c r="K40" s="535">
        <f>SUM(K34:M39)</f>
        <v>0</v>
      </c>
      <c r="L40" s="535"/>
      <c r="M40" s="535"/>
      <c r="N40" s="11"/>
      <c r="O40" s="11"/>
      <c r="P40" s="11"/>
      <c r="Q40" s="11"/>
      <c r="R40" s="672"/>
    </row>
    <row r="41" spans="1:18" ht="16" thickBot="1" x14ac:dyDescent="0.25">
      <c r="A41" s="572"/>
      <c r="B41" s="572"/>
      <c r="C41" s="572"/>
      <c r="D41" s="572"/>
      <c r="E41" s="597"/>
      <c r="F41" s="597"/>
      <c r="G41" s="597"/>
      <c r="H41" s="598" t="s">
        <v>446</v>
      </c>
      <c r="I41" s="599"/>
      <c r="J41" s="600"/>
      <c r="K41" s="601">
        <f>K40*'ANTROPOMETRÍA DEPORTISTAS'!C7</f>
        <v>0</v>
      </c>
      <c r="L41" s="602"/>
      <c r="M41" s="603"/>
      <c r="N41" s="11"/>
      <c r="O41" s="11"/>
      <c r="P41" s="11"/>
      <c r="Q41" s="11"/>
      <c r="R41" s="672"/>
    </row>
    <row r="42" spans="1:18" ht="17" thickTop="1" thickBot="1" x14ac:dyDescent="0.25">
      <c r="A42" s="604" t="s">
        <v>64</v>
      </c>
      <c r="B42" s="605"/>
      <c r="C42" s="605"/>
      <c r="D42" s="605"/>
      <c r="E42" s="605"/>
      <c r="F42" s="605"/>
      <c r="G42" s="605"/>
      <c r="H42" s="605"/>
      <c r="I42" s="605"/>
      <c r="J42" s="605"/>
      <c r="K42" s="605"/>
      <c r="L42" s="605"/>
      <c r="M42" s="606"/>
      <c r="N42" s="11"/>
      <c r="O42" s="11"/>
      <c r="P42" s="11"/>
      <c r="Q42" s="11"/>
      <c r="R42" s="672"/>
    </row>
    <row r="43" spans="1:18" ht="17" thickTop="1" thickBot="1" x14ac:dyDescent="0.25">
      <c r="A43" s="607" t="s">
        <v>65</v>
      </c>
      <c r="B43" s="591"/>
      <c r="C43" s="591"/>
      <c r="D43" s="591"/>
      <c r="E43" s="434" t="s">
        <v>867</v>
      </c>
      <c r="F43" s="591" t="s">
        <v>868</v>
      </c>
      <c r="G43" s="592"/>
      <c r="H43" s="536" t="s">
        <v>287</v>
      </c>
      <c r="I43" s="542"/>
      <c r="J43" s="543"/>
      <c r="K43" s="607" t="s">
        <v>66</v>
      </c>
      <c r="L43" s="591"/>
      <c r="M43" s="592"/>
      <c r="N43" s="11"/>
      <c r="O43" s="11"/>
      <c r="P43" s="11"/>
      <c r="Q43" s="11"/>
      <c r="R43" s="672"/>
    </row>
    <row r="44" spans="1:18" ht="16" thickTop="1" x14ac:dyDescent="0.2">
      <c r="A44" s="539" t="s">
        <v>994</v>
      </c>
      <c r="B44" s="540"/>
      <c r="C44" s="540"/>
      <c r="D44" s="541"/>
      <c r="E44" s="435">
        <v>5</v>
      </c>
      <c r="F44" s="593" t="s">
        <v>995</v>
      </c>
      <c r="G44" s="594"/>
      <c r="H44" s="539" t="s">
        <v>996</v>
      </c>
      <c r="I44" s="540"/>
      <c r="J44" s="541"/>
      <c r="K44" s="539"/>
      <c r="L44" s="540"/>
      <c r="M44" s="541"/>
      <c r="N44" s="11"/>
      <c r="O44" s="11"/>
      <c r="P44" s="11"/>
      <c r="Q44" s="11"/>
      <c r="R44" s="672"/>
    </row>
    <row r="45" spans="1:18" ht="16" thickBot="1" x14ac:dyDescent="0.25">
      <c r="A45" s="595"/>
      <c r="B45" s="597"/>
      <c r="C45" s="597"/>
      <c r="D45" s="596"/>
      <c r="E45" s="436"/>
      <c r="F45" s="595"/>
      <c r="G45" s="596"/>
      <c r="H45" s="595"/>
      <c r="I45" s="597"/>
      <c r="J45" s="596"/>
      <c r="K45" s="595"/>
      <c r="L45" s="597"/>
      <c r="M45" s="596"/>
      <c r="N45" s="11"/>
      <c r="O45" s="11"/>
      <c r="P45" s="11"/>
      <c r="Q45" s="11"/>
      <c r="R45" s="672"/>
    </row>
    <row r="46" spans="1:18" ht="17" thickTop="1" thickBot="1" x14ac:dyDescent="0.25">
      <c r="A46" s="551" t="s">
        <v>247</v>
      </c>
      <c r="B46" s="552"/>
      <c r="C46" s="552"/>
      <c r="D46" s="552"/>
      <c r="E46" s="552"/>
      <c r="F46" s="552"/>
      <c r="G46" s="552"/>
      <c r="H46" s="552"/>
      <c r="I46" s="552"/>
      <c r="J46" s="552"/>
      <c r="K46" s="552"/>
      <c r="L46" s="552"/>
      <c r="M46" s="553"/>
      <c r="N46" s="11"/>
      <c r="O46" s="11"/>
      <c r="P46" s="11"/>
      <c r="Q46" s="11"/>
      <c r="R46" s="672"/>
    </row>
    <row r="47" spans="1:18" ht="18.75" customHeight="1" thickTop="1" x14ac:dyDescent="0.2">
      <c r="A47" s="579" t="s">
        <v>300</v>
      </c>
      <c r="B47" s="580"/>
      <c r="C47" s="580"/>
      <c r="D47" s="581"/>
      <c r="E47" s="585"/>
      <c r="F47" s="586"/>
      <c r="G47" s="586"/>
      <c r="H47" s="586"/>
      <c r="I47" s="586"/>
      <c r="J47" s="586"/>
      <c r="K47" s="586"/>
      <c r="L47" s="586"/>
      <c r="M47" s="587"/>
      <c r="N47" s="11"/>
      <c r="O47" s="11"/>
      <c r="P47" s="11"/>
      <c r="Q47" s="11"/>
      <c r="R47" s="672"/>
    </row>
    <row r="48" spans="1:18" ht="11.5" customHeight="1" thickBot="1" x14ac:dyDescent="0.25">
      <c r="A48" s="582"/>
      <c r="B48" s="583"/>
      <c r="C48" s="583"/>
      <c r="D48" s="584"/>
      <c r="E48" s="588"/>
      <c r="F48" s="589"/>
      <c r="G48" s="589"/>
      <c r="H48" s="589"/>
      <c r="I48" s="589"/>
      <c r="J48" s="589"/>
      <c r="K48" s="589"/>
      <c r="L48" s="589"/>
      <c r="M48" s="590"/>
      <c r="N48" s="11"/>
      <c r="O48" s="11"/>
      <c r="P48" s="11"/>
      <c r="Q48" s="11"/>
      <c r="R48" s="672"/>
    </row>
    <row r="49" spans="1:18" ht="17" thickTop="1" thickBot="1" x14ac:dyDescent="0.25">
      <c r="A49" s="551" t="s">
        <v>871</v>
      </c>
      <c r="B49" s="552"/>
      <c r="C49" s="552"/>
      <c r="D49" s="552"/>
      <c r="E49" s="552"/>
      <c r="F49" s="552"/>
      <c r="G49" s="552"/>
      <c r="H49" s="552"/>
      <c r="I49" s="552"/>
      <c r="J49" s="552"/>
      <c r="K49" s="552"/>
      <c r="L49" s="552"/>
      <c r="M49" s="553"/>
      <c r="N49" s="11"/>
      <c r="O49" s="11"/>
      <c r="P49" s="11"/>
      <c r="Q49" s="11"/>
      <c r="R49" s="672"/>
    </row>
    <row r="50" spans="1:18" ht="17" thickTop="1" thickBot="1" x14ac:dyDescent="0.25">
      <c r="A50" s="524" t="s">
        <v>862</v>
      </c>
      <c r="B50" s="524"/>
      <c r="C50" s="554"/>
      <c r="D50" s="555"/>
      <c r="E50" s="555"/>
      <c r="F50" s="555"/>
      <c r="G50" s="555"/>
      <c r="H50" s="555"/>
      <c r="I50" s="555"/>
      <c r="J50" s="555"/>
      <c r="K50" s="555"/>
      <c r="L50" s="555"/>
      <c r="M50" s="556"/>
      <c r="N50" s="11"/>
      <c r="O50" s="11"/>
      <c r="P50" s="11"/>
      <c r="Q50" s="11"/>
      <c r="R50" s="672"/>
    </row>
    <row r="51" spans="1:18" ht="17" thickTop="1" thickBot="1" x14ac:dyDescent="0.25">
      <c r="A51" s="549" t="s">
        <v>865</v>
      </c>
      <c r="B51" s="549"/>
      <c r="C51" s="557"/>
      <c r="D51" s="558"/>
      <c r="E51" s="558"/>
      <c r="F51" s="558"/>
      <c r="G51" s="558"/>
      <c r="H51" s="558"/>
      <c r="I51" s="558"/>
      <c r="J51" s="558"/>
      <c r="K51" s="558"/>
      <c r="L51" s="558"/>
      <c r="M51" s="559"/>
      <c r="N51" s="11"/>
      <c r="O51" s="11"/>
      <c r="P51" s="11"/>
      <c r="Q51" s="11"/>
      <c r="R51" s="672"/>
    </row>
    <row r="52" spans="1:18" ht="17" thickTop="1" thickBot="1" x14ac:dyDescent="0.25">
      <c r="A52" s="550" t="s">
        <v>117</v>
      </c>
      <c r="B52" s="550"/>
      <c r="C52" s="554" t="s">
        <v>998</v>
      </c>
      <c r="D52" s="555"/>
      <c r="E52" s="555"/>
      <c r="F52" s="555"/>
      <c r="G52" s="555"/>
      <c r="H52" s="555"/>
      <c r="I52" s="555"/>
      <c r="J52" s="555"/>
      <c r="K52" s="555"/>
      <c r="L52" s="555"/>
      <c r="M52" s="556"/>
      <c r="N52" s="11"/>
      <c r="O52" s="11"/>
      <c r="P52" s="11"/>
      <c r="Q52" s="11"/>
      <c r="R52" s="672"/>
    </row>
    <row r="53" spans="1:18" ht="17" thickTop="1" thickBot="1" x14ac:dyDescent="0.25">
      <c r="A53" s="549" t="s">
        <v>997</v>
      </c>
      <c r="B53" s="549"/>
      <c r="C53" s="557"/>
      <c r="D53" s="558"/>
      <c r="E53" s="558"/>
      <c r="F53" s="558"/>
      <c r="G53" s="558"/>
      <c r="H53" s="558"/>
      <c r="I53" s="558"/>
      <c r="J53" s="558"/>
      <c r="K53" s="558"/>
      <c r="L53" s="558"/>
      <c r="M53" s="559"/>
      <c r="N53" s="11"/>
      <c r="O53" s="11"/>
      <c r="P53" s="11"/>
      <c r="Q53" s="11"/>
      <c r="R53" s="672"/>
    </row>
    <row r="54" spans="1:18" ht="17" thickTop="1" thickBot="1" x14ac:dyDescent="0.25">
      <c r="A54" s="550" t="s">
        <v>863</v>
      </c>
      <c r="B54" s="550"/>
      <c r="C54" s="573" t="s">
        <v>999</v>
      </c>
      <c r="D54" s="574"/>
      <c r="E54" s="574"/>
      <c r="F54" s="574"/>
      <c r="G54" s="574"/>
      <c r="H54" s="574"/>
      <c r="I54" s="574"/>
      <c r="J54" s="574"/>
      <c r="K54" s="574"/>
      <c r="L54" s="574"/>
      <c r="M54" s="575"/>
      <c r="N54" s="11"/>
      <c r="O54" s="11"/>
      <c r="P54" s="11"/>
      <c r="Q54" s="11"/>
      <c r="R54" s="672"/>
    </row>
    <row r="55" spans="1:18" ht="17" thickTop="1" thickBot="1" x14ac:dyDescent="0.25">
      <c r="A55" s="549" t="s">
        <v>873</v>
      </c>
      <c r="B55" s="549"/>
      <c r="C55" s="576"/>
      <c r="D55" s="577"/>
      <c r="E55" s="577"/>
      <c r="F55" s="577"/>
      <c r="G55" s="577"/>
      <c r="H55" s="577"/>
      <c r="I55" s="577"/>
      <c r="J55" s="577"/>
      <c r="K55" s="577"/>
      <c r="L55" s="577"/>
      <c r="M55" s="578"/>
      <c r="N55" s="11"/>
      <c r="O55" s="11"/>
      <c r="P55" s="11"/>
      <c r="Q55" s="11"/>
      <c r="R55" s="672"/>
    </row>
    <row r="56" spans="1:18" ht="17" thickTop="1" thickBot="1" x14ac:dyDescent="0.25">
      <c r="A56" s="523" t="s">
        <v>69</v>
      </c>
      <c r="B56" s="523"/>
      <c r="C56" s="560" t="s">
        <v>1001</v>
      </c>
      <c r="D56" s="561"/>
      <c r="E56" s="561"/>
      <c r="F56" s="561"/>
      <c r="G56" s="561"/>
      <c r="H56" s="561"/>
      <c r="I56" s="561"/>
      <c r="J56" s="561"/>
      <c r="K56" s="561"/>
      <c r="L56" s="561"/>
      <c r="M56" s="562"/>
      <c r="N56" s="11"/>
      <c r="O56" s="11"/>
      <c r="P56" s="11"/>
      <c r="Q56" s="11"/>
      <c r="R56" s="672"/>
    </row>
    <row r="57" spans="1:18" ht="17" thickTop="1" thickBot="1" x14ac:dyDescent="0.25">
      <c r="A57" s="549" t="s">
        <v>1000</v>
      </c>
      <c r="B57" s="549"/>
      <c r="C57" s="563"/>
      <c r="D57" s="564"/>
      <c r="E57" s="564"/>
      <c r="F57" s="564"/>
      <c r="G57" s="564"/>
      <c r="H57" s="564"/>
      <c r="I57" s="564"/>
      <c r="J57" s="564"/>
      <c r="K57" s="564"/>
      <c r="L57" s="564"/>
      <c r="M57" s="565"/>
      <c r="N57" s="11"/>
      <c r="O57" s="11"/>
      <c r="P57" s="11"/>
      <c r="Q57" s="11"/>
      <c r="R57" s="672"/>
    </row>
    <row r="58" spans="1:18" ht="17" thickTop="1" thickBot="1" x14ac:dyDescent="0.25">
      <c r="A58" s="550" t="s">
        <v>71</v>
      </c>
      <c r="B58" s="550"/>
      <c r="C58" s="566" t="s">
        <v>1002</v>
      </c>
      <c r="D58" s="567"/>
      <c r="E58" s="567"/>
      <c r="F58" s="567"/>
      <c r="G58" s="567"/>
      <c r="H58" s="567"/>
      <c r="I58" s="567"/>
      <c r="J58" s="567"/>
      <c r="K58" s="567"/>
      <c r="L58" s="567"/>
      <c r="M58" s="568"/>
      <c r="N58" s="11"/>
      <c r="O58" s="11"/>
      <c r="P58" s="11"/>
      <c r="Q58" s="11"/>
      <c r="R58" s="672"/>
    </row>
    <row r="59" spans="1:18" ht="17" thickTop="1" thickBot="1" x14ac:dyDescent="0.25">
      <c r="A59" s="549" t="s">
        <v>872</v>
      </c>
      <c r="B59" s="549"/>
      <c r="C59" s="557"/>
      <c r="D59" s="558"/>
      <c r="E59" s="558"/>
      <c r="F59" s="558"/>
      <c r="G59" s="558"/>
      <c r="H59" s="558"/>
      <c r="I59" s="558"/>
      <c r="J59" s="558"/>
      <c r="K59" s="558"/>
      <c r="L59" s="558"/>
      <c r="M59" s="559"/>
      <c r="N59" s="11"/>
      <c r="O59" s="11"/>
      <c r="P59" s="11"/>
      <c r="Q59" s="11"/>
      <c r="R59" s="672"/>
    </row>
    <row r="60" spans="1:18" ht="17" thickTop="1" thickBot="1" x14ac:dyDescent="0.25">
      <c r="A60" s="523" t="s">
        <v>72</v>
      </c>
      <c r="B60" s="523"/>
      <c r="C60" s="554" t="s">
        <v>1003</v>
      </c>
      <c r="D60" s="555"/>
      <c r="E60" s="555"/>
      <c r="F60" s="555"/>
      <c r="G60" s="555"/>
      <c r="H60" s="555"/>
      <c r="I60" s="555"/>
      <c r="J60" s="555"/>
      <c r="K60" s="555"/>
      <c r="L60" s="555"/>
      <c r="M60" s="556"/>
      <c r="N60" s="11"/>
      <c r="O60" s="11"/>
      <c r="P60" s="11"/>
      <c r="Q60" s="11"/>
      <c r="R60" s="672"/>
    </row>
    <row r="61" spans="1:18" ht="17" thickTop="1" thickBot="1" x14ac:dyDescent="0.25">
      <c r="A61" s="549" t="s">
        <v>875</v>
      </c>
      <c r="B61" s="549"/>
      <c r="C61" s="569"/>
      <c r="D61" s="570"/>
      <c r="E61" s="570"/>
      <c r="F61" s="570"/>
      <c r="G61" s="570"/>
      <c r="H61" s="570"/>
      <c r="I61" s="570"/>
      <c r="J61" s="570"/>
      <c r="K61" s="570"/>
      <c r="L61" s="570"/>
      <c r="M61" s="571"/>
      <c r="N61" s="11"/>
      <c r="O61" s="11"/>
      <c r="P61" s="11"/>
      <c r="Q61" s="11"/>
      <c r="R61" s="672"/>
    </row>
    <row r="62" spans="1:18" ht="17" thickTop="1" thickBot="1" x14ac:dyDescent="0.25">
      <c r="A62" s="523" t="s">
        <v>73</v>
      </c>
      <c r="B62" s="536"/>
      <c r="C62" s="518" t="s">
        <v>1004</v>
      </c>
      <c r="D62" s="518"/>
      <c r="E62" s="518"/>
      <c r="F62" s="518"/>
      <c r="G62" s="518"/>
      <c r="H62" s="518"/>
      <c r="I62" s="518"/>
      <c r="J62" s="518"/>
      <c r="K62" s="518"/>
      <c r="L62" s="518"/>
      <c r="M62" s="518"/>
      <c r="N62" s="11"/>
      <c r="O62" s="11"/>
      <c r="P62" s="11"/>
      <c r="Q62" s="11"/>
      <c r="R62" s="672"/>
    </row>
    <row r="63" spans="1:18" ht="17" thickTop="1" thickBot="1" x14ac:dyDescent="0.25">
      <c r="A63" s="537" t="s">
        <v>70</v>
      </c>
      <c r="B63" s="538"/>
      <c r="C63" s="518"/>
      <c r="D63" s="518"/>
      <c r="E63" s="518"/>
      <c r="F63" s="518"/>
      <c r="G63" s="518"/>
      <c r="H63" s="518"/>
      <c r="I63" s="518"/>
      <c r="J63" s="518"/>
      <c r="K63" s="518"/>
      <c r="L63" s="518"/>
      <c r="M63" s="518"/>
      <c r="N63" s="11"/>
      <c r="O63" s="11"/>
      <c r="P63" s="11"/>
      <c r="Q63" s="11"/>
      <c r="R63" s="672"/>
    </row>
    <row r="64" spans="1:18" ht="17" thickTop="1" thickBot="1" x14ac:dyDescent="0.25">
      <c r="A64" s="523" t="s">
        <v>288</v>
      </c>
      <c r="B64" s="523"/>
      <c r="C64" s="524"/>
      <c r="D64" s="525">
        <f>(I67*90)+(I68*25)+(I69*60)+(I70*80)+(I71*75)+(I72*55)+(I73*45)+(I74*60)</f>
        <v>3075</v>
      </c>
      <c r="E64" s="526"/>
      <c r="F64" s="526"/>
      <c r="G64" s="527"/>
      <c r="H64" s="524" t="s">
        <v>289</v>
      </c>
      <c r="I64" s="524"/>
      <c r="J64" s="524"/>
      <c r="K64" s="534">
        <f>(I71+I72)*7</f>
        <v>161</v>
      </c>
      <c r="L64" s="535"/>
      <c r="M64" s="535"/>
      <c r="N64" s="433">
        <f>K64/'ANTROPOMETRÍA DEPORTISTAS'!B7</f>
        <v>1.7878956135480288</v>
      </c>
      <c r="O64" s="11"/>
      <c r="P64" s="11"/>
      <c r="Q64" s="11"/>
      <c r="R64" s="672"/>
    </row>
    <row r="65" spans="1:18" ht="17" thickTop="1" thickBo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 t="s">
        <v>864</v>
      </c>
      <c r="O65" s="11">
        <f>I70*15</f>
        <v>217.5</v>
      </c>
      <c r="P65" s="11">
        <f>O65/'ANTROPOMETRÍA DEPORTISTAS'!B7</f>
        <v>2.4153248195446975</v>
      </c>
      <c r="Q65" s="11"/>
      <c r="R65" s="672"/>
    </row>
    <row r="66" spans="1:18" ht="17" thickTop="1" thickBot="1" x14ac:dyDescent="0.25">
      <c r="A66" s="196" t="s">
        <v>115</v>
      </c>
      <c r="B66" s="195" t="s">
        <v>449</v>
      </c>
      <c r="C66" s="195" t="s">
        <v>118</v>
      </c>
      <c r="D66" s="195" t="s">
        <v>119</v>
      </c>
      <c r="E66" s="195" t="s">
        <v>118</v>
      </c>
      <c r="F66" s="530" t="s">
        <v>120</v>
      </c>
      <c r="G66" s="531"/>
      <c r="H66" s="195" t="s">
        <v>118</v>
      </c>
      <c r="I66" s="532" t="s">
        <v>112</v>
      </c>
      <c r="J66" s="533"/>
      <c r="K66" s="11"/>
      <c r="L66" s="11"/>
      <c r="M66" s="11"/>
      <c r="N66" s="11"/>
      <c r="O66" s="11"/>
      <c r="P66" s="11"/>
      <c r="Q66" s="11"/>
      <c r="R66" s="672"/>
    </row>
    <row r="67" spans="1:18" ht="17" thickTop="1" thickBot="1" x14ac:dyDescent="0.25">
      <c r="A67" s="260" t="s">
        <v>121</v>
      </c>
      <c r="B67" s="261"/>
      <c r="C67" s="157"/>
      <c r="D67" s="157"/>
      <c r="E67" s="157"/>
      <c r="F67" s="519"/>
      <c r="G67" s="520"/>
      <c r="H67" s="157"/>
      <c r="I67" s="521">
        <f>SUM(B67:H67)</f>
        <v>0</v>
      </c>
      <c r="J67" s="522"/>
      <c r="K67" s="11"/>
      <c r="L67" s="11"/>
      <c r="M67" s="11"/>
      <c r="N67" s="11"/>
      <c r="O67" s="11"/>
      <c r="P67" s="11"/>
      <c r="Q67" s="11"/>
      <c r="R67" s="672"/>
    </row>
    <row r="68" spans="1:18" ht="17" thickTop="1" thickBot="1" x14ac:dyDescent="0.25">
      <c r="A68" s="260" t="s">
        <v>105</v>
      </c>
      <c r="B68" s="262"/>
      <c r="C68" s="160"/>
      <c r="D68" s="160">
        <v>2</v>
      </c>
      <c r="E68" s="160"/>
      <c r="F68" s="519"/>
      <c r="G68" s="520"/>
      <c r="H68" s="160"/>
      <c r="I68" s="521">
        <f t="shared" ref="I68:I70" si="1">SUM(B68:H68)</f>
        <v>2</v>
      </c>
      <c r="J68" s="522"/>
      <c r="K68" s="11"/>
      <c r="L68" s="11"/>
      <c r="M68" s="11"/>
      <c r="N68" s="11"/>
      <c r="O68" s="11"/>
      <c r="P68" s="11"/>
      <c r="Q68" s="11"/>
      <c r="R68" s="672"/>
    </row>
    <row r="69" spans="1:18" ht="17" thickTop="1" thickBot="1" x14ac:dyDescent="0.25">
      <c r="A69" s="260" t="s">
        <v>106</v>
      </c>
      <c r="B69" s="262">
        <v>1</v>
      </c>
      <c r="C69" s="160">
        <v>1</v>
      </c>
      <c r="D69" s="160"/>
      <c r="E69" s="160">
        <v>1</v>
      </c>
      <c r="F69" s="519"/>
      <c r="G69" s="520"/>
      <c r="H69" s="160"/>
      <c r="I69" s="521">
        <f t="shared" si="1"/>
        <v>3</v>
      </c>
      <c r="J69" s="522"/>
      <c r="K69" s="11"/>
      <c r="L69" s="11"/>
      <c r="M69" s="11"/>
      <c r="N69" s="11"/>
      <c r="O69" s="11"/>
      <c r="P69" s="11"/>
      <c r="Q69" s="11"/>
      <c r="R69" s="672"/>
    </row>
    <row r="70" spans="1:18" ht="17" thickTop="1" thickBot="1" x14ac:dyDescent="0.25">
      <c r="A70" s="260" t="s">
        <v>110</v>
      </c>
      <c r="B70" s="262">
        <v>7</v>
      </c>
      <c r="C70" s="160"/>
      <c r="D70" s="160">
        <v>2.5</v>
      </c>
      <c r="E70" s="160">
        <v>1</v>
      </c>
      <c r="F70" s="519">
        <v>4</v>
      </c>
      <c r="G70" s="520"/>
      <c r="H70" s="160"/>
      <c r="I70" s="521">
        <f t="shared" si="1"/>
        <v>14.5</v>
      </c>
      <c r="J70" s="522"/>
      <c r="K70" s="11"/>
      <c r="L70" s="11"/>
      <c r="M70" s="11"/>
      <c r="N70" s="11"/>
      <c r="O70" s="11"/>
      <c r="P70" s="11"/>
      <c r="Q70" s="11"/>
      <c r="R70" s="672"/>
    </row>
    <row r="71" spans="1:18" ht="17" thickTop="1" thickBot="1" x14ac:dyDescent="0.25">
      <c r="A71" s="263" t="s">
        <v>450</v>
      </c>
      <c r="B71" s="262">
        <v>4</v>
      </c>
      <c r="C71" s="160"/>
      <c r="D71" s="160">
        <v>7</v>
      </c>
      <c r="E71" s="160">
        <v>4</v>
      </c>
      <c r="F71" s="519">
        <v>6</v>
      </c>
      <c r="G71" s="520"/>
      <c r="H71" s="160"/>
      <c r="I71" s="521">
        <f>SUM(B71:H71)</f>
        <v>21</v>
      </c>
      <c r="J71" s="522"/>
      <c r="K71" s="11"/>
      <c r="L71" s="11"/>
      <c r="M71" s="11"/>
      <c r="N71" s="11"/>
      <c r="O71" s="11"/>
      <c r="P71" s="11"/>
      <c r="Q71" s="11"/>
      <c r="R71" s="672"/>
    </row>
    <row r="72" spans="1:18" ht="17" thickTop="1" thickBot="1" x14ac:dyDescent="0.25">
      <c r="A72" s="263" t="s">
        <v>447</v>
      </c>
      <c r="B72" s="262"/>
      <c r="C72" s="160"/>
      <c r="D72" s="160"/>
      <c r="E72" s="160"/>
      <c r="F72" s="519">
        <v>2</v>
      </c>
      <c r="G72" s="520"/>
      <c r="H72" s="160"/>
      <c r="I72" s="521">
        <f>SUM(B72:H72)</f>
        <v>2</v>
      </c>
      <c r="J72" s="522"/>
      <c r="K72" s="11"/>
      <c r="L72" s="11"/>
      <c r="M72" s="11"/>
      <c r="N72" s="11"/>
      <c r="O72" s="11"/>
      <c r="P72" s="11"/>
      <c r="Q72" s="11"/>
      <c r="R72" s="672"/>
    </row>
    <row r="73" spans="1:18" ht="17" thickTop="1" thickBot="1" x14ac:dyDescent="0.25">
      <c r="A73" s="263" t="s">
        <v>95</v>
      </c>
      <c r="B73" s="262"/>
      <c r="C73" s="160"/>
      <c r="D73" s="160"/>
      <c r="E73" s="160"/>
      <c r="F73" s="519"/>
      <c r="G73" s="520"/>
      <c r="H73" s="160"/>
      <c r="I73" s="528">
        <f>SUM(B73:H73)</f>
        <v>0</v>
      </c>
      <c r="J73" s="529"/>
      <c r="K73" s="11"/>
      <c r="L73" s="11"/>
      <c r="M73" s="11"/>
      <c r="N73" s="11"/>
      <c r="O73" s="11"/>
      <c r="P73" s="11"/>
      <c r="Q73" s="11"/>
      <c r="R73" s="672"/>
    </row>
    <row r="74" spans="1:18" ht="17" thickTop="1" thickBot="1" x14ac:dyDescent="0.25">
      <c r="A74" s="263" t="s">
        <v>769</v>
      </c>
      <c r="B74" s="262"/>
      <c r="C74" s="160"/>
      <c r="D74" s="160"/>
      <c r="E74" s="160"/>
      <c r="F74" s="519"/>
      <c r="G74" s="520"/>
      <c r="H74" s="160"/>
      <c r="I74" s="528">
        <f>SUM(B74:H74)</f>
        <v>0</v>
      </c>
      <c r="J74" s="529"/>
      <c r="K74" s="11"/>
      <c r="L74" s="11"/>
      <c r="M74" s="11"/>
      <c r="N74" s="11"/>
      <c r="O74" s="11"/>
      <c r="P74" s="11"/>
      <c r="Q74" s="11"/>
      <c r="R74" s="672"/>
    </row>
    <row r="75" spans="1:18" ht="16" thickTop="1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672"/>
    </row>
    <row r="76" spans="1:18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672"/>
    </row>
    <row r="77" spans="1:18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672"/>
    </row>
    <row r="78" spans="1:18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672"/>
    </row>
    <row r="79" spans="1:18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672"/>
    </row>
    <row r="80" spans="1:18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672"/>
    </row>
    <row r="81" spans="1:18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672"/>
    </row>
    <row r="82" spans="1:18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8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8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8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1:18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8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8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spans="1:18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spans="1:18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spans="1:18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1:18" x14ac:dyDescent="0.2">
      <c r="N92" s="11"/>
      <c r="O92" s="11"/>
      <c r="P92" s="11"/>
      <c r="Q92" s="11"/>
    </row>
    <row r="93" spans="1:18" x14ac:dyDescent="0.2">
      <c r="N93" s="11"/>
      <c r="O93" s="11"/>
      <c r="P93" s="11"/>
      <c r="Q93" s="11"/>
    </row>
    <row r="94" spans="1:18" x14ac:dyDescent="0.2">
      <c r="N94" s="11"/>
      <c r="O94" s="11"/>
      <c r="P94" s="11"/>
      <c r="Q94" s="11"/>
    </row>
    <row r="95" spans="1:18" x14ac:dyDescent="0.2">
      <c r="N95" s="11"/>
      <c r="O95" s="11"/>
      <c r="P95" s="11"/>
      <c r="Q95" s="11"/>
    </row>
    <row r="96" spans="1:18" x14ac:dyDescent="0.2">
      <c r="N96" s="11"/>
      <c r="O96" s="11"/>
      <c r="P96" s="11"/>
      <c r="Q96" s="11"/>
    </row>
    <row r="122" spans="1:1" x14ac:dyDescent="0.2">
      <c r="A122" t="s">
        <v>83</v>
      </c>
    </row>
    <row r="123" spans="1:1" x14ac:dyDescent="0.2">
      <c r="A123" t="s">
        <v>84</v>
      </c>
    </row>
  </sheetData>
  <mergeCells count="179">
    <mergeCell ref="F74:G74"/>
    <mergeCell ref="I74:J74"/>
    <mergeCell ref="C21:D21"/>
    <mergeCell ref="A26:C26"/>
    <mergeCell ref="R1:R81"/>
    <mergeCell ref="O16:P16"/>
    <mergeCell ref="O17:P17"/>
    <mergeCell ref="C12:M12"/>
    <mergeCell ref="A12:B12"/>
    <mergeCell ref="E20:G20"/>
    <mergeCell ref="O18:P18"/>
    <mergeCell ref="O19:P19"/>
    <mergeCell ref="C8:F8"/>
    <mergeCell ref="A13:M13"/>
    <mergeCell ref="A16:M16"/>
    <mergeCell ref="A17:D17"/>
    <mergeCell ref="E17:M17"/>
    <mergeCell ref="A18:M18"/>
    <mergeCell ref="A15:D15"/>
    <mergeCell ref="E15:M15"/>
    <mergeCell ref="A14:D14"/>
    <mergeCell ref="C23:D23"/>
    <mergeCell ref="H20:M20"/>
    <mergeCell ref="H19:M19"/>
    <mergeCell ref="I6:M6"/>
    <mergeCell ref="A11:B11"/>
    <mergeCell ref="C11:M11"/>
    <mergeCell ref="G6:H6"/>
    <mergeCell ref="C10:F10"/>
    <mergeCell ref="A6:B6"/>
    <mergeCell ref="A9:B9"/>
    <mergeCell ref="A10:B10"/>
    <mergeCell ref="A7:B7"/>
    <mergeCell ref="C7:F7"/>
    <mergeCell ref="G7:H7"/>
    <mergeCell ref="I7:M7"/>
    <mergeCell ref="G10:M10"/>
    <mergeCell ref="A8:B8"/>
    <mergeCell ref="G8:H8"/>
    <mergeCell ref="I8:J8"/>
    <mergeCell ref="L8:M8"/>
    <mergeCell ref="C9:J9"/>
    <mergeCell ref="L9:M9"/>
    <mergeCell ref="A1:M1"/>
    <mergeCell ref="A3:M3"/>
    <mergeCell ref="A4:B4"/>
    <mergeCell ref="A5:B5"/>
    <mergeCell ref="G4:H4"/>
    <mergeCell ref="A24:C24"/>
    <mergeCell ref="A25:C25"/>
    <mergeCell ref="A19:B19"/>
    <mergeCell ref="A20:B20"/>
    <mergeCell ref="A21:B21"/>
    <mergeCell ref="C19:D19"/>
    <mergeCell ref="A22:B22"/>
    <mergeCell ref="A23:B23"/>
    <mergeCell ref="E19:G19"/>
    <mergeCell ref="C20:D20"/>
    <mergeCell ref="G5:H5"/>
    <mergeCell ref="I4:M4"/>
    <mergeCell ref="I5:M5"/>
    <mergeCell ref="C4:F4"/>
    <mergeCell ref="C5:F5"/>
    <mergeCell ref="C22:D22"/>
    <mergeCell ref="E21:M26"/>
    <mergeCell ref="C6:F6"/>
    <mergeCell ref="E14:M14"/>
    <mergeCell ref="A46:M46"/>
    <mergeCell ref="H45:J45"/>
    <mergeCell ref="A45:D45"/>
    <mergeCell ref="K45:M45"/>
    <mergeCell ref="A37:D37"/>
    <mergeCell ref="A27:M27"/>
    <mergeCell ref="A28:C28"/>
    <mergeCell ref="D30:F30"/>
    <mergeCell ref="G30:I30"/>
    <mergeCell ref="G31:I31"/>
    <mergeCell ref="D31:F31"/>
    <mergeCell ref="J30:M30"/>
    <mergeCell ref="J31:M31"/>
    <mergeCell ref="A29:C29"/>
    <mergeCell ref="A30:C30"/>
    <mergeCell ref="A31:C31"/>
    <mergeCell ref="D28:F28"/>
    <mergeCell ref="D29:F29"/>
    <mergeCell ref="G28:I28"/>
    <mergeCell ref="G29:I29"/>
    <mergeCell ref="J28:M28"/>
    <mergeCell ref="J29:M29"/>
    <mergeCell ref="A32:M32"/>
    <mergeCell ref="A33:D33"/>
    <mergeCell ref="K40:M40"/>
    <mergeCell ref="A41:D41"/>
    <mergeCell ref="C54:M55"/>
    <mergeCell ref="C50:M51"/>
    <mergeCell ref="A38:D38"/>
    <mergeCell ref="E38:G38"/>
    <mergeCell ref="H38:J38"/>
    <mergeCell ref="K38:M38"/>
    <mergeCell ref="A47:D48"/>
    <mergeCell ref="E47:M48"/>
    <mergeCell ref="F43:G43"/>
    <mergeCell ref="F44:G44"/>
    <mergeCell ref="F45:G45"/>
    <mergeCell ref="A39:D39"/>
    <mergeCell ref="E39:G39"/>
    <mergeCell ref="H39:J39"/>
    <mergeCell ref="K39:M39"/>
    <mergeCell ref="E41:G41"/>
    <mergeCell ref="H41:J41"/>
    <mergeCell ref="K41:M41"/>
    <mergeCell ref="A42:M42"/>
    <mergeCell ref="K43:M43"/>
    <mergeCell ref="H43:J43"/>
    <mergeCell ref="A43:D43"/>
    <mergeCell ref="A61:B61"/>
    <mergeCell ref="A51:B51"/>
    <mergeCell ref="A52:B52"/>
    <mergeCell ref="A53:B53"/>
    <mergeCell ref="A56:B56"/>
    <mergeCell ref="A57:B57"/>
    <mergeCell ref="A49:M49"/>
    <mergeCell ref="A50:B50"/>
    <mergeCell ref="C52:M53"/>
    <mergeCell ref="A55:B55"/>
    <mergeCell ref="C56:M57"/>
    <mergeCell ref="C58:M59"/>
    <mergeCell ref="C60:M61"/>
    <mergeCell ref="A58:B58"/>
    <mergeCell ref="A59:B59"/>
    <mergeCell ref="A60:B60"/>
    <mergeCell ref="A54:B54"/>
    <mergeCell ref="A44:D44"/>
    <mergeCell ref="H44:J44"/>
    <mergeCell ref="K44:M44"/>
    <mergeCell ref="E33:G33"/>
    <mergeCell ref="H33:J33"/>
    <mergeCell ref="K33:M33"/>
    <mergeCell ref="A34:D34"/>
    <mergeCell ref="E34:G34"/>
    <mergeCell ref="H34:J34"/>
    <mergeCell ref="K34:M34"/>
    <mergeCell ref="A35:D35"/>
    <mergeCell ref="E35:G35"/>
    <mergeCell ref="H35:J35"/>
    <mergeCell ref="K35:M35"/>
    <mergeCell ref="A36:D36"/>
    <mergeCell ref="E36:G36"/>
    <mergeCell ref="H36:J36"/>
    <mergeCell ref="K36:M36"/>
    <mergeCell ref="E37:G37"/>
    <mergeCell ref="H37:J37"/>
    <mergeCell ref="K37:M37"/>
    <mergeCell ref="A40:D40"/>
    <mergeCell ref="E40:G40"/>
    <mergeCell ref="H40:J40"/>
    <mergeCell ref="C62:M63"/>
    <mergeCell ref="F71:G71"/>
    <mergeCell ref="I71:J71"/>
    <mergeCell ref="A64:C64"/>
    <mergeCell ref="D64:G64"/>
    <mergeCell ref="H64:J64"/>
    <mergeCell ref="F73:G73"/>
    <mergeCell ref="I73:J73"/>
    <mergeCell ref="F72:G72"/>
    <mergeCell ref="I72:J72"/>
    <mergeCell ref="F66:G66"/>
    <mergeCell ref="I66:J66"/>
    <mergeCell ref="F67:G67"/>
    <mergeCell ref="I67:J67"/>
    <mergeCell ref="F68:G68"/>
    <mergeCell ref="I68:J68"/>
    <mergeCell ref="F69:G69"/>
    <mergeCell ref="I69:J69"/>
    <mergeCell ref="F70:G70"/>
    <mergeCell ref="I70:J70"/>
    <mergeCell ref="K64:M64"/>
    <mergeCell ref="A62:B62"/>
    <mergeCell ref="A63:B63"/>
  </mergeCells>
  <dataValidations count="1">
    <dataValidation type="list" allowBlank="1" showInputMessage="1" showErrorMessage="1" sqref="C10:F10" xr:uid="{00000000-0002-0000-0000-000000000000}">
      <formula1>$AC$1:$AC$2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5"/>
  </sheetPr>
  <dimension ref="A1:R83"/>
  <sheetViews>
    <sheetView zoomScale="69" zoomScaleNormal="69" workbookViewId="0">
      <pane xSplit="1" ySplit="5" topLeftCell="B6" activePane="bottomRight" state="frozen"/>
      <selection activeCell="A44" sqref="A44:W52"/>
      <selection pane="topRight" activeCell="A44" sqref="A44:W52"/>
      <selection pane="bottomLeft" activeCell="A44" sqref="A44:W52"/>
      <selection pane="bottomRight" activeCell="H10" sqref="H10"/>
    </sheetView>
  </sheetViews>
  <sheetFormatPr baseColWidth="10" defaultRowHeight="15" x14ac:dyDescent="0.2"/>
  <cols>
    <col min="1" max="1" width="19.33203125" customWidth="1"/>
    <col min="2" max="2" width="18.33203125" customWidth="1"/>
    <col min="3" max="3" width="20.5" customWidth="1"/>
    <col min="4" max="4" width="20.6640625" customWidth="1"/>
    <col min="5" max="5" width="22.5" customWidth="1"/>
    <col min="6" max="13" width="11.5" style="11"/>
  </cols>
  <sheetData>
    <row r="1" spans="1:18" ht="27" customHeight="1" x14ac:dyDescent="0.2">
      <c r="A1" s="695" t="s">
        <v>122</v>
      </c>
      <c r="B1" s="695"/>
      <c r="C1" s="695"/>
      <c r="D1" s="695"/>
      <c r="E1" s="695"/>
      <c r="N1" s="11"/>
      <c r="O1" s="11"/>
      <c r="P1" s="11"/>
      <c r="Q1" s="11"/>
      <c r="R1" s="11"/>
    </row>
    <row r="2" spans="1:18" ht="27" customHeight="1" x14ac:dyDescent="0.2">
      <c r="A2" s="695"/>
      <c r="B2" s="695"/>
      <c r="C2" s="695"/>
      <c r="D2" s="695"/>
      <c r="E2" s="695"/>
      <c r="N2" s="11"/>
      <c r="O2" s="11"/>
      <c r="P2" s="11"/>
      <c r="Q2" s="11"/>
      <c r="R2" s="11"/>
    </row>
    <row r="3" spans="1:18" x14ac:dyDescent="0.2">
      <c r="A3" s="264"/>
      <c r="B3" s="264"/>
      <c r="C3" s="264"/>
      <c r="D3" s="264"/>
      <c r="E3" s="264"/>
      <c r="N3" s="11"/>
      <c r="O3" s="11"/>
      <c r="P3" s="11"/>
      <c r="Q3" s="11"/>
      <c r="R3" s="11"/>
    </row>
    <row r="4" spans="1:18" x14ac:dyDescent="0.2">
      <c r="A4" s="699" t="s">
        <v>123</v>
      </c>
      <c r="B4" s="699"/>
      <c r="C4" s="699"/>
      <c r="D4" s="699"/>
      <c r="E4" s="699"/>
      <c r="N4" s="11"/>
      <c r="O4" s="11"/>
      <c r="P4" s="11"/>
      <c r="Q4" s="11"/>
      <c r="R4" s="11"/>
    </row>
    <row r="5" spans="1:18" ht="37.5" customHeight="1" thickBot="1" x14ac:dyDescent="0.25">
      <c r="A5" s="265" t="s">
        <v>124</v>
      </c>
      <c r="B5" s="266" t="s">
        <v>125</v>
      </c>
      <c r="C5" s="266" t="s">
        <v>126</v>
      </c>
      <c r="D5" s="267" t="s">
        <v>127</v>
      </c>
      <c r="E5" s="268" t="s">
        <v>128</v>
      </c>
      <c r="N5" s="11"/>
      <c r="O5" s="11"/>
      <c r="P5" s="11"/>
      <c r="Q5" s="11"/>
      <c r="R5" s="11"/>
    </row>
    <row r="6" spans="1:18" ht="33" customHeight="1" thickTop="1" thickBot="1" x14ac:dyDescent="0.25">
      <c r="A6" s="130" t="s">
        <v>129</v>
      </c>
      <c r="B6" s="115"/>
      <c r="C6" s="116"/>
      <c r="D6" s="117"/>
      <c r="E6" s="118" t="s">
        <v>275</v>
      </c>
      <c r="G6" s="696"/>
      <c r="H6" s="696"/>
      <c r="N6" s="11"/>
      <c r="O6" s="11"/>
      <c r="P6" s="11"/>
      <c r="Q6" s="11"/>
      <c r="R6" s="11"/>
    </row>
    <row r="7" spans="1:18" ht="35.25" customHeight="1" thickTop="1" thickBot="1" x14ac:dyDescent="0.25">
      <c r="A7" s="131" t="s">
        <v>130</v>
      </c>
      <c r="B7" s="119"/>
      <c r="C7" s="120"/>
      <c r="D7" s="121"/>
      <c r="E7" s="122" t="s">
        <v>276</v>
      </c>
      <c r="G7" s="698"/>
      <c r="H7" s="698"/>
      <c r="I7" s="698"/>
      <c r="J7" s="698"/>
      <c r="N7" s="11"/>
      <c r="O7" s="11"/>
      <c r="P7" s="11"/>
      <c r="Q7" s="11"/>
      <c r="R7" s="11"/>
    </row>
    <row r="8" spans="1:18" ht="24.75" customHeight="1" thickTop="1" thickBot="1" x14ac:dyDescent="0.25">
      <c r="A8" s="131" t="s">
        <v>277</v>
      </c>
      <c r="B8" s="119"/>
      <c r="C8" s="120"/>
      <c r="D8" s="121"/>
      <c r="E8" s="123" t="s">
        <v>131</v>
      </c>
      <c r="G8"/>
      <c r="N8" s="11"/>
      <c r="O8" s="11"/>
      <c r="P8" s="11"/>
      <c r="Q8" s="11"/>
      <c r="R8" s="11"/>
    </row>
    <row r="9" spans="1:18" ht="22.5" customHeight="1" thickTop="1" thickBot="1" x14ac:dyDescent="0.25">
      <c r="A9" s="131" t="s">
        <v>132</v>
      </c>
      <c r="B9" s="119"/>
      <c r="C9" s="120"/>
      <c r="D9" s="121"/>
      <c r="E9" s="123" t="s">
        <v>133</v>
      </c>
      <c r="G9" s="697"/>
      <c r="H9" s="697"/>
      <c r="N9" s="11"/>
      <c r="O9" s="11"/>
      <c r="P9" s="11"/>
      <c r="Q9" s="11"/>
      <c r="R9" s="11"/>
    </row>
    <row r="10" spans="1:18" ht="23.25" customHeight="1" thickTop="1" thickBot="1" x14ac:dyDescent="0.25">
      <c r="A10" s="700" t="s">
        <v>134</v>
      </c>
      <c r="B10" s="701"/>
      <c r="C10" s="703"/>
      <c r="D10" s="705"/>
      <c r="E10" s="706" t="s">
        <v>278</v>
      </c>
      <c r="G10"/>
      <c r="N10" s="11"/>
      <c r="O10" s="11"/>
      <c r="P10" s="11"/>
      <c r="Q10" s="11"/>
      <c r="R10" s="11"/>
    </row>
    <row r="11" spans="1:18" ht="5.25" customHeight="1" thickTop="1" thickBot="1" x14ac:dyDescent="0.25">
      <c r="A11" s="700"/>
      <c r="B11" s="702"/>
      <c r="C11" s="704"/>
      <c r="D11" s="631"/>
      <c r="E11" s="706"/>
      <c r="N11" s="11"/>
      <c r="O11" s="11"/>
      <c r="P11" s="11"/>
      <c r="Q11" s="11"/>
      <c r="R11" s="11"/>
    </row>
    <row r="12" spans="1:18" ht="21.75" customHeight="1" thickTop="1" thickBot="1" x14ac:dyDescent="0.25">
      <c r="A12" s="131" t="s">
        <v>135</v>
      </c>
      <c r="B12" s="119"/>
      <c r="C12" s="120"/>
      <c r="D12" s="121"/>
      <c r="E12" s="123" t="s">
        <v>136</v>
      </c>
      <c r="G12" s="673"/>
      <c r="H12" s="673"/>
      <c r="N12" s="11"/>
      <c r="O12" s="11"/>
      <c r="P12" s="11"/>
      <c r="Q12" s="11"/>
      <c r="R12" s="11"/>
    </row>
    <row r="13" spans="1:18" ht="23.25" customHeight="1" thickTop="1" thickBot="1" x14ac:dyDescent="0.25">
      <c r="A13" s="131" t="s">
        <v>137</v>
      </c>
      <c r="B13" s="119"/>
      <c r="C13" s="120"/>
      <c r="D13" s="121"/>
      <c r="E13" s="123" t="s">
        <v>138</v>
      </c>
      <c r="N13" s="11"/>
      <c r="O13" s="11"/>
      <c r="P13" s="11"/>
      <c r="Q13" s="11"/>
      <c r="R13" s="11"/>
    </row>
    <row r="14" spans="1:18" ht="21.75" customHeight="1" thickTop="1" thickBot="1" x14ac:dyDescent="0.25">
      <c r="A14" s="131" t="s">
        <v>139</v>
      </c>
      <c r="B14" s="119"/>
      <c r="C14" s="120"/>
      <c r="D14" s="121"/>
      <c r="E14" s="123" t="s">
        <v>140</v>
      </c>
      <c r="N14" s="11"/>
      <c r="O14" s="11"/>
      <c r="P14" s="11"/>
      <c r="Q14" s="11"/>
      <c r="R14" s="11"/>
    </row>
    <row r="15" spans="1:18" ht="26.25" customHeight="1" thickTop="1" thickBot="1" x14ac:dyDescent="0.25">
      <c r="A15" s="131" t="s">
        <v>141</v>
      </c>
      <c r="B15" s="119"/>
      <c r="C15" s="120"/>
      <c r="D15" s="121"/>
      <c r="E15" s="123" t="s">
        <v>279</v>
      </c>
      <c r="N15" s="11"/>
      <c r="O15" s="11"/>
      <c r="P15" s="11"/>
      <c r="Q15" s="11"/>
      <c r="R15" s="11"/>
    </row>
    <row r="16" spans="1:18" ht="24" customHeight="1" thickTop="1" thickBot="1" x14ac:dyDescent="0.25">
      <c r="A16" s="131" t="s">
        <v>142</v>
      </c>
      <c r="B16" s="119"/>
      <c r="C16" s="120"/>
      <c r="D16" s="121"/>
      <c r="E16" s="123" t="s">
        <v>143</v>
      </c>
      <c r="N16" s="11"/>
      <c r="O16" s="11"/>
      <c r="P16" s="11"/>
      <c r="Q16" s="11"/>
      <c r="R16" s="11"/>
    </row>
    <row r="17" spans="1:18" ht="25.5" customHeight="1" thickTop="1" thickBot="1" x14ac:dyDescent="0.25">
      <c r="A17" s="131" t="s">
        <v>144</v>
      </c>
      <c r="B17" s="119"/>
      <c r="C17" s="120"/>
      <c r="D17" s="121"/>
      <c r="E17" s="123" t="s">
        <v>280</v>
      </c>
      <c r="N17" s="11"/>
      <c r="O17" s="11"/>
      <c r="P17" s="11"/>
      <c r="Q17" s="11"/>
      <c r="R17" s="11"/>
    </row>
    <row r="18" spans="1:18" ht="25.5" customHeight="1" thickTop="1" thickBot="1" x14ac:dyDescent="0.25">
      <c r="A18" s="131" t="s">
        <v>145</v>
      </c>
      <c r="B18" s="119"/>
      <c r="C18" s="120"/>
      <c r="D18" s="121"/>
      <c r="E18" s="123" t="s">
        <v>146</v>
      </c>
      <c r="N18" s="11"/>
      <c r="O18" s="11"/>
      <c r="P18" s="11"/>
      <c r="Q18" s="11"/>
      <c r="R18" s="11"/>
    </row>
    <row r="19" spans="1:18" ht="22.5" customHeight="1" thickTop="1" thickBot="1" x14ac:dyDescent="0.25">
      <c r="A19" s="131" t="s">
        <v>147</v>
      </c>
      <c r="B19" s="119"/>
      <c r="C19" s="120"/>
      <c r="D19" s="121"/>
      <c r="E19" s="123" t="s">
        <v>148</v>
      </c>
      <c r="N19" s="11"/>
      <c r="O19" s="11"/>
      <c r="P19" s="11"/>
      <c r="Q19" s="11"/>
      <c r="R19" s="11"/>
    </row>
    <row r="20" spans="1:18" ht="24" customHeight="1" thickTop="1" thickBot="1" x14ac:dyDescent="0.25">
      <c r="A20" s="131" t="s">
        <v>149</v>
      </c>
      <c r="B20" s="119"/>
      <c r="C20" s="120"/>
      <c r="D20" s="121"/>
      <c r="E20" s="123" t="s">
        <v>150</v>
      </c>
      <c r="N20" s="11"/>
      <c r="O20" s="11"/>
      <c r="P20" s="11"/>
      <c r="Q20" s="11"/>
      <c r="R20" s="11"/>
    </row>
    <row r="21" spans="1:18" ht="24.75" customHeight="1" thickTop="1" thickBot="1" x14ac:dyDescent="0.25">
      <c r="A21" s="131" t="s">
        <v>151</v>
      </c>
      <c r="B21" s="119"/>
      <c r="C21" s="120"/>
      <c r="D21" s="121"/>
      <c r="E21" s="123" t="s">
        <v>152</v>
      </c>
      <c r="N21" s="11"/>
      <c r="O21" s="11"/>
      <c r="P21" s="11"/>
      <c r="Q21" s="11"/>
      <c r="R21" s="11"/>
    </row>
    <row r="22" spans="1:18" ht="30.75" customHeight="1" thickTop="1" thickBot="1" x14ac:dyDescent="0.25">
      <c r="A22" s="131" t="s">
        <v>153</v>
      </c>
      <c r="B22" s="119"/>
      <c r="C22" s="120"/>
      <c r="D22" s="121"/>
      <c r="E22" s="123" t="s">
        <v>154</v>
      </c>
      <c r="N22" s="11"/>
      <c r="O22" s="11"/>
      <c r="P22" s="11"/>
      <c r="Q22" s="11"/>
      <c r="R22" s="11"/>
    </row>
    <row r="23" spans="1:18" ht="36.75" customHeight="1" thickTop="1" thickBot="1" x14ac:dyDescent="0.25">
      <c r="A23" s="131" t="s">
        <v>155</v>
      </c>
      <c r="B23" s="119"/>
      <c r="C23" s="120"/>
      <c r="D23" s="121"/>
      <c r="E23" s="123" t="s">
        <v>156</v>
      </c>
      <c r="N23" s="11"/>
      <c r="O23" s="11"/>
      <c r="P23" s="11"/>
      <c r="Q23" s="11"/>
      <c r="R23" s="11"/>
    </row>
    <row r="24" spans="1:18" ht="17" thickTop="1" thickBot="1" x14ac:dyDescent="0.25">
      <c r="A24" s="700" t="s">
        <v>157</v>
      </c>
      <c r="B24" s="701"/>
      <c r="C24" s="703"/>
      <c r="D24" s="705"/>
      <c r="E24" s="706" t="s">
        <v>281</v>
      </c>
      <c r="N24" s="11"/>
      <c r="O24" s="11"/>
      <c r="P24" s="11"/>
      <c r="Q24" s="11"/>
      <c r="R24" s="11"/>
    </row>
    <row r="25" spans="1:18" ht="17" thickTop="1" thickBot="1" x14ac:dyDescent="0.25">
      <c r="A25" s="700"/>
      <c r="B25" s="702"/>
      <c r="C25" s="704"/>
      <c r="D25" s="631"/>
      <c r="E25" s="706"/>
      <c r="N25" s="11"/>
      <c r="O25" s="11"/>
      <c r="P25" s="11"/>
      <c r="Q25" s="11"/>
      <c r="R25" s="11"/>
    </row>
    <row r="26" spans="1:18" ht="38.25" customHeight="1" thickTop="1" thickBot="1" x14ac:dyDescent="0.25">
      <c r="A26" s="131" t="s">
        <v>158</v>
      </c>
      <c r="B26" s="119"/>
      <c r="C26" s="120"/>
      <c r="D26" s="121"/>
      <c r="E26" s="123" t="s">
        <v>159</v>
      </c>
      <c r="N26" s="11"/>
      <c r="O26" s="11"/>
      <c r="P26" s="11"/>
      <c r="Q26" s="11"/>
      <c r="R26" s="11"/>
    </row>
    <row r="27" spans="1:18" ht="38.25" customHeight="1" thickTop="1" thickBot="1" x14ac:dyDescent="0.25">
      <c r="A27" s="131" t="s">
        <v>160</v>
      </c>
      <c r="B27" s="119"/>
      <c r="C27" s="120"/>
      <c r="D27" s="121"/>
      <c r="E27" s="123" t="s">
        <v>161</v>
      </c>
      <c r="N27" s="11"/>
      <c r="O27" s="11"/>
      <c r="P27" s="11"/>
      <c r="Q27" s="11"/>
      <c r="R27" s="11"/>
    </row>
    <row r="28" spans="1:18" ht="24.75" customHeight="1" thickTop="1" thickBot="1" x14ac:dyDescent="0.25">
      <c r="A28" s="131" t="s">
        <v>162</v>
      </c>
      <c r="B28" s="119"/>
      <c r="C28" s="120"/>
      <c r="D28" s="121"/>
      <c r="E28" s="123" t="s">
        <v>163</v>
      </c>
      <c r="N28" s="11"/>
      <c r="O28" s="11"/>
      <c r="P28" s="11"/>
      <c r="Q28" s="11"/>
      <c r="R28" s="11"/>
    </row>
    <row r="29" spans="1:18" ht="24.75" customHeight="1" thickTop="1" thickBot="1" x14ac:dyDescent="0.25">
      <c r="A29" s="131" t="s">
        <v>164</v>
      </c>
      <c r="B29" s="119"/>
      <c r="C29" s="120"/>
      <c r="D29" s="121"/>
      <c r="E29" s="123" t="s">
        <v>165</v>
      </c>
      <c r="N29" s="11"/>
      <c r="O29" s="11"/>
      <c r="P29" s="11"/>
      <c r="Q29" s="11"/>
      <c r="R29" s="11"/>
    </row>
    <row r="30" spans="1:18" ht="26.25" customHeight="1" thickTop="1" thickBot="1" x14ac:dyDescent="0.25">
      <c r="A30" s="131" t="s">
        <v>166</v>
      </c>
      <c r="B30" s="119"/>
      <c r="C30" s="120"/>
      <c r="D30" s="121"/>
      <c r="E30" s="123" t="s">
        <v>167</v>
      </c>
      <c r="N30" s="11"/>
      <c r="O30" s="11"/>
      <c r="P30" s="11"/>
      <c r="Q30" s="11"/>
      <c r="R30" s="11"/>
    </row>
    <row r="31" spans="1:18" ht="28.5" customHeight="1" thickTop="1" thickBot="1" x14ac:dyDescent="0.25">
      <c r="A31" s="131" t="s">
        <v>168</v>
      </c>
      <c r="B31" s="119"/>
      <c r="C31" s="120"/>
      <c r="D31" s="121"/>
      <c r="E31" s="122" t="s">
        <v>169</v>
      </c>
      <c r="N31" s="11"/>
      <c r="O31" s="11"/>
      <c r="P31" s="11"/>
      <c r="Q31" s="11"/>
      <c r="R31" s="11"/>
    </row>
    <row r="32" spans="1:18" ht="27.75" customHeight="1" thickTop="1" thickBot="1" x14ac:dyDescent="0.25">
      <c r="A32" s="131" t="s">
        <v>170</v>
      </c>
      <c r="B32" s="119"/>
      <c r="C32" s="120"/>
      <c r="D32" s="121"/>
      <c r="E32" s="122" t="s">
        <v>171</v>
      </c>
      <c r="N32" s="11"/>
      <c r="O32" s="11"/>
      <c r="P32" s="11"/>
      <c r="Q32" s="11"/>
      <c r="R32" s="11"/>
    </row>
    <row r="33" spans="1:18" ht="38.25" customHeight="1" thickTop="1" thickBot="1" x14ac:dyDescent="0.25">
      <c r="A33" s="131" t="s">
        <v>172</v>
      </c>
      <c r="B33" s="119"/>
      <c r="C33" s="120"/>
      <c r="D33" s="121"/>
      <c r="E33" s="122" t="s">
        <v>173</v>
      </c>
      <c r="N33" s="11"/>
      <c r="O33" s="11"/>
      <c r="P33" s="11"/>
      <c r="Q33" s="11"/>
      <c r="R33" s="11"/>
    </row>
    <row r="34" spans="1:18" ht="28.5" customHeight="1" thickTop="1" thickBot="1" x14ac:dyDescent="0.25">
      <c r="A34" s="131" t="s">
        <v>174</v>
      </c>
      <c r="B34" s="119"/>
      <c r="C34" s="120"/>
      <c r="D34" s="121"/>
      <c r="E34" s="123" t="s">
        <v>175</v>
      </c>
      <c r="N34" s="11"/>
      <c r="O34" s="11"/>
      <c r="P34" s="11"/>
      <c r="Q34" s="11"/>
      <c r="R34" s="11"/>
    </row>
    <row r="35" spans="1:18" ht="23.25" customHeight="1" thickTop="1" thickBot="1" x14ac:dyDescent="0.25">
      <c r="A35" s="131" t="s">
        <v>176</v>
      </c>
      <c r="B35" s="119"/>
      <c r="C35" s="120"/>
      <c r="D35" s="121"/>
      <c r="E35" s="123" t="s">
        <v>177</v>
      </c>
      <c r="N35" s="11"/>
      <c r="O35" s="11"/>
      <c r="P35" s="11"/>
      <c r="Q35" s="11"/>
      <c r="R35" s="11"/>
    </row>
    <row r="36" spans="1:18" ht="27.75" customHeight="1" thickTop="1" thickBot="1" x14ac:dyDescent="0.25">
      <c r="A36" s="131" t="s">
        <v>178</v>
      </c>
      <c r="B36" s="119"/>
      <c r="C36" s="120"/>
      <c r="D36" s="121"/>
      <c r="E36" s="123" t="s">
        <v>179</v>
      </c>
      <c r="N36" s="11"/>
      <c r="O36" s="11"/>
      <c r="P36" s="11"/>
      <c r="Q36" s="11"/>
      <c r="R36" s="11"/>
    </row>
    <row r="37" spans="1:18" ht="39.75" customHeight="1" thickTop="1" thickBot="1" x14ac:dyDescent="0.25">
      <c r="A37" s="131" t="s">
        <v>180</v>
      </c>
      <c r="B37" s="119"/>
      <c r="C37" s="120"/>
      <c r="D37" s="121"/>
      <c r="E37" s="123" t="s">
        <v>321</v>
      </c>
      <c r="N37" s="11"/>
      <c r="O37" s="11"/>
      <c r="P37" s="11"/>
      <c r="Q37" s="11"/>
      <c r="R37" s="11"/>
    </row>
    <row r="38" spans="1:18" ht="23.25" customHeight="1" thickTop="1" thickBot="1" x14ac:dyDescent="0.25">
      <c r="A38" s="131" t="s">
        <v>100</v>
      </c>
      <c r="B38" s="119"/>
      <c r="C38" s="120"/>
      <c r="D38" s="121"/>
      <c r="E38" s="123" t="s">
        <v>181</v>
      </c>
      <c r="N38" s="11"/>
      <c r="O38" s="11"/>
      <c r="P38" s="11"/>
      <c r="Q38" s="11"/>
      <c r="R38" s="11"/>
    </row>
    <row r="39" spans="1:18" ht="24" customHeight="1" thickTop="1" thickBot="1" x14ac:dyDescent="0.25">
      <c r="A39" s="131" t="s">
        <v>182</v>
      </c>
      <c r="B39" s="119"/>
      <c r="C39" s="120"/>
      <c r="D39" s="121"/>
      <c r="E39" s="123" t="s">
        <v>183</v>
      </c>
      <c r="N39" s="11"/>
      <c r="O39" s="11"/>
      <c r="P39" s="11"/>
      <c r="Q39" s="11"/>
      <c r="R39" s="11"/>
    </row>
    <row r="40" spans="1:18" ht="27" customHeight="1" thickTop="1" thickBot="1" x14ac:dyDescent="0.25">
      <c r="A40" s="131" t="s">
        <v>184</v>
      </c>
      <c r="B40" s="119"/>
      <c r="C40" s="120"/>
      <c r="D40" s="121"/>
      <c r="E40" s="123" t="s">
        <v>185</v>
      </c>
      <c r="N40" s="11"/>
      <c r="O40" s="11"/>
      <c r="P40" s="11"/>
      <c r="Q40" s="11"/>
      <c r="R40" s="11"/>
    </row>
    <row r="41" spans="1:18" ht="25.5" customHeight="1" thickTop="1" thickBot="1" x14ac:dyDescent="0.25">
      <c r="A41" s="131" t="s">
        <v>186</v>
      </c>
      <c r="B41" s="119"/>
      <c r="C41" s="120"/>
      <c r="D41" s="121"/>
      <c r="E41" s="123" t="s">
        <v>187</v>
      </c>
      <c r="N41" s="11"/>
      <c r="O41" s="11"/>
      <c r="P41" s="11"/>
      <c r="Q41" s="11"/>
      <c r="R41" s="11"/>
    </row>
    <row r="42" spans="1:18" ht="21" customHeight="1" thickTop="1" thickBot="1" x14ac:dyDescent="0.25">
      <c r="A42" s="131" t="s">
        <v>282</v>
      </c>
      <c r="B42" s="119"/>
      <c r="C42" s="120"/>
      <c r="D42" s="121"/>
      <c r="E42" s="123" t="s">
        <v>188</v>
      </c>
      <c r="N42" s="11"/>
      <c r="O42" s="11"/>
      <c r="P42" s="11"/>
      <c r="Q42" s="11"/>
      <c r="R42" s="11"/>
    </row>
    <row r="43" spans="1:18" ht="27.75" customHeight="1" thickTop="1" thickBot="1" x14ac:dyDescent="0.25">
      <c r="A43" s="131" t="s">
        <v>189</v>
      </c>
      <c r="B43" s="119"/>
      <c r="C43" s="120"/>
      <c r="D43" s="121"/>
      <c r="E43" s="123" t="s">
        <v>190</v>
      </c>
      <c r="N43" s="11"/>
      <c r="O43" s="11"/>
      <c r="P43" s="11"/>
      <c r="Q43" s="11"/>
      <c r="R43" s="11"/>
    </row>
    <row r="44" spans="1:18" ht="21.75" customHeight="1" thickTop="1" thickBot="1" x14ac:dyDescent="0.25">
      <c r="A44" s="132" t="s">
        <v>191</v>
      </c>
      <c r="B44" s="119"/>
      <c r="C44" s="120"/>
      <c r="D44" s="121"/>
      <c r="E44" s="123" t="s">
        <v>192</v>
      </c>
      <c r="N44" s="11"/>
      <c r="O44" s="11"/>
      <c r="P44" s="11"/>
      <c r="Q44" s="11"/>
      <c r="R44" s="11"/>
    </row>
    <row r="45" spans="1:18" ht="21" customHeight="1" thickTop="1" thickBot="1" x14ac:dyDescent="0.25">
      <c r="A45" s="131" t="s">
        <v>193</v>
      </c>
      <c r="B45" s="119"/>
      <c r="C45" s="120"/>
      <c r="D45" s="121"/>
      <c r="E45" s="123" t="s">
        <v>194</v>
      </c>
      <c r="N45" s="11"/>
      <c r="O45" s="11"/>
      <c r="P45" s="11"/>
      <c r="Q45" s="11"/>
      <c r="R45" s="11"/>
    </row>
    <row r="46" spans="1:18" ht="25.5" customHeight="1" thickTop="1" thickBot="1" x14ac:dyDescent="0.25">
      <c r="A46" s="131" t="s">
        <v>195</v>
      </c>
      <c r="B46" s="124"/>
      <c r="C46" s="125"/>
      <c r="D46" s="126"/>
      <c r="E46" s="123" t="s">
        <v>283</v>
      </c>
      <c r="N46" s="11"/>
      <c r="O46" s="11"/>
      <c r="P46" s="11"/>
      <c r="Q46" s="11"/>
      <c r="R46" s="11"/>
    </row>
    <row r="47" spans="1:18" ht="17" thickTop="1" thickBot="1" x14ac:dyDescent="0.25">
      <c r="A47" s="133"/>
      <c r="B47" s="114"/>
      <c r="C47" s="114"/>
      <c r="D47" s="114"/>
      <c r="E47" s="114"/>
      <c r="N47" s="11"/>
      <c r="O47" s="11"/>
      <c r="P47" s="11"/>
      <c r="Q47" s="11"/>
      <c r="R47" s="11"/>
    </row>
    <row r="48" spans="1:18" ht="17" thickTop="1" thickBot="1" x14ac:dyDescent="0.25">
      <c r="A48" s="134" t="s">
        <v>249</v>
      </c>
      <c r="B48" s="127"/>
      <c r="C48" s="128"/>
      <c r="D48" s="128"/>
      <c r="E48" s="128"/>
      <c r="N48" s="11"/>
      <c r="O48" s="11"/>
      <c r="P48" s="11"/>
      <c r="Q48" s="11"/>
      <c r="R48" s="11"/>
    </row>
    <row r="49" spans="1:18" ht="17" thickTop="1" thickBot="1" x14ac:dyDescent="0.25">
      <c r="A49" s="135" t="s">
        <v>250</v>
      </c>
      <c r="B49" s="129"/>
      <c r="C49" s="128"/>
      <c r="D49" s="128"/>
      <c r="E49" s="128"/>
      <c r="N49" s="11"/>
      <c r="O49" s="11"/>
      <c r="P49" s="11"/>
      <c r="Q49" s="11"/>
      <c r="R49" s="11"/>
    </row>
    <row r="50" spans="1:18" ht="16" thickTop="1" x14ac:dyDescent="0.2">
      <c r="A50" s="72"/>
      <c r="B50" s="11"/>
      <c r="C50" s="11"/>
      <c r="D50" s="11"/>
      <c r="E50" s="11"/>
      <c r="N50" s="11"/>
      <c r="O50" s="11"/>
      <c r="P50" s="11"/>
      <c r="Q50" s="11"/>
      <c r="R50" s="11"/>
    </row>
    <row r="51" spans="1:18" x14ac:dyDescent="0.2">
      <c r="A51" s="11"/>
      <c r="B51" s="11"/>
      <c r="C51" s="11"/>
      <c r="D51" s="11"/>
      <c r="E51" s="11"/>
      <c r="N51" s="11"/>
      <c r="O51" s="11"/>
      <c r="P51" s="11"/>
      <c r="Q51" s="11"/>
      <c r="R51" s="11"/>
    </row>
    <row r="52" spans="1:18" x14ac:dyDescent="0.2">
      <c r="A52" s="11"/>
      <c r="B52" s="11"/>
      <c r="C52" s="11"/>
      <c r="D52" s="11"/>
      <c r="E52" s="11"/>
      <c r="N52" s="11"/>
      <c r="O52" s="11"/>
      <c r="P52" s="11"/>
      <c r="Q52" s="11"/>
      <c r="R52" s="11"/>
    </row>
    <row r="53" spans="1:18" x14ac:dyDescent="0.2">
      <c r="A53" s="11"/>
      <c r="B53" s="11"/>
      <c r="C53" s="11"/>
      <c r="D53" s="11"/>
      <c r="E53" s="11"/>
      <c r="N53" s="11"/>
      <c r="O53" s="11"/>
      <c r="P53" s="11"/>
      <c r="Q53" s="11"/>
      <c r="R53" s="11"/>
    </row>
    <row r="54" spans="1:18" x14ac:dyDescent="0.2">
      <c r="A54" s="11"/>
      <c r="B54" s="11"/>
      <c r="C54" s="11"/>
      <c r="D54" s="11"/>
      <c r="E54" s="11"/>
      <c r="N54" s="11"/>
      <c r="O54" s="11"/>
      <c r="P54" s="11"/>
      <c r="Q54" s="11"/>
      <c r="R54" s="11"/>
    </row>
    <row r="55" spans="1:18" x14ac:dyDescent="0.2">
      <c r="A55" s="11"/>
      <c r="B55" s="11"/>
      <c r="C55" s="11"/>
      <c r="D55" s="11"/>
      <c r="E55" s="11"/>
      <c r="N55" s="11"/>
      <c r="O55" s="11"/>
      <c r="P55" s="11"/>
      <c r="Q55" s="11"/>
      <c r="R55" s="11"/>
    </row>
    <row r="56" spans="1:18" x14ac:dyDescent="0.2">
      <c r="A56" s="11"/>
      <c r="B56" s="11"/>
      <c r="C56" s="11"/>
      <c r="D56" s="11"/>
      <c r="E56" s="11"/>
      <c r="N56" s="11"/>
      <c r="O56" s="11"/>
      <c r="P56" s="11"/>
      <c r="Q56" s="11"/>
      <c r="R56" s="11"/>
    </row>
    <row r="57" spans="1:18" x14ac:dyDescent="0.2">
      <c r="A57" s="11"/>
      <c r="B57" s="11"/>
      <c r="C57" s="11"/>
      <c r="D57" s="11"/>
      <c r="E57" s="11"/>
      <c r="N57" s="11"/>
      <c r="O57" s="11"/>
      <c r="P57" s="11"/>
      <c r="Q57" s="11"/>
      <c r="R57" s="11"/>
    </row>
    <row r="58" spans="1:18" x14ac:dyDescent="0.2">
      <c r="A58" s="11"/>
      <c r="B58" s="11"/>
      <c r="C58" s="11"/>
      <c r="D58" s="11"/>
      <c r="E58" s="11"/>
      <c r="N58" s="11"/>
      <c r="O58" s="11"/>
      <c r="P58" s="11"/>
      <c r="Q58" s="11"/>
      <c r="R58" s="11"/>
    </row>
    <row r="59" spans="1:18" x14ac:dyDescent="0.2">
      <c r="A59" s="11"/>
      <c r="B59" s="11"/>
      <c r="C59" s="11"/>
      <c r="D59" s="11"/>
      <c r="E59" s="11"/>
      <c r="N59" s="11"/>
      <c r="O59" s="11"/>
      <c r="P59" s="11"/>
      <c r="Q59" s="11"/>
      <c r="R59" s="11"/>
    </row>
    <row r="60" spans="1:18" x14ac:dyDescent="0.2">
      <c r="A60" s="11"/>
      <c r="B60" s="11"/>
      <c r="C60" s="11"/>
      <c r="D60" s="11"/>
      <c r="E60" s="11"/>
      <c r="N60" s="11"/>
      <c r="O60" s="11"/>
      <c r="P60" s="11"/>
      <c r="Q60" s="11"/>
      <c r="R60" s="11"/>
    </row>
    <row r="61" spans="1:18" x14ac:dyDescent="0.2">
      <c r="A61" s="11"/>
      <c r="B61" s="11"/>
      <c r="C61" s="11"/>
      <c r="D61" s="11"/>
      <c r="E61" s="11"/>
      <c r="N61" s="11"/>
      <c r="O61" s="11"/>
      <c r="P61" s="11"/>
      <c r="Q61" s="11"/>
      <c r="R61" s="11"/>
    </row>
    <row r="62" spans="1:18" x14ac:dyDescent="0.2">
      <c r="A62" s="11"/>
      <c r="B62" s="11"/>
      <c r="C62" s="11"/>
      <c r="D62" s="11"/>
      <c r="E62" s="11"/>
      <c r="N62" s="11"/>
      <c r="O62" s="11"/>
      <c r="P62" s="11"/>
      <c r="Q62" s="11"/>
      <c r="R62" s="11"/>
    </row>
    <row r="63" spans="1:18" x14ac:dyDescent="0.2">
      <c r="A63" s="11"/>
      <c r="B63" s="11"/>
      <c r="C63" s="11"/>
      <c r="D63" s="11"/>
      <c r="E63" s="11"/>
      <c r="N63" s="11"/>
      <c r="O63" s="11"/>
      <c r="P63" s="11"/>
      <c r="Q63" s="11"/>
      <c r="R63" s="11"/>
    </row>
    <row r="64" spans="1:18" x14ac:dyDescent="0.2">
      <c r="A64" s="11"/>
      <c r="B64" s="11"/>
      <c r="C64" s="11"/>
      <c r="D64" s="11"/>
      <c r="E64" s="11"/>
      <c r="N64" s="11"/>
      <c r="O64" s="11"/>
      <c r="P64" s="11"/>
      <c r="Q64" s="11"/>
      <c r="R64" s="11"/>
    </row>
    <row r="65" spans="1:18" x14ac:dyDescent="0.2">
      <c r="A65" s="11"/>
      <c r="B65" s="11"/>
      <c r="C65" s="11"/>
      <c r="D65" s="11"/>
      <c r="E65" s="11"/>
      <c r="N65" s="11"/>
      <c r="O65" s="11"/>
      <c r="P65" s="11"/>
      <c r="Q65" s="11"/>
      <c r="R65" s="11"/>
    </row>
    <row r="66" spans="1:18" x14ac:dyDescent="0.2">
      <c r="A66" s="11"/>
      <c r="B66" s="11"/>
      <c r="C66" s="11"/>
      <c r="D66" s="11"/>
      <c r="E66" s="11"/>
      <c r="N66" s="11"/>
      <c r="O66" s="11"/>
      <c r="P66" s="11"/>
      <c r="Q66" s="11"/>
      <c r="R66" s="11"/>
    </row>
    <row r="67" spans="1:18" x14ac:dyDescent="0.2">
      <c r="A67" s="11"/>
      <c r="B67" s="11"/>
      <c r="C67" s="11"/>
      <c r="D67" s="11"/>
      <c r="E67" s="11"/>
      <c r="N67" s="11"/>
      <c r="O67" s="11"/>
      <c r="P67" s="11"/>
      <c r="Q67" s="11"/>
      <c r="R67" s="11"/>
    </row>
    <row r="68" spans="1:18" x14ac:dyDescent="0.2">
      <c r="A68" s="11"/>
      <c r="B68" s="11"/>
      <c r="C68" s="11"/>
      <c r="D68" s="11"/>
      <c r="E68" s="11"/>
      <c r="N68" s="11"/>
      <c r="O68" s="11"/>
      <c r="P68" s="11"/>
      <c r="Q68" s="11"/>
      <c r="R68" s="11"/>
    </row>
    <row r="69" spans="1:18" x14ac:dyDescent="0.2">
      <c r="A69" s="11"/>
      <c r="B69" s="11"/>
      <c r="C69" s="11"/>
      <c r="D69" s="11"/>
      <c r="E69" s="11"/>
      <c r="N69" s="11"/>
      <c r="O69" s="11"/>
      <c r="P69" s="11"/>
      <c r="Q69" s="11"/>
      <c r="R69" s="11"/>
    </row>
    <row r="70" spans="1:18" x14ac:dyDescent="0.2">
      <c r="A70" s="11"/>
      <c r="B70" s="11"/>
      <c r="C70" s="11"/>
      <c r="D70" s="11"/>
      <c r="E70" s="11"/>
      <c r="N70" s="11"/>
      <c r="O70" s="11"/>
      <c r="P70" s="11"/>
      <c r="Q70" s="11"/>
      <c r="R70" s="11"/>
    </row>
    <row r="71" spans="1:18" x14ac:dyDescent="0.2">
      <c r="A71" s="11"/>
      <c r="B71" s="11"/>
      <c r="C71" s="11"/>
      <c r="D71" s="11"/>
      <c r="E71" s="11"/>
      <c r="N71" s="11"/>
      <c r="O71" s="11"/>
      <c r="P71" s="11"/>
      <c r="Q71" s="11"/>
      <c r="R71" s="11"/>
    </row>
    <row r="72" spans="1:18" x14ac:dyDescent="0.2">
      <c r="A72" s="11"/>
      <c r="B72" s="11"/>
      <c r="C72" s="11"/>
      <c r="D72" s="11"/>
      <c r="E72" s="11"/>
      <c r="N72" s="11"/>
      <c r="O72" s="11"/>
      <c r="P72" s="11"/>
      <c r="Q72" s="11"/>
      <c r="R72" s="11"/>
    </row>
    <row r="73" spans="1:18" x14ac:dyDescent="0.2">
      <c r="A73" s="11"/>
      <c r="B73" s="11"/>
      <c r="C73" s="11"/>
      <c r="D73" s="11"/>
      <c r="E73" s="11"/>
      <c r="N73" s="11"/>
      <c r="O73" s="11"/>
      <c r="P73" s="11"/>
      <c r="Q73" s="11"/>
      <c r="R73" s="11"/>
    </row>
    <row r="74" spans="1:18" x14ac:dyDescent="0.2">
      <c r="A74" s="11"/>
      <c r="B74" s="11"/>
      <c r="C74" s="11"/>
      <c r="D74" s="11"/>
      <c r="E74" s="11"/>
      <c r="N74" s="11"/>
      <c r="O74" s="11"/>
      <c r="P74" s="11"/>
      <c r="Q74" s="11"/>
      <c r="R74" s="11"/>
    </row>
    <row r="75" spans="1:18" x14ac:dyDescent="0.2">
      <c r="A75" s="11"/>
      <c r="B75" s="11"/>
      <c r="C75" s="11"/>
      <c r="D75" s="11"/>
      <c r="E75" s="11"/>
      <c r="N75" s="11"/>
      <c r="O75" s="11"/>
      <c r="P75" s="11"/>
      <c r="Q75" s="11"/>
      <c r="R75" s="11"/>
    </row>
    <row r="76" spans="1:18" x14ac:dyDescent="0.2">
      <c r="A76" s="11"/>
      <c r="B76" s="11"/>
      <c r="C76" s="11"/>
      <c r="D76" s="11"/>
      <c r="E76" s="11"/>
      <c r="N76" s="11"/>
      <c r="O76" s="11"/>
      <c r="P76" s="11"/>
      <c r="Q76" s="11"/>
      <c r="R76" s="11"/>
    </row>
    <row r="77" spans="1:18" x14ac:dyDescent="0.2">
      <c r="A77" s="11"/>
      <c r="B77" s="11"/>
      <c r="C77" s="11"/>
      <c r="D77" s="11"/>
      <c r="E77" s="11"/>
      <c r="N77" s="11"/>
      <c r="O77" s="11"/>
      <c r="P77" s="11"/>
      <c r="Q77" s="11"/>
      <c r="R77" s="11"/>
    </row>
    <row r="78" spans="1:18" x14ac:dyDescent="0.2">
      <c r="A78" s="11"/>
      <c r="B78" s="11"/>
      <c r="C78" s="11"/>
      <c r="D78" s="11"/>
      <c r="E78" s="11"/>
      <c r="N78" s="11"/>
      <c r="O78" s="11"/>
      <c r="P78" s="11"/>
      <c r="Q78" s="11"/>
      <c r="R78" s="11"/>
    </row>
    <row r="79" spans="1:18" x14ac:dyDescent="0.2">
      <c r="A79" s="11"/>
      <c r="B79" s="11"/>
      <c r="C79" s="11"/>
      <c r="D79" s="11"/>
      <c r="E79" s="11"/>
      <c r="N79" s="11"/>
      <c r="O79" s="11"/>
      <c r="P79" s="11"/>
      <c r="Q79" s="11"/>
      <c r="R79" s="11"/>
    </row>
    <row r="80" spans="1:18" x14ac:dyDescent="0.2">
      <c r="A80" s="11"/>
      <c r="B80" s="11"/>
      <c r="C80" s="11"/>
      <c r="D80" s="11"/>
      <c r="E80" s="11"/>
      <c r="N80" s="11"/>
      <c r="O80" s="11"/>
      <c r="P80" s="11"/>
      <c r="Q80" s="11"/>
      <c r="R80" s="11"/>
    </row>
    <row r="81" spans="1:18" x14ac:dyDescent="0.2">
      <c r="A81" s="11"/>
      <c r="B81" s="11"/>
      <c r="C81" s="11"/>
      <c r="D81" s="11"/>
      <c r="E81" s="11"/>
      <c r="N81" s="11"/>
      <c r="O81" s="11"/>
      <c r="P81" s="11"/>
      <c r="Q81" s="11"/>
      <c r="R81" s="11"/>
    </row>
    <row r="82" spans="1:18" x14ac:dyDescent="0.2">
      <c r="A82" s="11"/>
      <c r="B82" s="11"/>
      <c r="C82" s="11"/>
      <c r="D82" s="11"/>
      <c r="E82" s="11"/>
      <c r="N82" s="11"/>
      <c r="O82" s="11"/>
      <c r="P82" s="11"/>
      <c r="Q82" s="11"/>
      <c r="R82" s="11"/>
    </row>
    <row r="83" spans="1:18" x14ac:dyDescent="0.2">
      <c r="A83" s="11"/>
      <c r="B83" s="11"/>
      <c r="C83" s="11"/>
      <c r="D83" s="11"/>
      <c r="E83" s="11"/>
      <c r="N83" s="11"/>
      <c r="O83" s="11"/>
      <c r="P83" s="11"/>
      <c r="Q83" s="11"/>
      <c r="R83" s="11"/>
    </row>
  </sheetData>
  <mergeCells count="16">
    <mergeCell ref="A24:A25"/>
    <mergeCell ref="B24:B25"/>
    <mergeCell ref="C24:C25"/>
    <mergeCell ref="D24:D25"/>
    <mergeCell ref="E24:E25"/>
    <mergeCell ref="A1:E2"/>
    <mergeCell ref="G6:H6"/>
    <mergeCell ref="G9:H9"/>
    <mergeCell ref="G7:J7"/>
    <mergeCell ref="G12:H12"/>
    <mergeCell ref="A4:E4"/>
    <mergeCell ref="A10:A11"/>
    <mergeCell ref="B10:B11"/>
    <mergeCell ref="C10:C11"/>
    <mergeCell ref="D10:D11"/>
    <mergeCell ref="E10:E1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66FF66"/>
  </sheetPr>
  <dimension ref="A1:AA208"/>
  <sheetViews>
    <sheetView zoomScale="122" zoomScaleNormal="122" workbookViewId="0">
      <pane xSplit="1" topLeftCell="B1" activePane="topRight" state="frozen"/>
      <selection activeCell="A44" sqref="A44:W52"/>
      <selection pane="topRight" activeCell="B64" sqref="B64"/>
    </sheetView>
  </sheetViews>
  <sheetFormatPr baseColWidth="10" defaultRowHeight="15" x14ac:dyDescent="0.2"/>
  <cols>
    <col min="1" max="1" width="42.33203125" customWidth="1"/>
    <col min="2" max="2" width="15.1640625" customWidth="1"/>
    <col min="3" max="3" width="16.5" customWidth="1"/>
    <col min="4" max="4" width="17.33203125" customWidth="1"/>
    <col min="5" max="5" width="18.83203125" customWidth="1"/>
    <col min="6" max="6" width="17.83203125" customWidth="1"/>
    <col min="7" max="8" width="22.1640625" customWidth="1"/>
    <col min="9" max="9" width="21.6640625" customWidth="1"/>
    <col min="10" max="10" width="21.83203125" customWidth="1"/>
  </cols>
  <sheetData>
    <row r="1" spans="1:27" x14ac:dyDescent="0.2">
      <c r="A1" s="10"/>
      <c r="B1" s="753" t="s">
        <v>469</v>
      </c>
      <c r="C1" s="754"/>
      <c r="D1" s="754"/>
      <c r="E1" s="754"/>
      <c r="F1" s="754"/>
      <c r="G1" s="754"/>
      <c r="H1" s="754"/>
      <c r="I1" s="754"/>
      <c r="J1" s="754"/>
      <c r="K1" s="754"/>
      <c r="L1" s="754"/>
      <c r="M1" s="754"/>
      <c r="N1" s="755"/>
      <c r="O1" s="745" t="s">
        <v>469</v>
      </c>
      <c r="P1" s="746"/>
      <c r="Q1" s="746"/>
      <c r="R1" s="746"/>
      <c r="S1" s="746"/>
      <c r="T1" s="746"/>
      <c r="U1" s="746"/>
      <c r="V1" s="746"/>
      <c r="W1" s="746"/>
      <c r="X1" s="746"/>
      <c r="Y1" s="746"/>
      <c r="Z1" s="746"/>
      <c r="AA1" s="747"/>
    </row>
    <row r="2" spans="1:27" x14ac:dyDescent="0.2">
      <c r="A2" s="10"/>
      <c r="B2" s="756"/>
      <c r="C2" s="757"/>
      <c r="D2" s="757"/>
      <c r="E2" s="757"/>
      <c r="F2" s="757"/>
      <c r="G2" s="757"/>
      <c r="H2" s="757"/>
      <c r="I2" s="757"/>
      <c r="J2" s="757"/>
      <c r="K2" s="757"/>
      <c r="L2" s="757"/>
      <c r="M2" s="757"/>
      <c r="N2" s="758"/>
      <c r="O2" s="748"/>
      <c r="P2" s="749"/>
      <c r="Q2" s="749"/>
      <c r="R2" s="749"/>
      <c r="S2" s="749"/>
      <c r="T2" s="749"/>
      <c r="U2" s="749"/>
      <c r="V2" s="749"/>
      <c r="W2" s="749"/>
      <c r="X2" s="749"/>
      <c r="Y2" s="749"/>
      <c r="Z2" s="749"/>
      <c r="AA2" s="750"/>
    </row>
    <row r="3" spans="1:27" x14ac:dyDescent="0.2">
      <c r="A3" s="10"/>
      <c r="B3" s="756"/>
      <c r="C3" s="757"/>
      <c r="D3" s="757"/>
      <c r="E3" s="757"/>
      <c r="F3" s="757"/>
      <c r="G3" s="757"/>
      <c r="H3" s="757"/>
      <c r="I3" s="757"/>
      <c r="J3" s="757"/>
      <c r="K3" s="757"/>
      <c r="L3" s="757"/>
      <c r="M3" s="757"/>
      <c r="N3" s="758"/>
      <c r="O3" s="748"/>
      <c r="P3" s="749"/>
      <c r="Q3" s="749"/>
      <c r="R3" s="749"/>
      <c r="S3" s="749"/>
      <c r="T3" s="749"/>
      <c r="U3" s="749"/>
      <c r="V3" s="749"/>
      <c r="W3" s="749"/>
      <c r="X3" s="749"/>
      <c r="Y3" s="749"/>
      <c r="Z3" s="749"/>
      <c r="AA3" s="750"/>
    </row>
    <row r="4" spans="1:27" ht="16" thickBot="1" x14ac:dyDescent="0.25">
      <c r="A4" s="10"/>
      <c r="B4" s="756"/>
      <c r="C4" s="757"/>
      <c r="D4" s="759"/>
      <c r="E4" s="759"/>
      <c r="F4" s="759"/>
      <c r="G4" s="759"/>
      <c r="H4" s="759"/>
      <c r="I4" s="759"/>
      <c r="J4" s="759"/>
      <c r="K4" s="759"/>
      <c r="L4" s="759"/>
      <c r="M4" s="759"/>
      <c r="N4" s="760"/>
      <c r="O4" s="748"/>
      <c r="P4" s="749"/>
      <c r="Q4" s="751"/>
      <c r="R4" s="751"/>
      <c r="S4" s="751"/>
      <c r="T4" s="751"/>
      <c r="U4" s="751"/>
      <c r="V4" s="751"/>
      <c r="W4" s="751"/>
      <c r="X4" s="751"/>
      <c r="Y4" s="751"/>
      <c r="Z4" s="751"/>
      <c r="AA4" s="752"/>
    </row>
    <row r="5" spans="1:27" x14ac:dyDescent="0.2">
      <c r="A5" s="437" t="s">
        <v>301</v>
      </c>
      <c r="B5" s="275">
        <v>1</v>
      </c>
      <c r="C5" s="275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8"/>
      <c r="O5" s="275"/>
      <c r="P5" s="277"/>
      <c r="Q5" s="277"/>
      <c r="R5" s="277"/>
      <c r="S5" s="277"/>
    </row>
    <row r="6" spans="1:27" x14ac:dyDescent="0.2">
      <c r="A6" s="270" t="s">
        <v>323</v>
      </c>
      <c r="B6" s="439">
        <v>45994</v>
      </c>
      <c r="C6" s="439"/>
      <c r="D6" s="440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13"/>
      <c r="P6" s="219"/>
      <c r="Q6" s="219"/>
      <c r="R6" s="219"/>
      <c r="S6" s="219"/>
    </row>
    <row r="7" spans="1:27" x14ac:dyDescent="0.2">
      <c r="A7" s="186" t="s">
        <v>320</v>
      </c>
      <c r="B7" s="441">
        <v>90.05</v>
      </c>
      <c r="C7" s="442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219"/>
      <c r="Q7" s="219"/>
      <c r="R7" s="219"/>
      <c r="S7" s="219"/>
    </row>
    <row r="8" spans="1:27" x14ac:dyDescent="0.2">
      <c r="A8" s="102" t="s">
        <v>310</v>
      </c>
      <c r="B8" s="443">
        <v>1.86</v>
      </c>
      <c r="C8" s="444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219"/>
      <c r="Q8" s="219"/>
      <c r="R8" s="219"/>
      <c r="S8" s="219"/>
    </row>
    <row r="9" spans="1:27" x14ac:dyDescent="0.2">
      <c r="A9" s="102" t="s">
        <v>5</v>
      </c>
      <c r="B9" s="215">
        <f>B8*100</f>
        <v>186</v>
      </c>
      <c r="C9" s="215">
        <f t="shared" ref="C9" si="0">C8*100</f>
        <v>0</v>
      </c>
      <c r="D9" s="215">
        <f>D8*100</f>
        <v>0</v>
      </c>
      <c r="E9" s="215">
        <f t="shared" ref="E9:O9" si="1">E8*100</f>
        <v>0</v>
      </c>
      <c r="F9" s="215">
        <f t="shared" si="1"/>
        <v>0</v>
      </c>
      <c r="G9" s="215">
        <f t="shared" si="1"/>
        <v>0</v>
      </c>
      <c r="H9" s="215">
        <f t="shared" si="1"/>
        <v>0</v>
      </c>
      <c r="I9" s="215">
        <f t="shared" si="1"/>
        <v>0</v>
      </c>
      <c r="J9" s="215">
        <f t="shared" si="1"/>
        <v>0</v>
      </c>
      <c r="K9" s="215">
        <f t="shared" si="1"/>
        <v>0</v>
      </c>
      <c r="L9" s="215">
        <f t="shared" si="1"/>
        <v>0</v>
      </c>
      <c r="M9" s="215">
        <f t="shared" si="1"/>
        <v>0</v>
      </c>
      <c r="N9" s="215">
        <f t="shared" si="1"/>
        <v>0</v>
      </c>
      <c r="O9" s="215">
        <f t="shared" si="1"/>
        <v>0</v>
      </c>
      <c r="P9" s="219"/>
      <c r="Q9" s="219"/>
      <c r="R9" s="219"/>
      <c r="S9" s="219"/>
    </row>
    <row r="10" spans="1:27" x14ac:dyDescent="0.2">
      <c r="A10" s="102" t="s">
        <v>976</v>
      </c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9"/>
      <c r="Q10" s="219"/>
      <c r="R10" s="219"/>
      <c r="S10" s="219"/>
    </row>
    <row r="11" spans="1:27" x14ac:dyDescent="0.2">
      <c r="A11" s="271" t="s">
        <v>467</v>
      </c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219"/>
      <c r="Q11" s="219"/>
      <c r="R11" s="219"/>
      <c r="S11" s="219"/>
    </row>
    <row r="12" spans="1:27" x14ac:dyDescent="0.2">
      <c r="A12" s="322" t="s">
        <v>451</v>
      </c>
      <c r="B12" s="107">
        <v>39.1</v>
      </c>
      <c r="C12" s="321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219"/>
      <c r="Q12" s="219"/>
      <c r="R12" s="219"/>
      <c r="S12" s="219"/>
    </row>
    <row r="13" spans="1:27" x14ac:dyDescent="0.2">
      <c r="A13" s="269" t="s">
        <v>717</v>
      </c>
      <c r="B13" s="107">
        <v>41.5</v>
      </c>
      <c r="C13" s="321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219"/>
      <c r="Q13" s="219"/>
      <c r="R13" s="219"/>
      <c r="S13" s="219"/>
    </row>
    <row r="14" spans="1:27" x14ac:dyDescent="0.2">
      <c r="A14" s="269" t="s">
        <v>452</v>
      </c>
      <c r="B14" s="107">
        <v>31</v>
      </c>
      <c r="C14" s="321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219"/>
      <c r="Q14" s="219"/>
      <c r="R14" s="219"/>
      <c r="S14" s="219"/>
    </row>
    <row r="15" spans="1:27" x14ac:dyDescent="0.2">
      <c r="A15" s="269" t="s">
        <v>455</v>
      </c>
      <c r="B15" s="107">
        <v>108</v>
      </c>
      <c r="C15" s="321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219"/>
      <c r="Q15" s="219"/>
      <c r="R15" s="219"/>
      <c r="S15" s="219"/>
    </row>
    <row r="16" spans="1:27" x14ac:dyDescent="0.2">
      <c r="A16" s="269" t="s">
        <v>457</v>
      </c>
      <c r="B16" s="107">
        <v>85</v>
      </c>
      <c r="C16" s="321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219"/>
      <c r="Q16" s="219"/>
      <c r="R16" s="219"/>
      <c r="S16" s="219"/>
    </row>
    <row r="17" spans="1:19" x14ac:dyDescent="0.2">
      <c r="A17" s="269" t="s">
        <v>456</v>
      </c>
      <c r="B17" s="107">
        <v>99.8</v>
      </c>
      <c r="C17" s="321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219"/>
      <c r="Q17" s="219"/>
      <c r="R17" s="219"/>
      <c r="S17" s="219"/>
    </row>
    <row r="18" spans="1:19" x14ac:dyDescent="0.2">
      <c r="A18" s="269" t="s">
        <v>453</v>
      </c>
      <c r="B18" s="107">
        <v>61.3</v>
      </c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219"/>
      <c r="Q18" s="219"/>
      <c r="R18" s="219"/>
      <c r="S18" s="219"/>
    </row>
    <row r="19" spans="1:19" x14ac:dyDescent="0.2">
      <c r="A19" s="269" t="s">
        <v>454</v>
      </c>
      <c r="B19" s="107">
        <v>58.3</v>
      </c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219"/>
      <c r="Q19" s="219"/>
      <c r="R19" s="219"/>
      <c r="S19" s="219"/>
    </row>
    <row r="20" spans="1:19" x14ac:dyDescent="0.2">
      <c r="A20" s="269" t="s">
        <v>458</v>
      </c>
      <c r="B20" s="107">
        <v>38.6</v>
      </c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219"/>
      <c r="Q20" s="219"/>
      <c r="R20" s="219"/>
      <c r="S20" s="219"/>
    </row>
    <row r="21" spans="1:19" x14ac:dyDescent="0.2">
      <c r="A21" s="271" t="s">
        <v>468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219"/>
      <c r="Q21" s="219"/>
      <c r="R21" s="219"/>
      <c r="S21" s="219"/>
    </row>
    <row r="22" spans="1:19" x14ac:dyDescent="0.2">
      <c r="A22" s="269" t="s">
        <v>459</v>
      </c>
      <c r="B22" s="107">
        <v>3.5</v>
      </c>
      <c r="C22" s="323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219"/>
      <c r="Q22" s="219"/>
      <c r="R22" s="219"/>
      <c r="S22" s="219"/>
    </row>
    <row r="23" spans="1:19" x14ac:dyDescent="0.2">
      <c r="A23" s="269" t="s">
        <v>460</v>
      </c>
      <c r="B23" s="107">
        <v>6.5</v>
      </c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219"/>
      <c r="Q23" s="219"/>
      <c r="R23" s="219"/>
      <c r="S23" s="219"/>
    </row>
    <row r="24" spans="1:19" x14ac:dyDescent="0.2">
      <c r="A24" s="269" t="s">
        <v>461</v>
      </c>
      <c r="B24" s="107">
        <v>11.5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219"/>
      <c r="Q24" s="219"/>
      <c r="R24" s="219"/>
      <c r="S24" s="219"/>
    </row>
    <row r="25" spans="1:19" x14ac:dyDescent="0.2">
      <c r="A25" s="269" t="s">
        <v>466</v>
      </c>
      <c r="B25" s="107">
        <v>15.5</v>
      </c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219"/>
      <c r="Q25" s="219"/>
      <c r="R25" s="219"/>
      <c r="S25" s="219"/>
    </row>
    <row r="26" spans="1:19" x14ac:dyDescent="0.2">
      <c r="A26" s="269" t="s">
        <v>465</v>
      </c>
      <c r="B26" s="107">
        <v>14</v>
      </c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219"/>
      <c r="Q26" s="219"/>
      <c r="R26" s="219"/>
      <c r="S26" s="219"/>
    </row>
    <row r="27" spans="1:19" x14ac:dyDescent="0.2">
      <c r="A27" s="269" t="s">
        <v>462</v>
      </c>
      <c r="B27" s="107">
        <v>28.5</v>
      </c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219"/>
      <c r="Q27" s="219"/>
      <c r="R27" s="219"/>
      <c r="S27" s="219"/>
    </row>
    <row r="28" spans="1:19" x14ac:dyDescent="0.2">
      <c r="A28" s="269" t="s">
        <v>463</v>
      </c>
      <c r="B28" s="107">
        <v>10.5</v>
      </c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219"/>
      <c r="Q28" s="219"/>
      <c r="R28" s="219"/>
      <c r="S28" s="219"/>
    </row>
    <row r="29" spans="1:19" x14ac:dyDescent="0.2">
      <c r="A29" s="269" t="s">
        <v>464</v>
      </c>
      <c r="B29" s="107">
        <v>6.5</v>
      </c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219"/>
      <c r="Q29" s="219"/>
      <c r="R29" s="219"/>
      <c r="S29" s="219"/>
    </row>
    <row r="30" spans="1:19" x14ac:dyDescent="0.2">
      <c r="A30" s="271" t="s">
        <v>473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219"/>
      <c r="Q30" s="219"/>
      <c r="R30" s="219"/>
      <c r="S30" s="219"/>
    </row>
    <row r="31" spans="1:19" x14ac:dyDescent="0.2">
      <c r="A31" s="269" t="s">
        <v>474</v>
      </c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219"/>
      <c r="Q31" s="219"/>
      <c r="R31" s="219"/>
      <c r="S31" s="219"/>
    </row>
    <row r="32" spans="1:19" x14ac:dyDescent="0.2">
      <c r="A32" s="269" t="s">
        <v>475</v>
      </c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219"/>
      <c r="Q32" s="219"/>
      <c r="R32" s="219"/>
      <c r="S32" s="219"/>
    </row>
    <row r="33" spans="1:19" x14ac:dyDescent="0.2">
      <c r="A33" s="269" t="s">
        <v>476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219"/>
      <c r="Q33" s="219"/>
      <c r="R33" s="219"/>
      <c r="S33" s="219"/>
    </row>
    <row r="34" spans="1:19" x14ac:dyDescent="0.2">
      <c r="A34" s="269" t="s">
        <v>477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219"/>
      <c r="Q34" s="219"/>
      <c r="R34" s="219"/>
      <c r="S34" s="219"/>
    </row>
    <row r="35" spans="1:19" x14ac:dyDescent="0.2">
      <c r="A35" s="269" t="s">
        <v>478</v>
      </c>
      <c r="B35" s="107">
        <v>8</v>
      </c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219"/>
      <c r="Q35" s="219"/>
      <c r="R35" s="219"/>
      <c r="S35" s="219"/>
    </row>
    <row r="36" spans="1:19" x14ac:dyDescent="0.2">
      <c r="A36" s="269" t="s">
        <v>479</v>
      </c>
      <c r="B36" s="107">
        <v>10.5</v>
      </c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219"/>
      <c r="Q36" s="219"/>
      <c r="R36" s="219"/>
      <c r="S36" s="219"/>
    </row>
    <row r="37" spans="1:19" x14ac:dyDescent="0.2">
      <c r="A37" s="271" t="s">
        <v>470</v>
      </c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219"/>
      <c r="Q37" s="219"/>
      <c r="R37" s="219"/>
      <c r="S37" s="219"/>
    </row>
    <row r="38" spans="1:19" x14ac:dyDescent="0.2">
      <c r="A38" s="269" t="s">
        <v>451</v>
      </c>
      <c r="B38" s="107">
        <f t="shared" ref="B38:O38" si="2">B12-(3.1416*B23)/10</f>
        <v>37.057960000000001</v>
      </c>
      <c r="C38" s="107">
        <f t="shared" si="2"/>
        <v>0</v>
      </c>
      <c r="D38" s="107">
        <f t="shared" si="2"/>
        <v>0</v>
      </c>
      <c r="E38" s="107">
        <f t="shared" si="2"/>
        <v>0</v>
      </c>
      <c r="F38" s="107">
        <f t="shared" si="2"/>
        <v>0</v>
      </c>
      <c r="G38" s="107">
        <f t="shared" si="2"/>
        <v>0</v>
      </c>
      <c r="H38" s="107">
        <f t="shared" si="2"/>
        <v>0</v>
      </c>
      <c r="I38" s="107">
        <f t="shared" si="2"/>
        <v>0</v>
      </c>
      <c r="J38" s="107">
        <f t="shared" si="2"/>
        <v>0</v>
      </c>
      <c r="K38" s="107">
        <f t="shared" si="2"/>
        <v>0</v>
      </c>
      <c r="L38" s="107">
        <f t="shared" si="2"/>
        <v>0</v>
      </c>
      <c r="M38" s="107">
        <f t="shared" si="2"/>
        <v>0</v>
      </c>
      <c r="N38" s="107">
        <f t="shared" si="2"/>
        <v>0</v>
      </c>
      <c r="O38" s="107">
        <f t="shared" si="2"/>
        <v>0</v>
      </c>
      <c r="P38" s="219"/>
      <c r="Q38" s="219"/>
      <c r="R38" s="219"/>
      <c r="S38" s="219"/>
    </row>
    <row r="39" spans="1:19" x14ac:dyDescent="0.2">
      <c r="A39" s="269" t="s">
        <v>471</v>
      </c>
      <c r="B39" s="107">
        <f>B15-(3.1416*B24)/10</f>
        <v>104.38715999999999</v>
      </c>
      <c r="C39" s="107">
        <f>C15-(3.1416*C24)/10</f>
        <v>0</v>
      </c>
      <c r="D39" s="107">
        <f t="shared" ref="D39:O39" si="3">D15-(3.1416*D24)/10</f>
        <v>0</v>
      </c>
      <c r="E39" s="107">
        <f t="shared" si="3"/>
        <v>0</v>
      </c>
      <c r="F39" s="107">
        <f t="shared" si="3"/>
        <v>0</v>
      </c>
      <c r="G39" s="107">
        <f t="shared" si="3"/>
        <v>0</v>
      </c>
      <c r="H39" s="107">
        <f t="shared" si="3"/>
        <v>0</v>
      </c>
      <c r="I39" s="107">
        <f t="shared" si="3"/>
        <v>0</v>
      </c>
      <c r="J39" s="107">
        <f t="shared" si="3"/>
        <v>0</v>
      </c>
      <c r="K39" s="107">
        <f t="shared" si="3"/>
        <v>0</v>
      </c>
      <c r="L39" s="107">
        <f t="shared" si="3"/>
        <v>0</v>
      </c>
      <c r="M39" s="107">
        <f t="shared" si="3"/>
        <v>0</v>
      </c>
      <c r="N39" s="107">
        <f t="shared" si="3"/>
        <v>0</v>
      </c>
      <c r="O39" s="107">
        <f t="shared" si="3"/>
        <v>0</v>
      </c>
      <c r="P39" s="219"/>
      <c r="Q39" s="219"/>
      <c r="R39" s="219"/>
      <c r="S39" s="219"/>
    </row>
    <row r="40" spans="1:19" x14ac:dyDescent="0.2">
      <c r="A40" s="269" t="s">
        <v>472</v>
      </c>
      <c r="B40" s="107">
        <f>B16-(3.1416*B27)/10</f>
        <v>76.046440000000004</v>
      </c>
      <c r="C40" s="107">
        <f>C16-(3.1416*C27)/10</f>
        <v>0</v>
      </c>
      <c r="D40" s="107">
        <f t="shared" ref="D40:O40" si="4">D16-(3.1416*D27)/10</f>
        <v>0</v>
      </c>
      <c r="E40" s="107">
        <f t="shared" si="4"/>
        <v>0</v>
      </c>
      <c r="F40" s="107">
        <f t="shared" si="4"/>
        <v>0</v>
      </c>
      <c r="G40" s="107">
        <f t="shared" si="4"/>
        <v>0</v>
      </c>
      <c r="H40" s="107">
        <f t="shared" si="4"/>
        <v>0</v>
      </c>
      <c r="I40" s="107">
        <f t="shared" si="4"/>
        <v>0</v>
      </c>
      <c r="J40" s="107">
        <f t="shared" si="4"/>
        <v>0</v>
      </c>
      <c r="K40" s="107">
        <f t="shared" si="4"/>
        <v>0</v>
      </c>
      <c r="L40" s="107">
        <f t="shared" si="4"/>
        <v>0</v>
      </c>
      <c r="M40" s="107">
        <f t="shared" si="4"/>
        <v>0</v>
      </c>
      <c r="N40" s="107">
        <f t="shared" si="4"/>
        <v>0</v>
      </c>
      <c r="O40" s="107">
        <f t="shared" si="4"/>
        <v>0</v>
      </c>
      <c r="P40" s="219"/>
      <c r="Q40" s="219"/>
      <c r="R40" s="219"/>
      <c r="S40" s="219"/>
    </row>
    <row r="41" spans="1:19" x14ac:dyDescent="0.2">
      <c r="A41" s="269" t="s">
        <v>453</v>
      </c>
      <c r="B41" s="107">
        <f>B18-(3.1416*B28)/10</f>
        <v>58.00132</v>
      </c>
      <c r="C41" s="107">
        <f>C18-(3.1416*C28)/10</f>
        <v>0</v>
      </c>
      <c r="D41" s="107">
        <f t="shared" ref="D41:O41" si="5">D18-(3.1416*D28)/10</f>
        <v>0</v>
      </c>
      <c r="E41" s="107">
        <f t="shared" si="5"/>
        <v>0</v>
      </c>
      <c r="F41" s="107">
        <f t="shared" si="5"/>
        <v>0</v>
      </c>
      <c r="G41" s="107">
        <f t="shared" si="5"/>
        <v>0</v>
      </c>
      <c r="H41" s="107">
        <f t="shared" si="5"/>
        <v>0</v>
      </c>
      <c r="I41" s="107">
        <f t="shared" si="5"/>
        <v>0</v>
      </c>
      <c r="J41" s="107">
        <f t="shared" si="5"/>
        <v>0</v>
      </c>
      <c r="K41" s="107">
        <f t="shared" si="5"/>
        <v>0</v>
      </c>
      <c r="L41" s="107">
        <f t="shared" si="5"/>
        <v>0</v>
      </c>
      <c r="M41" s="107">
        <f t="shared" si="5"/>
        <v>0</v>
      </c>
      <c r="N41" s="107">
        <f t="shared" si="5"/>
        <v>0</v>
      </c>
      <c r="O41" s="107">
        <f t="shared" si="5"/>
        <v>0</v>
      </c>
      <c r="P41" s="219"/>
      <c r="Q41" s="219"/>
      <c r="R41" s="219"/>
      <c r="S41" s="219"/>
    </row>
    <row r="42" spans="1:19" x14ac:dyDescent="0.2">
      <c r="A42" s="269" t="s">
        <v>458</v>
      </c>
      <c r="B42" s="107">
        <f>B20-(3.1416*B29)/10</f>
        <v>36.557960000000001</v>
      </c>
      <c r="C42" s="107">
        <f>C20-(3.1416*C29)/10</f>
        <v>0</v>
      </c>
      <c r="D42" s="107">
        <f t="shared" ref="D42:O42" si="6">D20-(3.1416*D29)/10</f>
        <v>0</v>
      </c>
      <c r="E42" s="107">
        <f t="shared" si="6"/>
        <v>0</v>
      </c>
      <c r="F42" s="107">
        <f t="shared" si="6"/>
        <v>0</v>
      </c>
      <c r="G42" s="107">
        <f t="shared" si="6"/>
        <v>0</v>
      </c>
      <c r="H42" s="107">
        <f t="shared" si="6"/>
        <v>0</v>
      </c>
      <c r="I42" s="107">
        <f t="shared" si="6"/>
        <v>0</v>
      </c>
      <c r="J42" s="107">
        <f t="shared" si="6"/>
        <v>0</v>
      </c>
      <c r="K42" s="107">
        <f t="shared" si="6"/>
        <v>0</v>
      </c>
      <c r="L42" s="107">
        <f t="shared" si="6"/>
        <v>0</v>
      </c>
      <c r="M42" s="107">
        <f t="shared" si="6"/>
        <v>0</v>
      </c>
      <c r="N42" s="107">
        <f t="shared" si="6"/>
        <v>0</v>
      </c>
      <c r="O42" s="107">
        <f t="shared" si="6"/>
        <v>0</v>
      </c>
      <c r="P42" s="219"/>
      <c r="Q42" s="219"/>
      <c r="R42" s="219"/>
      <c r="S42" s="219"/>
    </row>
    <row r="43" spans="1:19" x14ac:dyDescent="0.2">
      <c r="A43" s="275" t="s">
        <v>482</v>
      </c>
      <c r="B43" s="276"/>
      <c r="C43" s="276"/>
      <c r="D43" s="276"/>
      <c r="E43" s="276"/>
      <c r="F43" s="276"/>
      <c r="G43" s="276"/>
      <c r="H43" s="276"/>
      <c r="I43" s="276"/>
      <c r="J43" s="276"/>
      <c r="K43" s="276"/>
      <c r="L43" s="276"/>
      <c r="M43" s="276"/>
      <c r="N43" s="276"/>
      <c r="O43" s="276"/>
      <c r="P43" s="277"/>
      <c r="Q43" s="277"/>
      <c r="R43" s="277"/>
      <c r="S43" s="277"/>
    </row>
    <row r="44" spans="1:19" ht="16" x14ac:dyDescent="0.2">
      <c r="A44" s="278" t="s">
        <v>317</v>
      </c>
      <c r="B44" s="279">
        <f t="shared" ref="B44:S44" si="7">B7/(B8*B8)</f>
        <v>26.02902069603422</v>
      </c>
      <c r="C44" s="279" t="e">
        <f t="shared" si="7"/>
        <v>#DIV/0!</v>
      </c>
      <c r="D44" s="279" t="e">
        <f t="shared" si="7"/>
        <v>#DIV/0!</v>
      </c>
      <c r="E44" s="279" t="e">
        <f t="shared" si="7"/>
        <v>#DIV/0!</v>
      </c>
      <c r="F44" s="279" t="e">
        <f t="shared" si="7"/>
        <v>#DIV/0!</v>
      </c>
      <c r="G44" s="279" t="e">
        <f t="shared" si="7"/>
        <v>#DIV/0!</v>
      </c>
      <c r="H44" s="279" t="e">
        <f t="shared" si="7"/>
        <v>#DIV/0!</v>
      </c>
      <c r="I44" s="279" t="e">
        <f t="shared" si="7"/>
        <v>#DIV/0!</v>
      </c>
      <c r="J44" s="279" t="e">
        <f t="shared" si="7"/>
        <v>#DIV/0!</v>
      </c>
      <c r="K44" s="279" t="e">
        <f t="shared" si="7"/>
        <v>#DIV/0!</v>
      </c>
      <c r="L44" s="279" t="e">
        <f t="shared" si="7"/>
        <v>#DIV/0!</v>
      </c>
      <c r="M44" s="279" t="e">
        <f t="shared" si="7"/>
        <v>#DIV/0!</v>
      </c>
      <c r="N44" s="279" t="e">
        <f t="shared" si="7"/>
        <v>#DIV/0!</v>
      </c>
      <c r="O44" s="279" t="e">
        <f t="shared" si="7"/>
        <v>#DIV/0!</v>
      </c>
      <c r="P44" s="279" t="e">
        <f t="shared" si="7"/>
        <v>#DIV/0!</v>
      </c>
      <c r="Q44" s="279" t="e">
        <f t="shared" si="7"/>
        <v>#DIV/0!</v>
      </c>
      <c r="R44" s="279" t="e">
        <f t="shared" si="7"/>
        <v>#DIV/0!</v>
      </c>
      <c r="S44" s="279" t="e">
        <f t="shared" si="7"/>
        <v>#DIV/0!</v>
      </c>
    </row>
    <row r="45" spans="1:19" x14ac:dyDescent="0.2">
      <c r="A45" s="280" t="s">
        <v>485</v>
      </c>
      <c r="B45" s="281">
        <f t="shared" ref="B45:S45" si="8">(B35/(B9/100))*10</f>
        <v>43.01075268817204</v>
      </c>
      <c r="C45" s="281" t="e">
        <f t="shared" si="8"/>
        <v>#DIV/0!</v>
      </c>
      <c r="D45" s="281" t="e">
        <f t="shared" si="8"/>
        <v>#DIV/0!</v>
      </c>
      <c r="E45" s="281" t="e">
        <f t="shared" si="8"/>
        <v>#DIV/0!</v>
      </c>
      <c r="F45" s="281" t="e">
        <f t="shared" si="8"/>
        <v>#DIV/0!</v>
      </c>
      <c r="G45" s="281" t="e">
        <f t="shared" si="8"/>
        <v>#DIV/0!</v>
      </c>
      <c r="H45" s="281" t="e">
        <f t="shared" si="8"/>
        <v>#DIV/0!</v>
      </c>
      <c r="I45" s="281" t="e">
        <f t="shared" si="8"/>
        <v>#DIV/0!</v>
      </c>
      <c r="J45" s="281" t="e">
        <f t="shared" si="8"/>
        <v>#DIV/0!</v>
      </c>
      <c r="K45" s="281" t="e">
        <f t="shared" si="8"/>
        <v>#DIV/0!</v>
      </c>
      <c r="L45" s="281" t="e">
        <f t="shared" si="8"/>
        <v>#DIV/0!</v>
      </c>
      <c r="M45" s="281" t="e">
        <f t="shared" si="8"/>
        <v>#DIV/0!</v>
      </c>
      <c r="N45" s="281" t="e">
        <f t="shared" si="8"/>
        <v>#DIV/0!</v>
      </c>
      <c r="O45" s="281" t="e">
        <f t="shared" si="8"/>
        <v>#DIV/0!</v>
      </c>
      <c r="P45" s="281" t="e">
        <f t="shared" si="8"/>
        <v>#DIV/0!</v>
      </c>
      <c r="Q45" s="281" t="e">
        <f t="shared" si="8"/>
        <v>#DIV/0!</v>
      </c>
      <c r="R45" s="281" t="e">
        <f t="shared" si="8"/>
        <v>#DIV/0!</v>
      </c>
      <c r="S45" s="281" t="e">
        <f t="shared" si="8"/>
        <v>#DIV/0!</v>
      </c>
    </row>
    <row r="46" spans="1:19" ht="16" x14ac:dyDescent="0.2">
      <c r="A46" s="103" t="s">
        <v>318</v>
      </c>
      <c r="B46" s="211">
        <f t="shared" ref="B46:S46" si="9">(B23/10)*B12/2-((B23/10)*(B23/10)*3.1416/4)</f>
        <v>12.375668500000002</v>
      </c>
      <c r="C46" s="211">
        <f t="shared" si="9"/>
        <v>0</v>
      </c>
      <c r="D46" s="211">
        <f t="shared" si="9"/>
        <v>0</v>
      </c>
      <c r="E46" s="211">
        <f t="shared" si="9"/>
        <v>0</v>
      </c>
      <c r="F46" s="211">
        <f t="shared" si="9"/>
        <v>0</v>
      </c>
      <c r="G46" s="211">
        <f t="shared" si="9"/>
        <v>0</v>
      </c>
      <c r="H46" s="211">
        <f t="shared" si="9"/>
        <v>0</v>
      </c>
      <c r="I46" s="211">
        <f t="shared" si="9"/>
        <v>0</v>
      </c>
      <c r="J46" s="211">
        <f t="shared" si="9"/>
        <v>0</v>
      </c>
      <c r="K46" s="211">
        <f t="shared" si="9"/>
        <v>0</v>
      </c>
      <c r="L46" s="211">
        <f t="shared" si="9"/>
        <v>0</v>
      </c>
      <c r="M46" s="211">
        <f t="shared" si="9"/>
        <v>0</v>
      </c>
      <c r="N46" s="211">
        <f t="shared" si="9"/>
        <v>0</v>
      </c>
      <c r="O46" s="211">
        <f t="shared" si="9"/>
        <v>0</v>
      </c>
      <c r="P46" s="211">
        <f t="shared" si="9"/>
        <v>0</v>
      </c>
      <c r="Q46" s="211">
        <f t="shared" si="9"/>
        <v>0</v>
      </c>
      <c r="R46" s="211">
        <f t="shared" si="9"/>
        <v>0</v>
      </c>
      <c r="S46" s="211">
        <f t="shared" si="9"/>
        <v>0</v>
      </c>
    </row>
    <row r="47" spans="1:19" ht="16" x14ac:dyDescent="0.2">
      <c r="A47" s="103" t="s">
        <v>319</v>
      </c>
      <c r="B47" s="252">
        <f t="shared" ref="B47:S47" si="10">(B12-((B23/10)*3.1416))^2/(4*3.1416)</f>
        <v>109.28288128354978</v>
      </c>
      <c r="C47" s="252">
        <f t="shared" si="10"/>
        <v>0</v>
      </c>
      <c r="D47" s="252">
        <f t="shared" si="10"/>
        <v>0</v>
      </c>
      <c r="E47" s="252">
        <f t="shared" si="10"/>
        <v>0</v>
      </c>
      <c r="F47" s="252">
        <f t="shared" si="10"/>
        <v>0</v>
      </c>
      <c r="G47" s="252">
        <f t="shared" si="10"/>
        <v>0</v>
      </c>
      <c r="H47" s="252">
        <f t="shared" si="10"/>
        <v>0</v>
      </c>
      <c r="I47" s="252">
        <f t="shared" si="10"/>
        <v>0</v>
      </c>
      <c r="J47" s="252">
        <f t="shared" si="10"/>
        <v>0</v>
      </c>
      <c r="K47" s="252">
        <f t="shared" si="10"/>
        <v>0</v>
      </c>
      <c r="L47" s="252">
        <f t="shared" si="10"/>
        <v>0</v>
      </c>
      <c r="M47" s="252">
        <f t="shared" si="10"/>
        <v>0</v>
      </c>
      <c r="N47" s="252">
        <f t="shared" si="10"/>
        <v>0</v>
      </c>
      <c r="O47" s="252">
        <f t="shared" si="10"/>
        <v>0</v>
      </c>
      <c r="P47" s="252">
        <f t="shared" si="10"/>
        <v>0</v>
      </c>
      <c r="Q47" s="252">
        <f t="shared" si="10"/>
        <v>0</v>
      </c>
      <c r="R47" s="252">
        <f t="shared" si="10"/>
        <v>0</v>
      </c>
      <c r="S47" s="252">
        <f t="shared" si="10"/>
        <v>0</v>
      </c>
    </row>
    <row r="48" spans="1:19" ht="16" x14ac:dyDescent="0.2">
      <c r="A48" s="103" t="s">
        <v>723</v>
      </c>
      <c r="B48" s="111">
        <f>((B19-(B28/10)*3.1416)*(B19-(B28/10)*3.1416)/12.5664)</f>
        <v>240.73284327591037</v>
      </c>
      <c r="C48" s="111">
        <f t="shared" ref="C48:S48" si="11">((C19-(C28/10)*3.1416)*(C19-(C28/10)*3.1416)/12.5664)</f>
        <v>0</v>
      </c>
      <c r="D48" s="111">
        <f t="shared" si="11"/>
        <v>0</v>
      </c>
      <c r="E48" s="111">
        <f t="shared" si="11"/>
        <v>0</v>
      </c>
      <c r="F48" s="111">
        <f t="shared" si="11"/>
        <v>0</v>
      </c>
      <c r="G48" s="111">
        <f t="shared" si="11"/>
        <v>0</v>
      </c>
      <c r="H48" s="111">
        <f t="shared" si="11"/>
        <v>0</v>
      </c>
      <c r="I48" s="111">
        <f t="shared" si="11"/>
        <v>0</v>
      </c>
      <c r="J48" s="111">
        <f t="shared" si="11"/>
        <v>0</v>
      </c>
      <c r="K48" s="111">
        <f t="shared" si="11"/>
        <v>0</v>
      </c>
      <c r="L48" s="111">
        <f t="shared" si="11"/>
        <v>0</v>
      </c>
      <c r="M48" s="111">
        <f t="shared" si="11"/>
        <v>0</v>
      </c>
      <c r="N48" s="111">
        <f t="shared" si="11"/>
        <v>0</v>
      </c>
      <c r="O48" s="111">
        <f t="shared" si="11"/>
        <v>0</v>
      </c>
      <c r="P48" s="111">
        <f t="shared" si="11"/>
        <v>0</v>
      </c>
      <c r="Q48" s="111">
        <f t="shared" si="11"/>
        <v>0</v>
      </c>
      <c r="R48" s="111">
        <f t="shared" si="11"/>
        <v>0</v>
      </c>
      <c r="S48" s="111">
        <f t="shared" si="11"/>
        <v>0</v>
      </c>
    </row>
    <row r="49" spans="1:23" ht="16" x14ac:dyDescent="0.2">
      <c r="A49" s="103" t="s">
        <v>724</v>
      </c>
      <c r="B49" s="252">
        <f>(B19/10)*B28/2-((B19/10)*(B28/10)*3.1416/4)</f>
        <v>25.799673900000002</v>
      </c>
      <c r="C49" s="252">
        <f t="shared" ref="C49:S49" si="12">(C19/10)*C28/2-((C19/10)*(C28/10)*3.1416/4)</f>
        <v>0</v>
      </c>
      <c r="D49" s="252">
        <f t="shared" si="12"/>
        <v>0</v>
      </c>
      <c r="E49" s="252">
        <f t="shared" si="12"/>
        <v>0</v>
      </c>
      <c r="F49" s="252">
        <f t="shared" si="12"/>
        <v>0</v>
      </c>
      <c r="G49" s="252">
        <f t="shared" si="12"/>
        <v>0</v>
      </c>
      <c r="H49" s="252">
        <f t="shared" si="12"/>
        <v>0</v>
      </c>
      <c r="I49" s="252">
        <f t="shared" si="12"/>
        <v>0</v>
      </c>
      <c r="J49" s="252">
        <f t="shared" si="12"/>
        <v>0</v>
      </c>
      <c r="K49" s="252">
        <f t="shared" si="12"/>
        <v>0</v>
      </c>
      <c r="L49" s="252">
        <f t="shared" si="12"/>
        <v>0</v>
      </c>
      <c r="M49" s="252">
        <f t="shared" si="12"/>
        <v>0</v>
      </c>
      <c r="N49" s="252">
        <f t="shared" si="12"/>
        <v>0</v>
      </c>
      <c r="O49" s="252">
        <f t="shared" si="12"/>
        <v>0</v>
      </c>
      <c r="P49" s="252">
        <f t="shared" si="12"/>
        <v>0</v>
      </c>
      <c r="Q49" s="252">
        <f t="shared" si="12"/>
        <v>0</v>
      </c>
      <c r="R49" s="252">
        <f t="shared" si="12"/>
        <v>0</v>
      </c>
      <c r="S49" s="252">
        <f t="shared" si="12"/>
        <v>0</v>
      </c>
    </row>
    <row r="50" spans="1:23" ht="16" x14ac:dyDescent="0.2">
      <c r="A50" s="103" t="s">
        <v>726</v>
      </c>
      <c r="B50" s="111">
        <f>((B20-(B29/10)*3.1416)*(B20-(B29/10)*3.1416)/12.5664)</f>
        <v>106.35380374344284</v>
      </c>
      <c r="C50" s="111">
        <f t="shared" ref="C50:S50" si="13">((C20-(C29/10)*3.1416)*(C20-(C29/10)*3.1416)/12.5664)</f>
        <v>0</v>
      </c>
      <c r="D50" s="111">
        <f t="shared" si="13"/>
        <v>0</v>
      </c>
      <c r="E50" s="111">
        <f t="shared" si="13"/>
        <v>0</v>
      </c>
      <c r="F50" s="111">
        <f t="shared" si="13"/>
        <v>0</v>
      </c>
      <c r="G50" s="111">
        <f t="shared" si="13"/>
        <v>0</v>
      </c>
      <c r="H50" s="111">
        <f t="shared" si="13"/>
        <v>0</v>
      </c>
      <c r="I50" s="111">
        <f t="shared" si="13"/>
        <v>0</v>
      </c>
      <c r="J50" s="111">
        <f t="shared" si="13"/>
        <v>0</v>
      </c>
      <c r="K50" s="111">
        <f t="shared" si="13"/>
        <v>0</v>
      </c>
      <c r="L50" s="111">
        <f t="shared" si="13"/>
        <v>0</v>
      </c>
      <c r="M50" s="111">
        <f t="shared" si="13"/>
        <v>0</v>
      </c>
      <c r="N50" s="111">
        <f t="shared" si="13"/>
        <v>0</v>
      </c>
      <c r="O50" s="111">
        <f t="shared" si="13"/>
        <v>0</v>
      </c>
      <c r="P50" s="111">
        <f t="shared" si="13"/>
        <v>0</v>
      </c>
      <c r="Q50" s="111">
        <f t="shared" si="13"/>
        <v>0</v>
      </c>
      <c r="R50" s="111">
        <f t="shared" si="13"/>
        <v>0</v>
      </c>
      <c r="S50" s="111">
        <f t="shared" si="13"/>
        <v>0</v>
      </c>
    </row>
    <row r="51" spans="1:23" ht="16" x14ac:dyDescent="0.2">
      <c r="A51" s="201" t="s">
        <v>725</v>
      </c>
      <c r="B51" s="253">
        <f>(B20/10)*B29/2-((B20/10)*(B29/10)*3.1416/4)</f>
        <v>10.574431400000002</v>
      </c>
      <c r="C51" s="253">
        <f t="shared" ref="C51:S51" si="14">(C20/10)*C29/2-((C20/10)*(C29/10)*3.1416/4)</f>
        <v>0</v>
      </c>
      <c r="D51" s="253">
        <f t="shared" si="14"/>
        <v>0</v>
      </c>
      <c r="E51" s="253">
        <f t="shared" si="14"/>
        <v>0</v>
      </c>
      <c r="F51" s="253">
        <f t="shared" si="14"/>
        <v>0</v>
      </c>
      <c r="G51" s="253">
        <f t="shared" si="14"/>
        <v>0</v>
      </c>
      <c r="H51" s="253">
        <f t="shared" si="14"/>
        <v>0</v>
      </c>
      <c r="I51" s="253">
        <f t="shared" si="14"/>
        <v>0</v>
      </c>
      <c r="J51" s="253">
        <f t="shared" si="14"/>
        <v>0</v>
      </c>
      <c r="K51" s="253">
        <f t="shared" si="14"/>
        <v>0</v>
      </c>
      <c r="L51" s="253">
        <f t="shared" si="14"/>
        <v>0</v>
      </c>
      <c r="M51" s="253">
        <f t="shared" si="14"/>
        <v>0</v>
      </c>
      <c r="N51" s="253">
        <f t="shared" si="14"/>
        <v>0</v>
      </c>
      <c r="O51" s="253">
        <f t="shared" si="14"/>
        <v>0</v>
      </c>
      <c r="P51" s="253">
        <f t="shared" si="14"/>
        <v>0</v>
      </c>
      <c r="Q51" s="253">
        <f t="shared" si="14"/>
        <v>0</v>
      </c>
      <c r="R51" s="253">
        <f t="shared" si="14"/>
        <v>0</v>
      </c>
      <c r="S51" s="253">
        <f t="shared" si="14"/>
        <v>0</v>
      </c>
    </row>
    <row r="52" spans="1:23" x14ac:dyDescent="0.2">
      <c r="A52" s="104" t="s">
        <v>480</v>
      </c>
      <c r="B52" s="109">
        <f>(2.585)+(0.1051*(B24+B23+B27+B26+B28+B29))</f>
        <v>10.730250000000002</v>
      </c>
      <c r="C52" s="109">
        <f t="shared" ref="C52:S52" si="15">(2.585)+(0.1051*(C24+C23+C27+C26+C28+C29))</f>
        <v>2.585</v>
      </c>
      <c r="D52" s="109">
        <f t="shared" si="15"/>
        <v>2.585</v>
      </c>
      <c r="E52" s="109">
        <f t="shared" si="15"/>
        <v>2.585</v>
      </c>
      <c r="F52" s="109">
        <f t="shared" si="15"/>
        <v>2.585</v>
      </c>
      <c r="G52" s="109">
        <f t="shared" si="15"/>
        <v>2.585</v>
      </c>
      <c r="H52" s="109">
        <f t="shared" si="15"/>
        <v>2.585</v>
      </c>
      <c r="I52" s="109">
        <f t="shared" si="15"/>
        <v>2.585</v>
      </c>
      <c r="J52" s="109">
        <f t="shared" si="15"/>
        <v>2.585</v>
      </c>
      <c r="K52" s="109">
        <f t="shared" si="15"/>
        <v>2.585</v>
      </c>
      <c r="L52" s="109">
        <f t="shared" si="15"/>
        <v>2.585</v>
      </c>
      <c r="M52" s="109">
        <f t="shared" si="15"/>
        <v>2.585</v>
      </c>
      <c r="N52" s="109">
        <f t="shared" si="15"/>
        <v>2.585</v>
      </c>
      <c r="O52" s="109">
        <f t="shared" si="15"/>
        <v>2.585</v>
      </c>
      <c r="P52" s="109">
        <f t="shared" si="15"/>
        <v>2.585</v>
      </c>
      <c r="Q52" s="109">
        <f t="shared" si="15"/>
        <v>2.585</v>
      </c>
      <c r="R52" s="109">
        <f t="shared" si="15"/>
        <v>2.585</v>
      </c>
      <c r="S52" s="109">
        <f t="shared" si="15"/>
        <v>2.585</v>
      </c>
    </row>
    <row r="53" spans="1:23" x14ac:dyDescent="0.2">
      <c r="A53" s="273" t="s">
        <v>481</v>
      </c>
      <c r="B53" s="274">
        <f>((4.95 / (VLOOKUP(HISTORIA!C7, I104:K109, 2, 1) - (VLOOKUP(HISTORIA!C7, I104:K109, 3, 1) *LOG10(SUM(B22:B25))))) - 4.5) * 100</f>
        <v>15.230088954945931</v>
      </c>
      <c r="C53" s="274" t="e">
        <f>((4.95 / (VLOOKUP(HISTORIA!C7, I104:K109, 2, 1) - (VLOOKUP(HISTORIA!C7, I104:K109, 3, 1) *LOG10(SUM(C22:C25))))) - 4.5) * 100</f>
        <v>#NUM!</v>
      </c>
      <c r="D53" s="274" t="e">
        <f>((4.95 / (VLOOKUP(HISTORIA!C7, J104:L109, 2, 1) - (VLOOKUP(HISTORIA!C7, J104:L109, 3, 1) *LOG10(SUM(D22:D25))))) - 4.5) * 100</f>
        <v>#NUM!</v>
      </c>
      <c r="E53" s="274" t="e">
        <f>((4.95 / (VLOOKUP(HISTORIA!C7, K104:M109, 2, 1) - (VLOOKUP(HISTORIA!C7, K104:M109, 3, 1) *LOG10(SUM(E22:E25))))) - 4.5) * 100</f>
        <v>#NUM!</v>
      </c>
      <c r="F53" s="274" t="e">
        <f>((4.95 / (VLOOKUP(HISTORIA!D7, L104:N109, 2, 1) - (VLOOKUP(HISTORIA!D7, L104:N109, 3, 1) *LOG10(SUM(F22:F25))))) - 4.5) * 100</f>
        <v>#N/A</v>
      </c>
      <c r="G53" s="274">
        <f t="shared" ref="G53:S53" si="16">(((0.2467)*(G22+G23+G24+G25))+((0.12*G16)))-2.18</f>
        <v>-2.1800000000000002</v>
      </c>
      <c r="H53" s="274">
        <f t="shared" si="16"/>
        <v>-2.1800000000000002</v>
      </c>
      <c r="I53" s="274">
        <f t="shared" si="16"/>
        <v>-2.1800000000000002</v>
      </c>
      <c r="J53" s="274">
        <f t="shared" si="16"/>
        <v>-2.1800000000000002</v>
      </c>
      <c r="K53" s="274">
        <f t="shared" si="16"/>
        <v>-2.1800000000000002</v>
      </c>
      <c r="L53" s="274">
        <f t="shared" si="16"/>
        <v>-2.1800000000000002</v>
      </c>
      <c r="M53" s="274">
        <f t="shared" si="16"/>
        <v>-2.1800000000000002</v>
      </c>
      <c r="N53" s="274">
        <f t="shared" si="16"/>
        <v>-2.1800000000000002</v>
      </c>
      <c r="O53" s="274">
        <f t="shared" si="16"/>
        <v>-2.1800000000000002</v>
      </c>
      <c r="P53" s="274">
        <f t="shared" si="16"/>
        <v>-2.1800000000000002</v>
      </c>
      <c r="Q53" s="274">
        <f t="shared" si="16"/>
        <v>-2.1800000000000002</v>
      </c>
      <c r="R53" s="274">
        <f t="shared" si="16"/>
        <v>-2.1800000000000002</v>
      </c>
      <c r="S53" s="274">
        <f t="shared" si="16"/>
        <v>-2.1800000000000002</v>
      </c>
    </row>
    <row r="54" spans="1:23" x14ac:dyDescent="0.2">
      <c r="A54" s="105" t="s">
        <v>75</v>
      </c>
      <c r="B54" s="110">
        <f>B29+B28+B26+B27+B23+B24</f>
        <v>77.5</v>
      </c>
      <c r="C54" s="110">
        <f t="shared" ref="C54:S54" si="17">C29+C28+C26+C27+C23+C24</f>
        <v>0</v>
      </c>
      <c r="D54" s="110">
        <f t="shared" si="17"/>
        <v>0</v>
      </c>
      <c r="E54" s="110">
        <f t="shared" si="17"/>
        <v>0</v>
      </c>
      <c r="F54" s="110">
        <f t="shared" si="17"/>
        <v>0</v>
      </c>
      <c r="G54" s="110">
        <f t="shared" si="17"/>
        <v>0</v>
      </c>
      <c r="H54" s="110">
        <f t="shared" si="17"/>
        <v>0</v>
      </c>
      <c r="I54" s="110">
        <f t="shared" si="17"/>
        <v>0</v>
      </c>
      <c r="J54" s="110">
        <f t="shared" si="17"/>
        <v>0</v>
      </c>
      <c r="K54" s="110">
        <f t="shared" si="17"/>
        <v>0</v>
      </c>
      <c r="L54" s="110">
        <f t="shared" si="17"/>
        <v>0</v>
      </c>
      <c r="M54" s="110">
        <f t="shared" si="17"/>
        <v>0</v>
      </c>
      <c r="N54" s="110">
        <f t="shared" si="17"/>
        <v>0</v>
      </c>
      <c r="O54" s="110">
        <f t="shared" si="17"/>
        <v>0</v>
      </c>
      <c r="P54" s="110">
        <f t="shared" si="17"/>
        <v>0</v>
      </c>
      <c r="Q54" s="110">
        <f t="shared" si="17"/>
        <v>0</v>
      </c>
      <c r="R54" s="110">
        <f t="shared" si="17"/>
        <v>0</v>
      </c>
      <c r="S54" s="110">
        <f t="shared" si="17"/>
        <v>0</v>
      </c>
    </row>
    <row r="55" spans="1:23" x14ac:dyDescent="0.2">
      <c r="A55" s="105" t="s">
        <v>76</v>
      </c>
      <c r="B55" s="110">
        <f>B25+B29+B28+B26+B27+B22+B23+B24</f>
        <v>96.5</v>
      </c>
      <c r="C55" s="110">
        <f t="shared" ref="C55:S55" si="18">C25+C29+C28+C26+C27+C22+C23+C24</f>
        <v>0</v>
      </c>
      <c r="D55" s="110">
        <f t="shared" si="18"/>
        <v>0</v>
      </c>
      <c r="E55" s="110">
        <f t="shared" si="18"/>
        <v>0</v>
      </c>
      <c r="F55" s="110">
        <f t="shared" si="18"/>
        <v>0</v>
      </c>
      <c r="G55" s="110">
        <f t="shared" si="18"/>
        <v>0</v>
      </c>
      <c r="H55" s="110">
        <f t="shared" si="18"/>
        <v>0</v>
      </c>
      <c r="I55" s="110">
        <f t="shared" si="18"/>
        <v>0</v>
      </c>
      <c r="J55" s="110">
        <f t="shared" si="18"/>
        <v>0</v>
      </c>
      <c r="K55" s="110">
        <f t="shared" si="18"/>
        <v>0</v>
      </c>
      <c r="L55" s="110">
        <f t="shared" si="18"/>
        <v>0</v>
      </c>
      <c r="M55" s="110">
        <f t="shared" si="18"/>
        <v>0</v>
      </c>
      <c r="N55" s="110">
        <f t="shared" si="18"/>
        <v>0</v>
      </c>
      <c r="O55" s="110">
        <f t="shared" si="18"/>
        <v>0</v>
      </c>
      <c r="P55" s="110">
        <f t="shared" si="18"/>
        <v>0</v>
      </c>
      <c r="Q55" s="110">
        <f t="shared" si="18"/>
        <v>0</v>
      </c>
      <c r="R55" s="110">
        <f t="shared" si="18"/>
        <v>0</v>
      </c>
      <c r="S55" s="110">
        <f t="shared" si="18"/>
        <v>0</v>
      </c>
    </row>
    <row r="56" spans="1:23" x14ac:dyDescent="0.2">
      <c r="A56" s="103" t="s">
        <v>311</v>
      </c>
      <c r="B56" s="111">
        <f>B16/B17</f>
        <v>0.85170340681362733</v>
      </c>
      <c r="C56" s="111" t="e">
        <f t="shared" ref="C56:S56" si="19">C16/C17</f>
        <v>#DIV/0!</v>
      </c>
      <c r="D56" s="111" t="e">
        <f t="shared" si="19"/>
        <v>#DIV/0!</v>
      </c>
      <c r="E56" s="111" t="e">
        <f t="shared" si="19"/>
        <v>#DIV/0!</v>
      </c>
      <c r="F56" s="111" t="e">
        <f t="shared" si="19"/>
        <v>#DIV/0!</v>
      </c>
      <c r="G56" s="111" t="e">
        <f t="shared" si="19"/>
        <v>#DIV/0!</v>
      </c>
      <c r="H56" s="111" t="e">
        <f t="shared" si="19"/>
        <v>#DIV/0!</v>
      </c>
      <c r="I56" s="111" t="e">
        <f t="shared" si="19"/>
        <v>#DIV/0!</v>
      </c>
      <c r="J56" s="111" t="e">
        <f t="shared" si="19"/>
        <v>#DIV/0!</v>
      </c>
      <c r="K56" s="111" t="e">
        <f t="shared" si="19"/>
        <v>#DIV/0!</v>
      </c>
      <c r="L56" s="111" t="e">
        <f t="shared" si="19"/>
        <v>#DIV/0!</v>
      </c>
      <c r="M56" s="111" t="e">
        <f t="shared" si="19"/>
        <v>#DIV/0!</v>
      </c>
      <c r="N56" s="111" t="e">
        <f t="shared" si="19"/>
        <v>#DIV/0!</v>
      </c>
      <c r="O56" s="111" t="e">
        <f t="shared" si="19"/>
        <v>#DIV/0!</v>
      </c>
      <c r="P56" s="111" t="e">
        <f t="shared" si="19"/>
        <v>#DIV/0!</v>
      </c>
      <c r="Q56" s="111" t="e">
        <f t="shared" si="19"/>
        <v>#DIV/0!</v>
      </c>
      <c r="R56" s="111" t="e">
        <f t="shared" si="19"/>
        <v>#DIV/0!</v>
      </c>
      <c r="S56" s="111" t="e">
        <f t="shared" si="19"/>
        <v>#DIV/0!</v>
      </c>
    </row>
    <row r="57" spans="1:23" x14ac:dyDescent="0.2">
      <c r="A57" s="284" t="s">
        <v>312</v>
      </c>
      <c r="B57" s="285">
        <f>B52</f>
        <v>10.730250000000002</v>
      </c>
      <c r="C57" s="285">
        <f t="shared" ref="C57:S57" si="20">C52</f>
        <v>2.585</v>
      </c>
      <c r="D57" s="285">
        <f t="shared" si="20"/>
        <v>2.585</v>
      </c>
      <c r="E57" s="285">
        <f t="shared" si="20"/>
        <v>2.585</v>
      </c>
      <c r="F57" s="285">
        <f t="shared" si="20"/>
        <v>2.585</v>
      </c>
      <c r="G57" s="285">
        <f t="shared" si="20"/>
        <v>2.585</v>
      </c>
      <c r="H57" s="285">
        <f t="shared" si="20"/>
        <v>2.585</v>
      </c>
      <c r="I57" s="285">
        <f t="shared" si="20"/>
        <v>2.585</v>
      </c>
      <c r="J57" s="285">
        <f t="shared" si="20"/>
        <v>2.585</v>
      </c>
      <c r="K57" s="285">
        <f t="shared" si="20"/>
        <v>2.585</v>
      </c>
      <c r="L57" s="285">
        <f t="shared" si="20"/>
        <v>2.585</v>
      </c>
      <c r="M57" s="285">
        <f t="shared" si="20"/>
        <v>2.585</v>
      </c>
      <c r="N57" s="285">
        <f t="shared" si="20"/>
        <v>2.585</v>
      </c>
      <c r="O57" s="285">
        <f t="shared" si="20"/>
        <v>2.585</v>
      </c>
      <c r="P57" s="285">
        <f t="shared" si="20"/>
        <v>2.585</v>
      </c>
      <c r="Q57" s="285">
        <f t="shared" si="20"/>
        <v>2.585</v>
      </c>
      <c r="R57" s="285">
        <f t="shared" si="20"/>
        <v>2.585</v>
      </c>
      <c r="S57" s="285">
        <f t="shared" si="20"/>
        <v>2.585</v>
      </c>
    </row>
    <row r="58" spans="1:23" x14ac:dyDescent="0.2">
      <c r="A58" s="103" t="s">
        <v>313</v>
      </c>
      <c r="B58" s="111">
        <f t="shared" ref="B58:S58" si="21">(100-B57)/100*B7</f>
        <v>80.387409875000003</v>
      </c>
      <c r="C58" s="111">
        <f t="shared" si="21"/>
        <v>0</v>
      </c>
      <c r="D58" s="111">
        <f t="shared" si="21"/>
        <v>0</v>
      </c>
      <c r="E58" s="111">
        <f t="shared" si="21"/>
        <v>0</v>
      </c>
      <c r="F58" s="111">
        <f t="shared" si="21"/>
        <v>0</v>
      </c>
      <c r="G58" s="111">
        <f t="shared" si="21"/>
        <v>0</v>
      </c>
      <c r="H58" s="111">
        <f t="shared" si="21"/>
        <v>0</v>
      </c>
      <c r="I58" s="111">
        <f t="shared" si="21"/>
        <v>0</v>
      </c>
      <c r="J58" s="111">
        <f t="shared" si="21"/>
        <v>0</v>
      </c>
      <c r="K58" s="111">
        <f t="shared" si="21"/>
        <v>0</v>
      </c>
      <c r="L58" s="111">
        <f t="shared" si="21"/>
        <v>0</v>
      </c>
      <c r="M58" s="111">
        <f t="shared" si="21"/>
        <v>0</v>
      </c>
      <c r="N58" s="111">
        <f t="shared" si="21"/>
        <v>0</v>
      </c>
      <c r="O58" s="111">
        <f t="shared" si="21"/>
        <v>0</v>
      </c>
      <c r="P58" s="111">
        <f t="shared" si="21"/>
        <v>0</v>
      </c>
      <c r="Q58" s="111">
        <f t="shared" si="21"/>
        <v>0</v>
      </c>
      <c r="R58" s="111">
        <f t="shared" si="21"/>
        <v>0</v>
      </c>
      <c r="S58" s="111">
        <f t="shared" si="21"/>
        <v>0</v>
      </c>
    </row>
    <row r="59" spans="1:23" x14ac:dyDescent="0.2">
      <c r="A59" s="103" t="s">
        <v>314</v>
      </c>
      <c r="B59" s="111">
        <f t="shared" ref="B59:S59" si="22">B7-B58</f>
        <v>9.6625901249999941</v>
      </c>
      <c r="C59" s="111">
        <f t="shared" si="22"/>
        <v>0</v>
      </c>
      <c r="D59" s="111">
        <f t="shared" si="22"/>
        <v>0</v>
      </c>
      <c r="E59" s="111">
        <f t="shared" si="22"/>
        <v>0</v>
      </c>
      <c r="F59" s="111">
        <f t="shared" si="22"/>
        <v>0</v>
      </c>
      <c r="G59" s="111">
        <f t="shared" si="22"/>
        <v>0</v>
      </c>
      <c r="H59" s="111">
        <f t="shared" si="22"/>
        <v>0</v>
      </c>
      <c r="I59" s="111">
        <f t="shared" si="22"/>
        <v>0</v>
      </c>
      <c r="J59" s="111">
        <f t="shared" si="22"/>
        <v>0</v>
      </c>
      <c r="K59" s="111">
        <f t="shared" si="22"/>
        <v>0</v>
      </c>
      <c r="L59" s="111">
        <f t="shared" si="22"/>
        <v>0</v>
      </c>
      <c r="M59" s="111">
        <f t="shared" si="22"/>
        <v>0</v>
      </c>
      <c r="N59" s="111">
        <f t="shared" si="22"/>
        <v>0</v>
      </c>
      <c r="O59" s="111">
        <f t="shared" si="22"/>
        <v>0</v>
      </c>
      <c r="P59" s="111">
        <f t="shared" si="22"/>
        <v>0</v>
      </c>
      <c r="Q59" s="111">
        <f t="shared" si="22"/>
        <v>0</v>
      </c>
      <c r="R59" s="111">
        <f t="shared" si="22"/>
        <v>0</v>
      </c>
      <c r="S59" s="111">
        <f t="shared" si="22"/>
        <v>0</v>
      </c>
    </row>
    <row r="60" spans="1:23" x14ac:dyDescent="0.2">
      <c r="A60" s="103" t="s">
        <v>870</v>
      </c>
      <c r="B60" s="111">
        <f>(B58/(B8*B8))</f>
        <v>23.236041702798008</v>
      </c>
      <c r="C60" s="111" t="e">
        <f>(C58/(C8*C8))</f>
        <v>#DIV/0!</v>
      </c>
      <c r="D60" s="111" t="e">
        <f t="shared" ref="D60:S60" si="23">(D58/(D8*D8))</f>
        <v>#DIV/0!</v>
      </c>
      <c r="E60" s="111" t="e">
        <f t="shared" si="23"/>
        <v>#DIV/0!</v>
      </c>
      <c r="F60" s="111" t="e">
        <f t="shared" si="23"/>
        <v>#DIV/0!</v>
      </c>
      <c r="G60" s="111" t="e">
        <f t="shared" si="23"/>
        <v>#DIV/0!</v>
      </c>
      <c r="H60" s="111" t="e">
        <f t="shared" si="23"/>
        <v>#DIV/0!</v>
      </c>
      <c r="I60" s="111" t="e">
        <f t="shared" si="23"/>
        <v>#DIV/0!</v>
      </c>
      <c r="J60" s="111" t="e">
        <f t="shared" si="23"/>
        <v>#DIV/0!</v>
      </c>
      <c r="K60" s="111" t="e">
        <f t="shared" si="23"/>
        <v>#DIV/0!</v>
      </c>
      <c r="L60" s="111" t="e">
        <f t="shared" si="23"/>
        <v>#DIV/0!</v>
      </c>
      <c r="M60" s="111" t="e">
        <f t="shared" si="23"/>
        <v>#DIV/0!</v>
      </c>
      <c r="N60" s="111" t="e">
        <f t="shared" si="23"/>
        <v>#DIV/0!</v>
      </c>
      <c r="O60" s="111" t="e">
        <f t="shared" si="23"/>
        <v>#DIV/0!</v>
      </c>
      <c r="P60" s="111" t="e">
        <f t="shared" si="23"/>
        <v>#DIV/0!</v>
      </c>
      <c r="Q60" s="111" t="e">
        <f t="shared" si="23"/>
        <v>#DIV/0!</v>
      </c>
      <c r="R60" s="111" t="e">
        <f t="shared" si="23"/>
        <v>#DIV/0!</v>
      </c>
      <c r="S60" s="111" t="e">
        <f t="shared" si="23"/>
        <v>#DIV/0!</v>
      </c>
      <c r="T60" s="111"/>
      <c r="U60" s="111"/>
      <c r="V60" s="111"/>
      <c r="W60" s="111"/>
    </row>
    <row r="61" spans="1:23" x14ac:dyDescent="0.2">
      <c r="A61" s="103" t="s">
        <v>869</v>
      </c>
      <c r="B61" s="111">
        <f>(B59/(B8*B8))</f>
        <v>2.7929789932362103</v>
      </c>
      <c r="C61" s="111" t="e">
        <f t="shared" ref="C61:S61" si="24">(C59/(C8*C8))</f>
        <v>#DIV/0!</v>
      </c>
      <c r="D61" s="111" t="e">
        <f t="shared" si="24"/>
        <v>#DIV/0!</v>
      </c>
      <c r="E61" s="111" t="e">
        <f t="shared" si="24"/>
        <v>#DIV/0!</v>
      </c>
      <c r="F61" s="111" t="e">
        <f t="shared" si="24"/>
        <v>#DIV/0!</v>
      </c>
      <c r="G61" s="111" t="e">
        <f t="shared" si="24"/>
        <v>#DIV/0!</v>
      </c>
      <c r="H61" s="111" t="e">
        <f t="shared" si="24"/>
        <v>#DIV/0!</v>
      </c>
      <c r="I61" s="111" t="e">
        <f t="shared" si="24"/>
        <v>#DIV/0!</v>
      </c>
      <c r="J61" s="111" t="e">
        <f t="shared" si="24"/>
        <v>#DIV/0!</v>
      </c>
      <c r="K61" s="111" t="e">
        <f t="shared" si="24"/>
        <v>#DIV/0!</v>
      </c>
      <c r="L61" s="111" t="e">
        <f t="shared" si="24"/>
        <v>#DIV/0!</v>
      </c>
      <c r="M61" s="111" t="e">
        <f t="shared" si="24"/>
        <v>#DIV/0!</v>
      </c>
      <c r="N61" s="111" t="e">
        <f t="shared" si="24"/>
        <v>#DIV/0!</v>
      </c>
      <c r="O61" s="111" t="e">
        <f t="shared" si="24"/>
        <v>#DIV/0!</v>
      </c>
      <c r="P61" s="111" t="e">
        <f t="shared" si="24"/>
        <v>#DIV/0!</v>
      </c>
      <c r="Q61" s="111" t="e">
        <f t="shared" si="24"/>
        <v>#DIV/0!</v>
      </c>
      <c r="R61" s="111" t="e">
        <f t="shared" si="24"/>
        <v>#DIV/0!</v>
      </c>
      <c r="S61" s="111" t="e">
        <f t="shared" si="24"/>
        <v>#DIV/0!</v>
      </c>
      <c r="T61" s="111"/>
      <c r="U61" s="111"/>
      <c r="V61" s="111"/>
      <c r="W61" s="111"/>
    </row>
    <row r="62" spans="1:23" x14ac:dyDescent="0.2">
      <c r="A62" s="284" t="s">
        <v>486</v>
      </c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5"/>
      <c r="P62" s="285"/>
      <c r="Q62" s="285"/>
      <c r="R62" s="285"/>
      <c r="S62" s="285"/>
    </row>
    <row r="63" spans="1:23" x14ac:dyDescent="0.2">
      <c r="A63" s="282" t="s">
        <v>487</v>
      </c>
      <c r="B63" s="111">
        <f t="shared" ref="B63:S63" si="25">(((((B23+B24+B26+B27+B28+B29)*(170.18/B9)-116.41)/34.79)*5.85)+25.6)/((170.18/B9)^3)</f>
        <v>23.434141037417618</v>
      </c>
      <c r="C63" s="111" t="e">
        <f t="shared" si="25"/>
        <v>#DIV/0!</v>
      </c>
      <c r="D63" s="111" t="e">
        <f t="shared" si="25"/>
        <v>#DIV/0!</v>
      </c>
      <c r="E63" s="111" t="e">
        <f t="shared" si="25"/>
        <v>#DIV/0!</v>
      </c>
      <c r="F63" s="111" t="e">
        <f t="shared" si="25"/>
        <v>#DIV/0!</v>
      </c>
      <c r="G63" s="111" t="e">
        <f t="shared" si="25"/>
        <v>#DIV/0!</v>
      </c>
      <c r="H63" s="111" t="e">
        <f t="shared" si="25"/>
        <v>#DIV/0!</v>
      </c>
      <c r="I63" s="111" t="e">
        <f t="shared" si="25"/>
        <v>#DIV/0!</v>
      </c>
      <c r="J63" s="111" t="e">
        <f t="shared" si="25"/>
        <v>#DIV/0!</v>
      </c>
      <c r="K63" s="111" t="e">
        <f t="shared" si="25"/>
        <v>#DIV/0!</v>
      </c>
      <c r="L63" s="111" t="e">
        <f t="shared" si="25"/>
        <v>#DIV/0!</v>
      </c>
      <c r="M63" s="111" t="e">
        <f t="shared" si="25"/>
        <v>#DIV/0!</v>
      </c>
      <c r="N63" s="111" t="e">
        <f t="shared" si="25"/>
        <v>#DIV/0!</v>
      </c>
      <c r="O63" s="111" t="e">
        <f t="shared" si="25"/>
        <v>#DIV/0!</v>
      </c>
      <c r="P63" s="111" t="e">
        <f t="shared" si="25"/>
        <v>#DIV/0!</v>
      </c>
      <c r="Q63" s="111" t="e">
        <f t="shared" si="25"/>
        <v>#DIV/0!</v>
      </c>
      <c r="R63" s="111" t="e">
        <f t="shared" si="25"/>
        <v>#DIV/0!</v>
      </c>
      <c r="S63" s="111" t="e">
        <f t="shared" si="25"/>
        <v>#DIV/0!</v>
      </c>
    </row>
    <row r="64" spans="1:23" x14ac:dyDescent="0.2">
      <c r="A64" s="282" t="s">
        <v>488</v>
      </c>
      <c r="B64" s="111">
        <f t="shared" ref="B64:S64" si="26">(((((B38+B14+B39+B41+B42)*(170.18/B9))-207.21)/13.74*5.4)+24.5)/((170.18/B9)^3)</f>
        <v>51.016376676691834</v>
      </c>
      <c r="C64" s="111" t="e">
        <f t="shared" si="26"/>
        <v>#DIV/0!</v>
      </c>
      <c r="D64" s="111" t="e">
        <f t="shared" si="26"/>
        <v>#DIV/0!</v>
      </c>
      <c r="E64" s="111" t="e">
        <f t="shared" si="26"/>
        <v>#DIV/0!</v>
      </c>
      <c r="F64" s="111" t="e">
        <f t="shared" si="26"/>
        <v>#DIV/0!</v>
      </c>
      <c r="G64" s="111" t="e">
        <f t="shared" si="26"/>
        <v>#DIV/0!</v>
      </c>
      <c r="H64" s="111" t="e">
        <f t="shared" si="26"/>
        <v>#DIV/0!</v>
      </c>
      <c r="I64" s="111" t="e">
        <f t="shared" si="26"/>
        <v>#DIV/0!</v>
      </c>
      <c r="J64" s="111" t="e">
        <f t="shared" si="26"/>
        <v>#DIV/0!</v>
      </c>
      <c r="K64" s="111" t="e">
        <f t="shared" si="26"/>
        <v>#DIV/0!</v>
      </c>
      <c r="L64" s="111" t="e">
        <f t="shared" si="26"/>
        <v>#DIV/0!</v>
      </c>
      <c r="M64" s="111" t="e">
        <f t="shared" si="26"/>
        <v>#DIV/0!</v>
      </c>
      <c r="N64" s="111" t="e">
        <f t="shared" si="26"/>
        <v>#DIV/0!</v>
      </c>
      <c r="O64" s="111" t="e">
        <f t="shared" si="26"/>
        <v>#DIV/0!</v>
      </c>
      <c r="P64" s="111" t="e">
        <f t="shared" si="26"/>
        <v>#DIV/0!</v>
      </c>
      <c r="Q64" s="111" t="e">
        <f t="shared" si="26"/>
        <v>#DIV/0!</v>
      </c>
      <c r="R64" s="111" t="e">
        <f t="shared" si="26"/>
        <v>#DIV/0!</v>
      </c>
      <c r="S64" s="111" t="e">
        <f t="shared" si="26"/>
        <v>#DIV/0!</v>
      </c>
    </row>
    <row r="65" spans="1:19" x14ac:dyDescent="0.2">
      <c r="A65" s="284" t="s">
        <v>490</v>
      </c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P65" s="285"/>
      <c r="Q65" s="285"/>
      <c r="R65" s="285"/>
      <c r="S65" s="285"/>
    </row>
    <row r="66" spans="1:19" x14ac:dyDescent="0.2">
      <c r="A66" s="283" t="s">
        <v>43</v>
      </c>
      <c r="B66" s="290">
        <f>(0.732*B98)-28.58</f>
        <v>1.8004779769526742</v>
      </c>
      <c r="C66" s="290" t="e">
        <f t="shared" ref="C66:S66" si="27">(0.732*C98)-28.58</f>
        <v>#DIV/0!</v>
      </c>
      <c r="D66" s="290" t="e">
        <f t="shared" si="27"/>
        <v>#DIV/0!</v>
      </c>
      <c r="E66" s="290" t="e">
        <f t="shared" si="27"/>
        <v>#DIV/0!</v>
      </c>
      <c r="F66" s="290" t="e">
        <f t="shared" si="27"/>
        <v>#DIV/0!</v>
      </c>
      <c r="G66" s="290" t="e">
        <f t="shared" si="27"/>
        <v>#DIV/0!</v>
      </c>
      <c r="H66" s="290" t="e">
        <f t="shared" si="27"/>
        <v>#DIV/0!</v>
      </c>
      <c r="I66" s="290" t="e">
        <f t="shared" si="27"/>
        <v>#DIV/0!</v>
      </c>
      <c r="J66" s="290" t="e">
        <f t="shared" si="27"/>
        <v>#DIV/0!</v>
      </c>
      <c r="K66" s="290" t="e">
        <f t="shared" si="27"/>
        <v>#DIV/0!</v>
      </c>
      <c r="L66" s="290" t="e">
        <f t="shared" si="27"/>
        <v>#DIV/0!</v>
      </c>
      <c r="M66" s="290" t="e">
        <f t="shared" si="27"/>
        <v>#DIV/0!</v>
      </c>
      <c r="N66" s="290" t="e">
        <f t="shared" si="27"/>
        <v>#DIV/0!</v>
      </c>
      <c r="O66" s="290" t="e">
        <f t="shared" si="27"/>
        <v>#DIV/0!</v>
      </c>
      <c r="P66" s="290" t="e">
        <f t="shared" si="27"/>
        <v>#DIV/0!</v>
      </c>
      <c r="Q66" s="290" t="e">
        <f t="shared" si="27"/>
        <v>#DIV/0!</v>
      </c>
      <c r="R66" s="290" t="e">
        <f t="shared" si="27"/>
        <v>#DIV/0!</v>
      </c>
      <c r="S66" s="290" t="e">
        <f t="shared" si="27"/>
        <v>#DIV/0!</v>
      </c>
    </row>
    <row r="67" spans="1:19" x14ac:dyDescent="0.2">
      <c r="A67" s="283" t="s">
        <v>42</v>
      </c>
      <c r="B67" s="290">
        <f t="shared" ref="B67:S67" si="28">(0.858*B35)+(0.601*B36)+(0.188*B96)+(0.161*B97)-(0.131*B9)+4.5</f>
        <v>7.0982500000000002</v>
      </c>
      <c r="C67" s="290">
        <f t="shared" si="28"/>
        <v>4.5</v>
      </c>
      <c r="D67" s="290">
        <f t="shared" si="28"/>
        <v>4.5</v>
      </c>
      <c r="E67" s="290">
        <f t="shared" si="28"/>
        <v>4.5</v>
      </c>
      <c r="F67" s="290">
        <f t="shared" si="28"/>
        <v>4.5</v>
      </c>
      <c r="G67" s="290">
        <f t="shared" si="28"/>
        <v>4.5</v>
      </c>
      <c r="H67" s="290">
        <f t="shared" si="28"/>
        <v>4.5</v>
      </c>
      <c r="I67" s="290">
        <f t="shared" si="28"/>
        <v>4.5</v>
      </c>
      <c r="J67" s="290">
        <f t="shared" si="28"/>
        <v>4.5</v>
      </c>
      <c r="K67" s="290">
        <f t="shared" si="28"/>
        <v>4.5</v>
      </c>
      <c r="L67" s="290">
        <f t="shared" si="28"/>
        <v>4.5</v>
      </c>
      <c r="M67" s="290">
        <f t="shared" si="28"/>
        <v>4.5</v>
      </c>
      <c r="N67" s="290">
        <f t="shared" si="28"/>
        <v>4.5</v>
      </c>
      <c r="O67" s="290">
        <f t="shared" si="28"/>
        <v>4.5</v>
      </c>
      <c r="P67" s="290">
        <f t="shared" si="28"/>
        <v>4.5</v>
      </c>
      <c r="Q67" s="290">
        <f t="shared" si="28"/>
        <v>4.5</v>
      </c>
      <c r="R67" s="290">
        <f t="shared" si="28"/>
        <v>4.5</v>
      </c>
      <c r="S67" s="290">
        <f t="shared" si="28"/>
        <v>4.5</v>
      </c>
    </row>
    <row r="68" spans="1:19" x14ac:dyDescent="0.2">
      <c r="A68" s="283" t="s">
        <v>41</v>
      </c>
      <c r="B68" s="290">
        <f>(-0.7182+(0.1451*B93)-(0.00068*B94)+(0.0000014*B95))</f>
        <v>2.9823073618818667</v>
      </c>
      <c r="C68" s="290" t="e">
        <f t="shared" ref="C68:S68" si="29">(-0.7182+(0.1451*C93)-(0.00068*C94)+(0.0000014*C95))</f>
        <v>#DIV/0!</v>
      </c>
      <c r="D68" s="290" t="e">
        <f t="shared" si="29"/>
        <v>#DIV/0!</v>
      </c>
      <c r="E68" s="290" t="e">
        <f t="shared" si="29"/>
        <v>#DIV/0!</v>
      </c>
      <c r="F68" s="290" t="e">
        <f t="shared" si="29"/>
        <v>#DIV/0!</v>
      </c>
      <c r="G68" s="290" t="e">
        <f t="shared" si="29"/>
        <v>#DIV/0!</v>
      </c>
      <c r="H68" s="290" t="e">
        <f t="shared" si="29"/>
        <v>#DIV/0!</v>
      </c>
      <c r="I68" s="290" t="e">
        <f t="shared" si="29"/>
        <v>#DIV/0!</v>
      </c>
      <c r="J68" s="290" t="e">
        <f t="shared" si="29"/>
        <v>#DIV/0!</v>
      </c>
      <c r="K68" s="290" t="e">
        <f t="shared" si="29"/>
        <v>#DIV/0!</v>
      </c>
      <c r="L68" s="290" t="e">
        <f t="shared" si="29"/>
        <v>#DIV/0!</v>
      </c>
      <c r="M68" s="290" t="e">
        <f t="shared" si="29"/>
        <v>#DIV/0!</v>
      </c>
      <c r="N68" s="290" t="e">
        <f t="shared" si="29"/>
        <v>#DIV/0!</v>
      </c>
      <c r="O68" s="290" t="e">
        <f t="shared" si="29"/>
        <v>#DIV/0!</v>
      </c>
      <c r="P68" s="290" t="e">
        <f t="shared" si="29"/>
        <v>#DIV/0!</v>
      </c>
      <c r="Q68" s="290" t="e">
        <f t="shared" si="29"/>
        <v>#DIV/0!</v>
      </c>
      <c r="R68" s="290" t="e">
        <f t="shared" si="29"/>
        <v>#DIV/0!</v>
      </c>
      <c r="S68" s="290" t="e">
        <f t="shared" si="29"/>
        <v>#DIV/0!</v>
      </c>
    </row>
    <row r="69" spans="1:19" x14ac:dyDescent="0.2">
      <c r="A69" s="286" t="s">
        <v>489</v>
      </c>
      <c r="B69" s="292"/>
      <c r="C69" s="292"/>
      <c r="D69" s="292"/>
      <c r="E69" s="292"/>
      <c r="F69" s="292"/>
      <c r="G69" s="292"/>
      <c r="H69" s="292"/>
      <c r="I69" s="292"/>
      <c r="J69" s="292"/>
      <c r="K69" s="292"/>
      <c r="L69" s="292"/>
      <c r="M69" s="292"/>
      <c r="N69" s="292"/>
      <c r="O69" s="292"/>
      <c r="P69" s="292"/>
      <c r="Q69" s="292"/>
      <c r="R69" s="292"/>
      <c r="S69" s="292"/>
    </row>
    <row r="70" spans="1:19" x14ac:dyDescent="0.2">
      <c r="A70" s="293" t="s">
        <v>499</v>
      </c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2"/>
      <c r="Q70" s="292"/>
      <c r="R70" s="292"/>
      <c r="S70" s="292"/>
    </row>
    <row r="71" spans="1:19" x14ac:dyDescent="0.2">
      <c r="A71" s="283" t="s">
        <v>500</v>
      </c>
      <c r="B71" s="211">
        <f>B66-B68</f>
        <v>-1.1818293849291925</v>
      </c>
      <c r="C71" s="211" t="e">
        <f t="shared" ref="C71:S71" si="30">C66-C68</f>
        <v>#DIV/0!</v>
      </c>
      <c r="D71" s="211" t="e">
        <f t="shared" si="30"/>
        <v>#DIV/0!</v>
      </c>
      <c r="E71" s="211" t="e">
        <f t="shared" si="30"/>
        <v>#DIV/0!</v>
      </c>
      <c r="F71" s="211" t="e">
        <f t="shared" si="30"/>
        <v>#DIV/0!</v>
      </c>
      <c r="G71" s="211" t="e">
        <f t="shared" si="30"/>
        <v>#DIV/0!</v>
      </c>
      <c r="H71" s="211" t="e">
        <f t="shared" si="30"/>
        <v>#DIV/0!</v>
      </c>
      <c r="I71" s="211" t="e">
        <f t="shared" si="30"/>
        <v>#DIV/0!</v>
      </c>
      <c r="J71" s="211" t="e">
        <f t="shared" si="30"/>
        <v>#DIV/0!</v>
      </c>
      <c r="K71" s="211" t="e">
        <f t="shared" si="30"/>
        <v>#DIV/0!</v>
      </c>
      <c r="L71" s="211" t="e">
        <f t="shared" si="30"/>
        <v>#DIV/0!</v>
      </c>
      <c r="M71" s="211" t="e">
        <f t="shared" si="30"/>
        <v>#DIV/0!</v>
      </c>
      <c r="N71" s="211" t="e">
        <f t="shared" si="30"/>
        <v>#DIV/0!</v>
      </c>
      <c r="O71" s="211" t="e">
        <f t="shared" si="30"/>
        <v>#DIV/0!</v>
      </c>
      <c r="P71" s="211" t="e">
        <f t="shared" si="30"/>
        <v>#DIV/0!</v>
      </c>
      <c r="Q71" s="211" t="e">
        <f t="shared" si="30"/>
        <v>#DIV/0!</v>
      </c>
      <c r="R71" s="211" t="e">
        <f t="shared" si="30"/>
        <v>#DIV/0!</v>
      </c>
      <c r="S71" s="211" t="e">
        <f t="shared" si="30"/>
        <v>#DIV/0!</v>
      </c>
    </row>
    <row r="72" spans="1:19" x14ac:dyDescent="0.2">
      <c r="A72" s="283" t="s">
        <v>501</v>
      </c>
      <c r="B72" s="211">
        <f>(2*B67)-(B68+B66)</f>
        <v>9.413714661165459</v>
      </c>
      <c r="C72" s="211" t="e">
        <f t="shared" ref="C72:S72" si="31">(2*C67)-(C68+C66)</f>
        <v>#DIV/0!</v>
      </c>
      <c r="D72" s="211" t="e">
        <f t="shared" si="31"/>
        <v>#DIV/0!</v>
      </c>
      <c r="E72" s="211" t="e">
        <f t="shared" si="31"/>
        <v>#DIV/0!</v>
      </c>
      <c r="F72" s="211" t="e">
        <f t="shared" si="31"/>
        <v>#DIV/0!</v>
      </c>
      <c r="G72" s="211" t="e">
        <f t="shared" si="31"/>
        <v>#DIV/0!</v>
      </c>
      <c r="H72" s="211" t="e">
        <f t="shared" si="31"/>
        <v>#DIV/0!</v>
      </c>
      <c r="I72" s="211" t="e">
        <f t="shared" si="31"/>
        <v>#DIV/0!</v>
      </c>
      <c r="J72" s="211" t="e">
        <f t="shared" si="31"/>
        <v>#DIV/0!</v>
      </c>
      <c r="K72" s="211" t="e">
        <f t="shared" si="31"/>
        <v>#DIV/0!</v>
      </c>
      <c r="L72" s="211" t="e">
        <f t="shared" si="31"/>
        <v>#DIV/0!</v>
      </c>
      <c r="M72" s="211" t="e">
        <f t="shared" si="31"/>
        <v>#DIV/0!</v>
      </c>
      <c r="N72" s="211" t="e">
        <f t="shared" si="31"/>
        <v>#DIV/0!</v>
      </c>
      <c r="O72" s="211" t="e">
        <f t="shared" si="31"/>
        <v>#DIV/0!</v>
      </c>
      <c r="P72" s="211" t="e">
        <f t="shared" si="31"/>
        <v>#DIV/0!</v>
      </c>
      <c r="Q72" s="211" t="e">
        <f t="shared" si="31"/>
        <v>#DIV/0!</v>
      </c>
      <c r="R72" s="211" t="e">
        <f t="shared" si="31"/>
        <v>#DIV/0!</v>
      </c>
      <c r="S72" s="211" t="e">
        <f t="shared" si="31"/>
        <v>#DIV/0!</v>
      </c>
    </row>
    <row r="73" spans="1:19" x14ac:dyDescent="0.2">
      <c r="A73" s="220" t="s">
        <v>315</v>
      </c>
      <c r="B73" s="221">
        <v>14</v>
      </c>
      <c r="C73" s="221">
        <v>15</v>
      </c>
      <c r="D73" s="221">
        <v>16</v>
      </c>
      <c r="E73" s="221">
        <v>17</v>
      </c>
      <c r="F73" s="221">
        <v>18</v>
      </c>
      <c r="G73" s="221">
        <v>19</v>
      </c>
      <c r="H73" s="221">
        <v>20</v>
      </c>
      <c r="I73" s="221">
        <v>21</v>
      </c>
      <c r="J73" s="221">
        <v>22</v>
      </c>
      <c r="K73" s="221">
        <v>23</v>
      </c>
      <c r="L73" s="221">
        <v>24</v>
      </c>
      <c r="M73" s="221">
        <v>25</v>
      </c>
      <c r="N73" s="221">
        <v>26</v>
      </c>
      <c r="O73" s="221">
        <v>27</v>
      </c>
      <c r="P73" s="221">
        <v>28</v>
      </c>
      <c r="Q73" s="221">
        <v>29</v>
      </c>
      <c r="R73" s="221">
        <v>30</v>
      </c>
      <c r="S73" s="221">
        <v>31</v>
      </c>
    </row>
    <row r="74" spans="1:19" x14ac:dyDescent="0.2">
      <c r="A74" s="212" t="s">
        <v>340</v>
      </c>
      <c r="B74" s="211">
        <f>B57-B73</f>
        <v>-3.2697499999999984</v>
      </c>
      <c r="C74" s="211">
        <f t="shared" ref="C74:S74" si="32">C57-C73</f>
        <v>-12.414999999999999</v>
      </c>
      <c r="D74" s="211">
        <f t="shared" si="32"/>
        <v>-13.414999999999999</v>
      </c>
      <c r="E74" s="211">
        <f t="shared" si="32"/>
        <v>-14.414999999999999</v>
      </c>
      <c r="F74" s="211">
        <f t="shared" si="32"/>
        <v>-15.414999999999999</v>
      </c>
      <c r="G74" s="211">
        <f t="shared" si="32"/>
        <v>-16.414999999999999</v>
      </c>
      <c r="H74" s="211">
        <f t="shared" si="32"/>
        <v>-17.414999999999999</v>
      </c>
      <c r="I74" s="211">
        <f t="shared" si="32"/>
        <v>-18.414999999999999</v>
      </c>
      <c r="J74" s="211">
        <f t="shared" si="32"/>
        <v>-19.414999999999999</v>
      </c>
      <c r="K74" s="211">
        <f t="shared" si="32"/>
        <v>-20.414999999999999</v>
      </c>
      <c r="L74" s="211">
        <f t="shared" si="32"/>
        <v>-21.414999999999999</v>
      </c>
      <c r="M74" s="211">
        <f t="shared" si="32"/>
        <v>-22.414999999999999</v>
      </c>
      <c r="N74" s="211">
        <f t="shared" si="32"/>
        <v>-23.414999999999999</v>
      </c>
      <c r="O74" s="211">
        <f t="shared" si="32"/>
        <v>-24.414999999999999</v>
      </c>
      <c r="P74" s="211">
        <f t="shared" si="32"/>
        <v>-25.414999999999999</v>
      </c>
      <c r="Q74" s="211">
        <f t="shared" si="32"/>
        <v>-26.414999999999999</v>
      </c>
      <c r="R74" s="211">
        <f t="shared" si="32"/>
        <v>-27.414999999999999</v>
      </c>
      <c r="S74" s="211">
        <f t="shared" si="32"/>
        <v>-28.414999999999999</v>
      </c>
    </row>
    <row r="75" spans="1:19" x14ac:dyDescent="0.2">
      <c r="A75" s="213" t="s">
        <v>341</v>
      </c>
      <c r="B75" s="211">
        <f t="shared" ref="B75:S75" si="33">(B7*B74)/100</f>
        <v>-2.9444098749999985</v>
      </c>
      <c r="C75" s="211">
        <f t="shared" si="33"/>
        <v>0</v>
      </c>
      <c r="D75" s="211">
        <f t="shared" si="33"/>
        <v>0</v>
      </c>
      <c r="E75" s="211">
        <f t="shared" si="33"/>
        <v>0</v>
      </c>
      <c r="F75" s="211">
        <f t="shared" si="33"/>
        <v>0</v>
      </c>
      <c r="G75" s="211">
        <f t="shared" si="33"/>
        <v>0</v>
      </c>
      <c r="H75" s="211">
        <f t="shared" si="33"/>
        <v>0</v>
      </c>
      <c r="I75" s="211">
        <f t="shared" si="33"/>
        <v>0</v>
      </c>
      <c r="J75" s="211">
        <f t="shared" si="33"/>
        <v>0</v>
      </c>
      <c r="K75" s="211">
        <f t="shared" si="33"/>
        <v>0</v>
      </c>
      <c r="L75" s="211">
        <f t="shared" si="33"/>
        <v>0</v>
      </c>
      <c r="M75" s="211">
        <f t="shared" si="33"/>
        <v>0</v>
      </c>
      <c r="N75" s="211">
        <f t="shared" si="33"/>
        <v>0</v>
      </c>
      <c r="O75" s="211">
        <f t="shared" si="33"/>
        <v>0</v>
      </c>
      <c r="P75" s="211">
        <f t="shared" si="33"/>
        <v>0</v>
      </c>
      <c r="Q75" s="211">
        <f t="shared" si="33"/>
        <v>0</v>
      </c>
      <c r="R75" s="211">
        <f t="shared" si="33"/>
        <v>0</v>
      </c>
      <c r="S75" s="211">
        <f t="shared" si="33"/>
        <v>0</v>
      </c>
    </row>
    <row r="76" spans="1:19" x14ac:dyDescent="0.2">
      <c r="A76" s="106" t="s">
        <v>78</v>
      </c>
      <c r="B76" s="112">
        <f>(B58)/(1-B73/100)</f>
        <v>93.473732412790696</v>
      </c>
      <c r="C76" s="112">
        <f t="shared" ref="C76:S76" si="34">(C58)/(1-C73/100)</f>
        <v>0</v>
      </c>
      <c r="D76" s="112">
        <f t="shared" si="34"/>
        <v>0</v>
      </c>
      <c r="E76" s="112">
        <f t="shared" si="34"/>
        <v>0</v>
      </c>
      <c r="F76" s="112">
        <f t="shared" si="34"/>
        <v>0</v>
      </c>
      <c r="G76" s="112">
        <f t="shared" si="34"/>
        <v>0</v>
      </c>
      <c r="H76" s="112">
        <f t="shared" si="34"/>
        <v>0</v>
      </c>
      <c r="I76" s="112">
        <f t="shared" si="34"/>
        <v>0</v>
      </c>
      <c r="J76" s="112">
        <f t="shared" si="34"/>
        <v>0</v>
      </c>
      <c r="K76" s="112">
        <f t="shared" si="34"/>
        <v>0</v>
      </c>
      <c r="L76" s="112">
        <f t="shared" si="34"/>
        <v>0</v>
      </c>
      <c r="M76" s="112">
        <f t="shared" si="34"/>
        <v>0</v>
      </c>
      <c r="N76" s="112">
        <f t="shared" si="34"/>
        <v>0</v>
      </c>
      <c r="O76" s="112">
        <f t="shared" si="34"/>
        <v>0</v>
      </c>
      <c r="P76" s="112">
        <f t="shared" si="34"/>
        <v>0</v>
      </c>
      <c r="Q76" s="112">
        <f t="shared" si="34"/>
        <v>0</v>
      </c>
      <c r="R76" s="112">
        <f t="shared" si="34"/>
        <v>0</v>
      </c>
      <c r="S76" s="112">
        <f t="shared" si="34"/>
        <v>0</v>
      </c>
    </row>
    <row r="77" spans="1:19" x14ac:dyDescent="0.2">
      <c r="A77" s="216" t="s">
        <v>771</v>
      </c>
      <c r="B77" s="211">
        <f>B75/0.8</f>
        <v>-3.680512343749998</v>
      </c>
      <c r="C77" s="211">
        <f t="shared" ref="C77:S77" si="35">C75/0.8</f>
        <v>0</v>
      </c>
      <c r="D77" s="211">
        <f t="shared" si="35"/>
        <v>0</v>
      </c>
      <c r="E77" s="211">
        <f t="shared" si="35"/>
        <v>0</v>
      </c>
      <c r="F77" s="211">
        <f t="shared" si="35"/>
        <v>0</v>
      </c>
      <c r="G77" s="211">
        <f t="shared" si="35"/>
        <v>0</v>
      </c>
      <c r="H77" s="211">
        <f t="shared" si="35"/>
        <v>0</v>
      </c>
      <c r="I77" s="211">
        <f t="shared" si="35"/>
        <v>0</v>
      </c>
      <c r="J77" s="211">
        <f t="shared" si="35"/>
        <v>0</v>
      </c>
      <c r="K77" s="211">
        <f t="shared" si="35"/>
        <v>0</v>
      </c>
      <c r="L77" s="211">
        <f t="shared" si="35"/>
        <v>0</v>
      </c>
      <c r="M77" s="211">
        <f t="shared" si="35"/>
        <v>0</v>
      </c>
      <c r="N77" s="211">
        <f t="shared" si="35"/>
        <v>0</v>
      </c>
      <c r="O77" s="211">
        <f t="shared" si="35"/>
        <v>0</v>
      </c>
      <c r="P77" s="211">
        <f t="shared" si="35"/>
        <v>0</v>
      </c>
      <c r="Q77" s="211">
        <f t="shared" si="35"/>
        <v>0</v>
      </c>
      <c r="R77" s="211">
        <f t="shared" si="35"/>
        <v>0</v>
      </c>
      <c r="S77" s="211">
        <f t="shared" si="35"/>
        <v>0</v>
      </c>
    </row>
    <row r="78" spans="1:19" x14ac:dyDescent="0.2">
      <c r="A78" s="103" t="s">
        <v>316</v>
      </c>
      <c r="B78" s="111">
        <f t="shared" ref="B78:S78" si="36">B7-B76</f>
        <v>-3.4237324127906987</v>
      </c>
      <c r="C78" s="111">
        <f t="shared" si="36"/>
        <v>0</v>
      </c>
      <c r="D78" s="111">
        <f t="shared" si="36"/>
        <v>0</v>
      </c>
      <c r="E78" s="111">
        <f t="shared" si="36"/>
        <v>0</v>
      </c>
      <c r="F78" s="111">
        <f t="shared" si="36"/>
        <v>0</v>
      </c>
      <c r="G78" s="111">
        <f t="shared" si="36"/>
        <v>0</v>
      </c>
      <c r="H78" s="111">
        <f t="shared" si="36"/>
        <v>0</v>
      </c>
      <c r="I78" s="111">
        <f t="shared" si="36"/>
        <v>0</v>
      </c>
      <c r="J78" s="111">
        <f t="shared" si="36"/>
        <v>0</v>
      </c>
      <c r="K78" s="111">
        <f t="shared" si="36"/>
        <v>0</v>
      </c>
      <c r="L78" s="111">
        <f t="shared" si="36"/>
        <v>0</v>
      </c>
      <c r="M78" s="111">
        <f t="shared" si="36"/>
        <v>0</v>
      </c>
      <c r="N78" s="111">
        <f t="shared" si="36"/>
        <v>0</v>
      </c>
      <c r="O78" s="111">
        <f t="shared" si="36"/>
        <v>0</v>
      </c>
      <c r="P78" s="111">
        <f t="shared" si="36"/>
        <v>0</v>
      </c>
      <c r="Q78" s="111">
        <f t="shared" si="36"/>
        <v>0</v>
      </c>
      <c r="R78" s="111">
        <f t="shared" si="36"/>
        <v>0</v>
      </c>
      <c r="S78" s="111">
        <f t="shared" si="36"/>
        <v>0</v>
      </c>
    </row>
    <row r="79" spans="1:19" x14ac:dyDescent="0.2">
      <c r="A79" s="214" t="s">
        <v>342</v>
      </c>
      <c r="B79" s="111">
        <f>(B77*0.8)*1000</f>
        <v>-2944.4098749999985</v>
      </c>
      <c r="C79" s="111">
        <f t="shared" ref="C79:S79" si="37">(C77*0.8)*1000</f>
        <v>0</v>
      </c>
      <c r="D79" s="111">
        <f t="shared" si="37"/>
        <v>0</v>
      </c>
      <c r="E79" s="111">
        <f t="shared" si="37"/>
        <v>0</v>
      </c>
      <c r="F79" s="111">
        <f t="shared" si="37"/>
        <v>0</v>
      </c>
      <c r="G79" s="111">
        <f t="shared" si="37"/>
        <v>0</v>
      </c>
      <c r="H79" s="111">
        <f t="shared" si="37"/>
        <v>0</v>
      </c>
      <c r="I79" s="111">
        <f t="shared" si="37"/>
        <v>0</v>
      </c>
      <c r="J79" s="111">
        <f t="shared" si="37"/>
        <v>0</v>
      </c>
      <c r="K79" s="111">
        <f t="shared" si="37"/>
        <v>0</v>
      </c>
      <c r="L79" s="111">
        <f t="shared" si="37"/>
        <v>0</v>
      </c>
      <c r="M79" s="111">
        <f t="shared" si="37"/>
        <v>0</v>
      </c>
      <c r="N79" s="111">
        <f t="shared" si="37"/>
        <v>0</v>
      </c>
      <c r="O79" s="111">
        <f t="shared" si="37"/>
        <v>0</v>
      </c>
      <c r="P79" s="111">
        <f t="shared" si="37"/>
        <v>0</v>
      </c>
      <c r="Q79" s="111">
        <f t="shared" si="37"/>
        <v>0</v>
      </c>
      <c r="R79" s="111">
        <f t="shared" si="37"/>
        <v>0</v>
      </c>
      <c r="S79" s="111">
        <f t="shared" si="37"/>
        <v>0</v>
      </c>
    </row>
    <row r="80" spans="1:19" x14ac:dyDescent="0.2">
      <c r="A80" s="214" t="s">
        <v>343</v>
      </c>
      <c r="B80" s="111">
        <f>(B77*0.2)*1000</f>
        <v>-736.10246874999962</v>
      </c>
      <c r="C80" s="111">
        <f t="shared" ref="C80:S80" si="38">(C77*0.2)*1000</f>
        <v>0</v>
      </c>
      <c r="D80" s="111">
        <f t="shared" si="38"/>
        <v>0</v>
      </c>
      <c r="E80" s="111">
        <f t="shared" si="38"/>
        <v>0</v>
      </c>
      <c r="F80" s="111">
        <f t="shared" si="38"/>
        <v>0</v>
      </c>
      <c r="G80" s="111">
        <f t="shared" si="38"/>
        <v>0</v>
      </c>
      <c r="H80" s="111">
        <f t="shared" si="38"/>
        <v>0</v>
      </c>
      <c r="I80" s="111">
        <f t="shared" si="38"/>
        <v>0</v>
      </c>
      <c r="J80" s="111">
        <f t="shared" si="38"/>
        <v>0</v>
      </c>
      <c r="K80" s="111">
        <f t="shared" si="38"/>
        <v>0</v>
      </c>
      <c r="L80" s="111">
        <f t="shared" si="38"/>
        <v>0</v>
      </c>
      <c r="M80" s="111">
        <f t="shared" si="38"/>
        <v>0</v>
      </c>
      <c r="N80" s="111">
        <f t="shared" si="38"/>
        <v>0</v>
      </c>
      <c r="O80" s="111">
        <f t="shared" si="38"/>
        <v>0</v>
      </c>
      <c r="P80" s="111">
        <f t="shared" si="38"/>
        <v>0</v>
      </c>
      <c r="Q80" s="111">
        <f t="shared" si="38"/>
        <v>0</v>
      </c>
      <c r="R80" s="111">
        <f t="shared" si="38"/>
        <v>0</v>
      </c>
      <c r="S80" s="111">
        <f t="shared" si="38"/>
        <v>0</v>
      </c>
    </row>
    <row r="81" spans="1:19" x14ac:dyDescent="0.2">
      <c r="A81" s="217" t="s">
        <v>344</v>
      </c>
      <c r="B81" s="111">
        <f t="shared" ref="B81:S81" si="39">(B7*0.6)*10</f>
        <v>540.29999999999995</v>
      </c>
      <c r="C81" s="111">
        <f t="shared" si="39"/>
        <v>0</v>
      </c>
      <c r="D81" s="111">
        <f t="shared" si="39"/>
        <v>0</v>
      </c>
      <c r="E81" s="111">
        <f t="shared" si="39"/>
        <v>0</v>
      </c>
      <c r="F81" s="111">
        <f t="shared" si="39"/>
        <v>0</v>
      </c>
      <c r="G81" s="111">
        <f t="shared" si="39"/>
        <v>0</v>
      </c>
      <c r="H81" s="111">
        <f t="shared" si="39"/>
        <v>0</v>
      </c>
      <c r="I81" s="111">
        <f t="shared" si="39"/>
        <v>0</v>
      </c>
      <c r="J81" s="111">
        <f t="shared" si="39"/>
        <v>0</v>
      </c>
      <c r="K81" s="111">
        <f t="shared" si="39"/>
        <v>0</v>
      </c>
      <c r="L81" s="111">
        <f t="shared" si="39"/>
        <v>0</v>
      </c>
      <c r="M81" s="111">
        <f t="shared" si="39"/>
        <v>0</v>
      </c>
      <c r="N81" s="111">
        <f t="shared" si="39"/>
        <v>0</v>
      </c>
      <c r="O81" s="111">
        <f t="shared" si="39"/>
        <v>0</v>
      </c>
      <c r="P81" s="111">
        <f t="shared" si="39"/>
        <v>0</v>
      </c>
      <c r="Q81" s="111">
        <f t="shared" si="39"/>
        <v>0</v>
      </c>
      <c r="R81" s="111">
        <f t="shared" si="39"/>
        <v>0</v>
      </c>
      <c r="S81" s="111">
        <f t="shared" si="39"/>
        <v>0</v>
      </c>
    </row>
    <row r="82" spans="1:19" x14ac:dyDescent="0.2">
      <c r="A82" s="217" t="s">
        <v>345</v>
      </c>
      <c r="B82" s="111">
        <f>B81*4</f>
        <v>2161.1999999999998</v>
      </c>
      <c r="C82" s="111">
        <f t="shared" ref="C82:S82" si="40">C81*4</f>
        <v>0</v>
      </c>
      <c r="D82" s="111">
        <f t="shared" si="40"/>
        <v>0</v>
      </c>
      <c r="E82" s="111">
        <f t="shared" si="40"/>
        <v>0</v>
      </c>
      <c r="F82" s="111">
        <f t="shared" si="40"/>
        <v>0</v>
      </c>
      <c r="G82" s="111">
        <f t="shared" si="40"/>
        <v>0</v>
      </c>
      <c r="H82" s="111">
        <f t="shared" si="40"/>
        <v>0</v>
      </c>
      <c r="I82" s="111">
        <f t="shared" si="40"/>
        <v>0</v>
      </c>
      <c r="J82" s="111">
        <f t="shared" si="40"/>
        <v>0</v>
      </c>
      <c r="K82" s="111">
        <f t="shared" si="40"/>
        <v>0</v>
      </c>
      <c r="L82" s="111">
        <f t="shared" si="40"/>
        <v>0</v>
      </c>
      <c r="M82" s="111">
        <f t="shared" si="40"/>
        <v>0</v>
      </c>
      <c r="N82" s="111">
        <f t="shared" si="40"/>
        <v>0</v>
      </c>
      <c r="O82" s="111">
        <f t="shared" si="40"/>
        <v>0</v>
      </c>
      <c r="P82" s="111">
        <f t="shared" si="40"/>
        <v>0</v>
      </c>
      <c r="Q82" s="111">
        <f t="shared" si="40"/>
        <v>0</v>
      </c>
      <c r="R82" s="111">
        <f t="shared" si="40"/>
        <v>0</v>
      </c>
      <c r="S82" s="111">
        <f t="shared" si="40"/>
        <v>0</v>
      </c>
    </row>
    <row r="83" spans="1:19" x14ac:dyDescent="0.2">
      <c r="A83" s="217" t="s">
        <v>346</v>
      </c>
      <c r="B83" s="111">
        <f>B81*0.8</f>
        <v>432.24</v>
      </c>
      <c r="C83" s="111">
        <f t="shared" ref="C83:S83" si="41">C81*0.8</f>
        <v>0</v>
      </c>
      <c r="D83" s="111">
        <f t="shared" si="41"/>
        <v>0</v>
      </c>
      <c r="E83" s="111">
        <f t="shared" si="41"/>
        <v>0</v>
      </c>
      <c r="F83" s="111">
        <f t="shared" si="41"/>
        <v>0</v>
      </c>
      <c r="G83" s="111">
        <f t="shared" si="41"/>
        <v>0</v>
      </c>
      <c r="H83" s="111">
        <f t="shared" si="41"/>
        <v>0</v>
      </c>
      <c r="I83" s="111">
        <f t="shared" si="41"/>
        <v>0</v>
      </c>
      <c r="J83" s="111">
        <f t="shared" si="41"/>
        <v>0</v>
      </c>
      <c r="K83" s="111">
        <f t="shared" si="41"/>
        <v>0</v>
      </c>
      <c r="L83" s="111">
        <f t="shared" si="41"/>
        <v>0</v>
      </c>
      <c r="M83" s="111">
        <f t="shared" si="41"/>
        <v>0</v>
      </c>
      <c r="N83" s="111">
        <f t="shared" si="41"/>
        <v>0</v>
      </c>
      <c r="O83" s="111">
        <f t="shared" si="41"/>
        <v>0</v>
      </c>
      <c r="P83" s="111">
        <f t="shared" si="41"/>
        <v>0</v>
      </c>
      <c r="Q83" s="111">
        <f t="shared" si="41"/>
        <v>0</v>
      </c>
      <c r="R83" s="111">
        <f t="shared" si="41"/>
        <v>0</v>
      </c>
      <c r="S83" s="111">
        <f t="shared" si="41"/>
        <v>0</v>
      </c>
    </row>
    <row r="84" spans="1:19" x14ac:dyDescent="0.2">
      <c r="A84" s="217" t="s">
        <v>347</v>
      </c>
      <c r="B84" s="111">
        <f>B81*0.2</f>
        <v>108.06</v>
      </c>
      <c r="C84" s="111">
        <f t="shared" ref="C84:S84" si="42">C81*0.2</f>
        <v>0</v>
      </c>
      <c r="D84" s="111">
        <f t="shared" si="42"/>
        <v>0</v>
      </c>
      <c r="E84" s="111">
        <f t="shared" si="42"/>
        <v>0</v>
      </c>
      <c r="F84" s="111">
        <f t="shared" si="42"/>
        <v>0</v>
      </c>
      <c r="G84" s="111">
        <f t="shared" si="42"/>
        <v>0</v>
      </c>
      <c r="H84" s="111">
        <f t="shared" si="42"/>
        <v>0</v>
      </c>
      <c r="I84" s="111">
        <f t="shared" si="42"/>
        <v>0</v>
      </c>
      <c r="J84" s="111">
        <f t="shared" si="42"/>
        <v>0</v>
      </c>
      <c r="K84" s="111">
        <f t="shared" si="42"/>
        <v>0</v>
      </c>
      <c r="L84" s="111">
        <f t="shared" si="42"/>
        <v>0</v>
      </c>
      <c r="M84" s="111">
        <f t="shared" si="42"/>
        <v>0</v>
      </c>
      <c r="N84" s="111">
        <f t="shared" si="42"/>
        <v>0</v>
      </c>
      <c r="O84" s="111">
        <f t="shared" si="42"/>
        <v>0</v>
      </c>
      <c r="P84" s="111">
        <f t="shared" si="42"/>
        <v>0</v>
      </c>
      <c r="Q84" s="111">
        <f t="shared" si="42"/>
        <v>0</v>
      </c>
      <c r="R84" s="111">
        <f t="shared" si="42"/>
        <v>0</v>
      </c>
      <c r="S84" s="111">
        <f t="shared" si="42"/>
        <v>0</v>
      </c>
    </row>
    <row r="85" spans="1:19" x14ac:dyDescent="0.2">
      <c r="A85" s="218" t="s">
        <v>348</v>
      </c>
      <c r="B85" s="110">
        <f>(B77/B81)*1000</f>
        <v>-6.8119791666666636</v>
      </c>
      <c r="C85" s="110" t="e">
        <f t="shared" ref="C85:S85" si="43">(C77/C81)*1000</f>
        <v>#DIV/0!</v>
      </c>
      <c r="D85" s="110" t="e">
        <f t="shared" si="43"/>
        <v>#DIV/0!</v>
      </c>
      <c r="E85" s="110" t="e">
        <f t="shared" si="43"/>
        <v>#DIV/0!</v>
      </c>
      <c r="F85" s="110" t="e">
        <f t="shared" si="43"/>
        <v>#DIV/0!</v>
      </c>
      <c r="G85" s="110" t="e">
        <f t="shared" si="43"/>
        <v>#DIV/0!</v>
      </c>
      <c r="H85" s="110" t="e">
        <f t="shared" si="43"/>
        <v>#DIV/0!</v>
      </c>
      <c r="I85" s="110" t="e">
        <f t="shared" si="43"/>
        <v>#DIV/0!</v>
      </c>
      <c r="J85" s="110" t="e">
        <f t="shared" si="43"/>
        <v>#DIV/0!</v>
      </c>
      <c r="K85" s="110" t="e">
        <f t="shared" si="43"/>
        <v>#DIV/0!</v>
      </c>
      <c r="L85" s="110" t="e">
        <f t="shared" si="43"/>
        <v>#DIV/0!</v>
      </c>
      <c r="M85" s="110" t="e">
        <f t="shared" si="43"/>
        <v>#DIV/0!</v>
      </c>
      <c r="N85" s="110" t="e">
        <f t="shared" si="43"/>
        <v>#DIV/0!</v>
      </c>
      <c r="O85" s="110" t="e">
        <f t="shared" si="43"/>
        <v>#DIV/0!</v>
      </c>
      <c r="P85" s="110" t="e">
        <f t="shared" si="43"/>
        <v>#DIV/0!</v>
      </c>
      <c r="Q85" s="110" t="e">
        <f t="shared" si="43"/>
        <v>#DIV/0!</v>
      </c>
      <c r="R85" s="110" t="e">
        <f t="shared" si="43"/>
        <v>#DIV/0!</v>
      </c>
      <c r="S85" s="110" t="e">
        <f t="shared" si="43"/>
        <v>#DIV/0!</v>
      </c>
    </row>
    <row r="86" spans="1:19" x14ac:dyDescent="0.2">
      <c r="A86" s="218" t="s">
        <v>349</v>
      </c>
      <c r="B86" s="251">
        <f>B85/4</f>
        <v>-1.7029947916666659</v>
      </c>
      <c r="C86" s="251" t="e">
        <f t="shared" ref="C86:S86" si="44">C85/4</f>
        <v>#DIV/0!</v>
      </c>
      <c r="D86" s="251" t="e">
        <f t="shared" si="44"/>
        <v>#DIV/0!</v>
      </c>
      <c r="E86" s="251" t="e">
        <f t="shared" si="44"/>
        <v>#DIV/0!</v>
      </c>
      <c r="F86" s="251" t="e">
        <f t="shared" si="44"/>
        <v>#DIV/0!</v>
      </c>
      <c r="G86" s="251" t="e">
        <f t="shared" si="44"/>
        <v>#DIV/0!</v>
      </c>
      <c r="H86" s="251" t="e">
        <f t="shared" si="44"/>
        <v>#DIV/0!</v>
      </c>
      <c r="I86" s="251" t="e">
        <f t="shared" si="44"/>
        <v>#DIV/0!</v>
      </c>
      <c r="J86" s="251" t="e">
        <f t="shared" si="44"/>
        <v>#DIV/0!</v>
      </c>
      <c r="K86" s="251" t="e">
        <f t="shared" si="44"/>
        <v>#DIV/0!</v>
      </c>
      <c r="L86" s="251" t="e">
        <f t="shared" si="44"/>
        <v>#DIV/0!</v>
      </c>
      <c r="M86" s="251" t="e">
        <f t="shared" si="44"/>
        <v>#DIV/0!</v>
      </c>
      <c r="N86" s="251" t="e">
        <f t="shared" si="44"/>
        <v>#DIV/0!</v>
      </c>
      <c r="O86" s="251" t="e">
        <f t="shared" si="44"/>
        <v>#DIV/0!</v>
      </c>
      <c r="P86" s="251" t="e">
        <f t="shared" si="44"/>
        <v>#DIV/0!</v>
      </c>
      <c r="Q86" s="251" t="e">
        <f t="shared" si="44"/>
        <v>#DIV/0!</v>
      </c>
      <c r="R86" s="251" t="e">
        <f t="shared" si="44"/>
        <v>#DIV/0!</v>
      </c>
      <c r="S86" s="251" t="e">
        <f t="shared" si="44"/>
        <v>#DIV/0!</v>
      </c>
    </row>
    <row r="87" spans="1:19" x14ac:dyDescent="0.2">
      <c r="A87" s="398" t="s">
        <v>350</v>
      </c>
      <c r="B87" s="250">
        <f>(B83*0.87)*9</f>
        <v>3384.4392000000003</v>
      </c>
      <c r="C87" s="250">
        <f t="shared" ref="C87:S87" si="45">(C83*0.87)*9</f>
        <v>0</v>
      </c>
      <c r="D87" s="250">
        <f t="shared" si="45"/>
        <v>0</v>
      </c>
      <c r="E87" s="250">
        <f t="shared" si="45"/>
        <v>0</v>
      </c>
      <c r="F87" s="250">
        <f t="shared" si="45"/>
        <v>0</v>
      </c>
      <c r="G87" s="250">
        <f t="shared" si="45"/>
        <v>0</v>
      </c>
      <c r="H87" s="250">
        <f t="shared" si="45"/>
        <v>0</v>
      </c>
      <c r="I87" s="250">
        <f t="shared" si="45"/>
        <v>0</v>
      </c>
      <c r="J87" s="250">
        <f t="shared" si="45"/>
        <v>0</v>
      </c>
      <c r="K87" s="250">
        <f t="shared" si="45"/>
        <v>0</v>
      </c>
      <c r="L87" s="250">
        <f t="shared" si="45"/>
        <v>0</v>
      </c>
      <c r="M87" s="250">
        <f t="shared" si="45"/>
        <v>0</v>
      </c>
      <c r="N87" s="250">
        <f t="shared" si="45"/>
        <v>0</v>
      </c>
      <c r="O87" s="250">
        <f t="shared" si="45"/>
        <v>0</v>
      </c>
      <c r="P87" s="250">
        <f t="shared" si="45"/>
        <v>0</v>
      </c>
      <c r="Q87" s="250">
        <f t="shared" si="45"/>
        <v>0</v>
      </c>
      <c r="R87" s="250">
        <f t="shared" si="45"/>
        <v>0</v>
      </c>
      <c r="S87" s="250">
        <f t="shared" si="45"/>
        <v>0</v>
      </c>
    </row>
    <row r="88" spans="1:19" x14ac:dyDescent="0.2">
      <c r="A88" s="398" t="s">
        <v>351</v>
      </c>
      <c r="B88" s="250">
        <f>(B84*0.3)*4</f>
        <v>129.672</v>
      </c>
      <c r="C88" s="250">
        <f t="shared" ref="C88:S88" si="46">(C84*0.3)*4</f>
        <v>0</v>
      </c>
      <c r="D88" s="250">
        <f t="shared" si="46"/>
        <v>0</v>
      </c>
      <c r="E88" s="250">
        <f t="shared" si="46"/>
        <v>0</v>
      </c>
      <c r="F88" s="250">
        <f t="shared" si="46"/>
        <v>0</v>
      </c>
      <c r="G88" s="250">
        <f t="shared" si="46"/>
        <v>0</v>
      </c>
      <c r="H88" s="250">
        <f t="shared" si="46"/>
        <v>0</v>
      </c>
      <c r="I88" s="250">
        <f t="shared" si="46"/>
        <v>0</v>
      </c>
      <c r="J88" s="250">
        <f t="shared" si="46"/>
        <v>0</v>
      </c>
      <c r="K88" s="250">
        <f t="shared" si="46"/>
        <v>0</v>
      </c>
      <c r="L88" s="250">
        <f t="shared" si="46"/>
        <v>0</v>
      </c>
      <c r="M88" s="250">
        <f t="shared" si="46"/>
        <v>0</v>
      </c>
      <c r="N88" s="250">
        <f t="shared" si="46"/>
        <v>0</v>
      </c>
      <c r="O88" s="250">
        <f t="shared" si="46"/>
        <v>0</v>
      </c>
      <c r="P88" s="250">
        <f t="shared" si="46"/>
        <v>0</v>
      </c>
      <c r="Q88" s="250">
        <f t="shared" si="46"/>
        <v>0</v>
      </c>
      <c r="R88" s="250">
        <f t="shared" si="46"/>
        <v>0</v>
      </c>
      <c r="S88" s="250">
        <f t="shared" si="46"/>
        <v>0</v>
      </c>
    </row>
    <row r="89" spans="1:19" x14ac:dyDescent="0.2">
      <c r="A89" s="294" t="s">
        <v>352</v>
      </c>
      <c r="B89" s="295">
        <f>(B87+B88)/7</f>
        <v>502.01588571428573</v>
      </c>
      <c r="C89" s="295">
        <f t="shared" ref="C89:S89" si="47">(C87+C88)/7</f>
        <v>0</v>
      </c>
      <c r="D89" s="295">
        <f t="shared" si="47"/>
        <v>0</v>
      </c>
      <c r="E89" s="295">
        <f t="shared" si="47"/>
        <v>0</v>
      </c>
      <c r="F89" s="295">
        <f t="shared" si="47"/>
        <v>0</v>
      </c>
      <c r="G89" s="295">
        <f t="shared" si="47"/>
        <v>0</v>
      </c>
      <c r="H89" s="295">
        <f t="shared" si="47"/>
        <v>0</v>
      </c>
      <c r="I89" s="295">
        <f t="shared" si="47"/>
        <v>0</v>
      </c>
      <c r="J89" s="295">
        <f t="shared" si="47"/>
        <v>0</v>
      </c>
      <c r="K89" s="295">
        <f t="shared" si="47"/>
        <v>0</v>
      </c>
      <c r="L89" s="295">
        <f t="shared" si="47"/>
        <v>0</v>
      </c>
      <c r="M89" s="295">
        <f t="shared" si="47"/>
        <v>0</v>
      </c>
      <c r="N89" s="295">
        <f t="shared" si="47"/>
        <v>0</v>
      </c>
      <c r="O89" s="295">
        <f t="shared" si="47"/>
        <v>0</v>
      </c>
      <c r="P89" s="295">
        <f t="shared" si="47"/>
        <v>0</v>
      </c>
      <c r="Q89" s="295">
        <f t="shared" si="47"/>
        <v>0</v>
      </c>
      <c r="R89" s="295">
        <f t="shared" si="47"/>
        <v>0</v>
      </c>
      <c r="S89" s="295">
        <f t="shared" si="47"/>
        <v>0</v>
      </c>
    </row>
    <row r="90" spans="1:19" x14ac:dyDescent="0.2">
      <c r="A90" s="198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spans="1:19" x14ac:dyDescent="0.2">
      <c r="A91" s="340" t="s">
        <v>491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 spans="1:19" x14ac:dyDescent="0.2">
      <c r="A92" s="289" t="s">
        <v>492</v>
      </c>
      <c r="B92" s="251">
        <f>B24+B23+B26</f>
        <v>32</v>
      </c>
      <c r="C92" s="251">
        <f t="shared" ref="C92:S92" si="48">C24+C23+C26</f>
        <v>0</v>
      </c>
      <c r="D92" s="251">
        <f t="shared" si="48"/>
        <v>0</v>
      </c>
      <c r="E92" s="251">
        <f t="shared" si="48"/>
        <v>0</v>
      </c>
      <c r="F92" s="251">
        <f t="shared" si="48"/>
        <v>0</v>
      </c>
      <c r="G92" s="251">
        <f t="shared" si="48"/>
        <v>0</v>
      </c>
      <c r="H92" s="251">
        <f t="shared" si="48"/>
        <v>0</v>
      </c>
      <c r="I92" s="251">
        <f t="shared" si="48"/>
        <v>0</v>
      </c>
      <c r="J92" s="251">
        <f t="shared" si="48"/>
        <v>0</v>
      </c>
      <c r="K92" s="251">
        <f t="shared" si="48"/>
        <v>0</v>
      </c>
      <c r="L92" s="251">
        <f t="shared" si="48"/>
        <v>0</v>
      </c>
      <c r="M92" s="251">
        <f t="shared" si="48"/>
        <v>0</v>
      </c>
      <c r="N92" s="251">
        <f t="shared" si="48"/>
        <v>0</v>
      </c>
      <c r="O92" s="251">
        <f t="shared" si="48"/>
        <v>0</v>
      </c>
      <c r="P92" s="251">
        <f t="shared" si="48"/>
        <v>0</v>
      </c>
      <c r="Q92" s="251">
        <f t="shared" si="48"/>
        <v>0</v>
      </c>
      <c r="R92" s="251">
        <f t="shared" si="48"/>
        <v>0</v>
      </c>
      <c r="S92" s="251">
        <f t="shared" si="48"/>
        <v>0</v>
      </c>
    </row>
    <row r="93" spans="1:19" x14ac:dyDescent="0.2">
      <c r="A93" s="289" t="s">
        <v>493</v>
      </c>
      <c r="B93" s="291">
        <f t="shared" ref="B93:S93" si="49">(170.18/B9)*B92</f>
        <v>29.278279569892476</v>
      </c>
      <c r="C93" s="291" t="e">
        <f t="shared" si="49"/>
        <v>#DIV/0!</v>
      </c>
      <c r="D93" s="291" t="e">
        <f t="shared" si="49"/>
        <v>#DIV/0!</v>
      </c>
      <c r="E93" s="291" t="e">
        <f t="shared" si="49"/>
        <v>#DIV/0!</v>
      </c>
      <c r="F93" s="291" t="e">
        <f t="shared" si="49"/>
        <v>#DIV/0!</v>
      </c>
      <c r="G93" s="291" t="e">
        <f t="shared" si="49"/>
        <v>#DIV/0!</v>
      </c>
      <c r="H93" s="291" t="e">
        <f t="shared" si="49"/>
        <v>#DIV/0!</v>
      </c>
      <c r="I93" s="291" t="e">
        <f t="shared" si="49"/>
        <v>#DIV/0!</v>
      </c>
      <c r="J93" s="291" t="e">
        <f t="shared" si="49"/>
        <v>#DIV/0!</v>
      </c>
      <c r="K93" s="291" t="e">
        <f t="shared" si="49"/>
        <v>#DIV/0!</v>
      </c>
      <c r="L93" s="291" t="e">
        <f t="shared" si="49"/>
        <v>#DIV/0!</v>
      </c>
      <c r="M93" s="291" t="e">
        <f t="shared" si="49"/>
        <v>#DIV/0!</v>
      </c>
      <c r="N93" s="291" t="e">
        <f t="shared" si="49"/>
        <v>#DIV/0!</v>
      </c>
      <c r="O93" s="291" t="e">
        <f t="shared" si="49"/>
        <v>#DIV/0!</v>
      </c>
      <c r="P93" s="291" t="e">
        <f t="shared" si="49"/>
        <v>#DIV/0!</v>
      </c>
      <c r="Q93" s="291" t="e">
        <f t="shared" si="49"/>
        <v>#DIV/0!</v>
      </c>
      <c r="R93" s="291" t="e">
        <f t="shared" si="49"/>
        <v>#DIV/0!</v>
      </c>
      <c r="S93" s="291" t="e">
        <f t="shared" si="49"/>
        <v>#DIV/0!</v>
      </c>
    </row>
    <row r="94" spans="1:19" x14ac:dyDescent="0.2">
      <c r="A94" s="289" t="s">
        <v>494</v>
      </c>
      <c r="B94" s="111">
        <f>(B93^2)</f>
        <v>857.21765457278309</v>
      </c>
      <c r="C94" s="111" t="e">
        <f t="shared" ref="C94:S94" si="50">(C93^2)</f>
        <v>#DIV/0!</v>
      </c>
      <c r="D94" s="111" t="e">
        <f t="shared" si="50"/>
        <v>#DIV/0!</v>
      </c>
      <c r="E94" s="111" t="e">
        <f t="shared" si="50"/>
        <v>#DIV/0!</v>
      </c>
      <c r="F94" s="111" t="e">
        <f t="shared" si="50"/>
        <v>#DIV/0!</v>
      </c>
      <c r="G94" s="111" t="e">
        <f t="shared" si="50"/>
        <v>#DIV/0!</v>
      </c>
      <c r="H94" s="111" t="e">
        <f t="shared" si="50"/>
        <v>#DIV/0!</v>
      </c>
      <c r="I94" s="111" t="e">
        <f t="shared" si="50"/>
        <v>#DIV/0!</v>
      </c>
      <c r="J94" s="111" t="e">
        <f t="shared" si="50"/>
        <v>#DIV/0!</v>
      </c>
      <c r="K94" s="111" t="e">
        <f t="shared" si="50"/>
        <v>#DIV/0!</v>
      </c>
      <c r="L94" s="111" t="e">
        <f t="shared" si="50"/>
        <v>#DIV/0!</v>
      </c>
      <c r="M94" s="111" t="e">
        <f t="shared" si="50"/>
        <v>#DIV/0!</v>
      </c>
      <c r="N94" s="111" t="e">
        <f t="shared" si="50"/>
        <v>#DIV/0!</v>
      </c>
      <c r="O94" s="111" t="e">
        <f t="shared" si="50"/>
        <v>#DIV/0!</v>
      </c>
      <c r="P94" s="111" t="e">
        <f t="shared" si="50"/>
        <v>#DIV/0!</v>
      </c>
      <c r="Q94" s="111" t="e">
        <f t="shared" si="50"/>
        <v>#DIV/0!</v>
      </c>
      <c r="R94" s="111" t="e">
        <f t="shared" si="50"/>
        <v>#DIV/0!</v>
      </c>
      <c r="S94" s="111" t="e">
        <f t="shared" si="50"/>
        <v>#DIV/0!</v>
      </c>
    </row>
    <row r="95" spans="1:19" x14ac:dyDescent="0.2">
      <c r="A95" s="289" t="s">
        <v>495</v>
      </c>
      <c r="B95" s="111">
        <f>(B93^3)</f>
        <v>25097.85814282946</v>
      </c>
      <c r="C95" s="111" t="e">
        <f t="shared" ref="C95:S95" si="51">(C93^3)</f>
        <v>#DIV/0!</v>
      </c>
      <c r="D95" s="111" t="e">
        <f t="shared" si="51"/>
        <v>#DIV/0!</v>
      </c>
      <c r="E95" s="111" t="e">
        <f t="shared" si="51"/>
        <v>#DIV/0!</v>
      </c>
      <c r="F95" s="111" t="e">
        <f t="shared" si="51"/>
        <v>#DIV/0!</v>
      </c>
      <c r="G95" s="111" t="e">
        <f t="shared" si="51"/>
        <v>#DIV/0!</v>
      </c>
      <c r="H95" s="111" t="e">
        <f t="shared" si="51"/>
        <v>#DIV/0!</v>
      </c>
      <c r="I95" s="111" t="e">
        <f t="shared" si="51"/>
        <v>#DIV/0!</v>
      </c>
      <c r="J95" s="111" t="e">
        <f t="shared" si="51"/>
        <v>#DIV/0!</v>
      </c>
      <c r="K95" s="111" t="e">
        <f t="shared" si="51"/>
        <v>#DIV/0!</v>
      </c>
      <c r="L95" s="111" t="e">
        <f t="shared" si="51"/>
        <v>#DIV/0!</v>
      </c>
      <c r="M95" s="111" t="e">
        <f t="shared" si="51"/>
        <v>#DIV/0!</v>
      </c>
      <c r="N95" s="111" t="e">
        <f t="shared" si="51"/>
        <v>#DIV/0!</v>
      </c>
      <c r="O95" s="111" t="e">
        <f t="shared" si="51"/>
        <v>#DIV/0!</v>
      </c>
      <c r="P95" s="111" t="e">
        <f t="shared" si="51"/>
        <v>#DIV/0!</v>
      </c>
      <c r="Q95" s="111" t="e">
        <f t="shared" si="51"/>
        <v>#DIV/0!</v>
      </c>
      <c r="R95" s="111" t="e">
        <f t="shared" si="51"/>
        <v>#DIV/0!</v>
      </c>
      <c r="S95" s="111" t="e">
        <f t="shared" si="51"/>
        <v>#DIV/0!</v>
      </c>
    </row>
    <row r="96" spans="1:19" x14ac:dyDescent="0.2">
      <c r="A96" s="289" t="s">
        <v>496</v>
      </c>
      <c r="B96" s="287">
        <f t="shared" ref="B96:S96" si="52">(B13-(B23/10))</f>
        <v>40.85</v>
      </c>
      <c r="C96" s="287">
        <f t="shared" si="52"/>
        <v>0</v>
      </c>
      <c r="D96" s="287">
        <f t="shared" si="52"/>
        <v>0</v>
      </c>
      <c r="E96" s="287">
        <f t="shared" si="52"/>
        <v>0</v>
      </c>
      <c r="F96" s="287">
        <f t="shared" si="52"/>
        <v>0</v>
      </c>
      <c r="G96" s="287">
        <f t="shared" si="52"/>
        <v>0</v>
      </c>
      <c r="H96" s="287">
        <f t="shared" si="52"/>
        <v>0</v>
      </c>
      <c r="I96" s="287">
        <f t="shared" si="52"/>
        <v>0</v>
      </c>
      <c r="J96" s="287">
        <f t="shared" si="52"/>
        <v>0</v>
      </c>
      <c r="K96" s="287">
        <f t="shared" si="52"/>
        <v>0</v>
      </c>
      <c r="L96" s="287">
        <f t="shared" si="52"/>
        <v>0</v>
      </c>
      <c r="M96" s="287">
        <f t="shared" si="52"/>
        <v>0</v>
      </c>
      <c r="N96" s="287">
        <f t="shared" si="52"/>
        <v>0</v>
      </c>
      <c r="O96" s="287">
        <f t="shared" si="52"/>
        <v>0</v>
      </c>
      <c r="P96" s="287">
        <f t="shared" si="52"/>
        <v>0</v>
      </c>
      <c r="Q96" s="287">
        <f t="shared" si="52"/>
        <v>0</v>
      </c>
      <c r="R96" s="287">
        <f t="shared" si="52"/>
        <v>0</v>
      </c>
      <c r="S96" s="287">
        <f t="shared" si="52"/>
        <v>0</v>
      </c>
    </row>
    <row r="97" spans="1:19" x14ac:dyDescent="0.2">
      <c r="A97" s="289" t="s">
        <v>497</v>
      </c>
      <c r="B97" s="287">
        <f>(B20-(B29/10))</f>
        <v>37.950000000000003</v>
      </c>
      <c r="C97" s="287">
        <f t="shared" ref="C97:S97" si="53">(C20-(C29/10))</f>
        <v>0</v>
      </c>
      <c r="D97" s="287">
        <f t="shared" si="53"/>
        <v>0</v>
      </c>
      <c r="E97" s="287">
        <f t="shared" si="53"/>
        <v>0</v>
      </c>
      <c r="F97" s="287">
        <f t="shared" si="53"/>
        <v>0</v>
      </c>
      <c r="G97" s="287">
        <f t="shared" si="53"/>
        <v>0</v>
      </c>
      <c r="H97" s="287">
        <f t="shared" si="53"/>
        <v>0</v>
      </c>
      <c r="I97" s="287">
        <f t="shared" si="53"/>
        <v>0</v>
      </c>
      <c r="J97" s="287">
        <f t="shared" si="53"/>
        <v>0</v>
      </c>
      <c r="K97" s="287">
        <f t="shared" si="53"/>
        <v>0</v>
      </c>
      <c r="L97" s="287">
        <f t="shared" si="53"/>
        <v>0</v>
      </c>
      <c r="M97" s="287">
        <f t="shared" si="53"/>
        <v>0</v>
      </c>
      <c r="N97" s="287">
        <f t="shared" si="53"/>
        <v>0</v>
      </c>
      <c r="O97" s="287">
        <f t="shared" si="53"/>
        <v>0</v>
      </c>
      <c r="P97" s="287">
        <f t="shared" si="53"/>
        <v>0</v>
      </c>
      <c r="Q97" s="287">
        <f t="shared" si="53"/>
        <v>0</v>
      </c>
      <c r="R97" s="287">
        <f t="shared" si="53"/>
        <v>0</v>
      </c>
      <c r="S97" s="287">
        <f t="shared" si="53"/>
        <v>0</v>
      </c>
    </row>
    <row r="98" spans="1:19" x14ac:dyDescent="0.2">
      <c r="A98" s="289" t="s">
        <v>498</v>
      </c>
      <c r="B98" s="251">
        <f t="shared" ref="B98:S98" si="54">B9/(B7^0.3333)</f>
        <v>41.50338521441622</v>
      </c>
      <c r="C98" s="251" t="e">
        <f t="shared" si="54"/>
        <v>#DIV/0!</v>
      </c>
      <c r="D98" s="251" t="e">
        <f t="shared" si="54"/>
        <v>#DIV/0!</v>
      </c>
      <c r="E98" s="251" t="e">
        <f t="shared" si="54"/>
        <v>#DIV/0!</v>
      </c>
      <c r="F98" s="251" t="e">
        <f t="shared" si="54"/>
        <v>#DIV/0!</v>
      </c>
      <c r="G98" s="251" t="e">
        <f t="shared" si="54"/>
        <v>#DIV/0!</v>
      </c>
      <c r="H98" s="251" t="e">
        <f t="shared" si="54"/>
        <v>#DIV/0!</v>
      </c>
      <c r="I98" s="251" t="e">
        <f t="shared" si="54"/>
        <v>#DIV/0!</v>
      </c>
      <c r="J98" s="251" t="e">
        <f t="shared" si="54"/>
        <v>#DIV/0!</v>
      </c>
      <c r="K98" s="251" t="e">
        <f t="shared" si="54"/>
        <v>#DIV/0!</v>
      </c>
      <c r="L98" s="251" t="e">
        <f t="shared" si="54"/>
        <v>#DIV/0!</v>
      </c>
      <c r="M98" s="251" t="e">
        <f t="shared" si="54"/>
        <v>#DIV/0!</v>
      </c>
      <c r="N98" s="251" t="e">
        <f t="shared" si="54"/>
        <v>#DIV/0!</v>
      </c>
      <c r="O98" s="251" t="e">
        <f t="shared" si="54"/>
        <v>#DIV/0!</v>
      </c>
      <c r="P98" s="251" t="e">
        <f t="shared" si="54"/>
        <v>#DIV/0!</v>
      </c>
      <c r="Q98" s="251" t="e">
        <f t="shared" si="54"/>
        <v>#DIV/0!</v>
      </c>
      <c r="R98" s="251" t="e">
        <f t="shared" si="54"/>
        <v>#DIV/0!</v>
      </c>
      <c r="S98" s="251" t="e">
        <f t="shared" si="54"/>
        <v>#DIV/0!</v>
      </c>
    </row>
    <row r="99" spans="1:19" x14ac:dyDescent="0.2">
      <c r="A99" s="198"/>
      <c r="B99" s="28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8"/>
    </row>
    <row r="100" spans="1:19" x14ac:dyDescent="0.2">
      <c r="A100" s="198"/>
      <c r="B100" s="761" t="s">
        <v>128</v>
      </c>
      <c r="C100" s="761"/>
      <c r="D100" s="761"/>
      <c r="E100" s="761"/>
      <c r="F100" s="761"/>
      <c r="G100" s="761"/>
      <c r="H100" s="761"/>
      <c r="I100" s="761"/>
    </row>
    <row r="101" spans="1:19" ht="16" x14ac:dyDescent="0.2">
      <c r="A101" s="199"/>
      <c r="B101" s="761"/>
      <c r="C101" s="761"/>
      <c r="D101" s="761"/>
      <c r="E101" s="761"/>
      <c r="F101" s="761"/>
      <c r="G101" s="761"/>
      <c r="H101" s="761"/>
      <c r="I101" s="761"/>
    </row>
    <row r="102" spans="1:19" x14ac:dyDescent="0.2">
      <c r="A102" s="200"/>
    </row>
    <row r="103" spans="1:19" ht="15.75" customHeight="1" x14ac:dyDescent="0.2">
      <c r="B103" s="735" t="s">
        <v>502</v>
      </c>
      <c r="C103" s="736"/>
      <c r="D103" s="737"/>
      <c r="E103" s="741" t="s">
        <v>40</v>
      </c>
      <c r="F103" s="742"/>
      <c r="G103" s="742"/>
    </row>
    <row r="104" spans="1:19" ht="16" thickBot="1" x14ac:dyDescent="0.25">
      <c r="B104" s="738"/>
      <c r="C104" s="739"/>
      <c r="D104" s="740"/>
      <c r="E104" s="741"/>
      <c r="F104" s="742"/>
      <c r="G104" s="742"/>
      <c r="I104" t="s">
        <v>971</v>
      </c>
      <c r="J104" t="s">
        <v>972</v>
      </c>
      <c r="K104" t="s">
        <v>973</v>
      </c>
    </row>
    <row r="105" spans="1:19" ht="17" thickBot="1" x14ac:dyDescent="0.25">
      <c r="B105" s="272" t="s">
        <v>196</v>
      </c>
      <c r="C105" s="272" t="s">
        <v>339</v>
      </c>
      <c r="D105" s="357" t="s">
        <v>483</v>
      </c>
      <c r="E105" s="361"/>
      <c r="F105" s="364" t="s">
        <v>718</v>
      </c>
      <c r="G105" s="361" t="s">
        <v>483</v>
      </c>
      <c r="I105">
        <v>17</v>
      </c>
      <c r="J105">
        <v>1.1619999999999999</v>
      </c>
      <c r="K105">
        <v>6.3E-2</v>
      </c>
    </row>
    <row r="106" spans="1:19" ht="16" thickBot="1" x14ac:dyDescent="0.25">
      <c r="B106" s="202" t="s">
        <v>324</v>
      </c>
      <c r="C106" s="203" t="s">
        <v>334</v>
      </c>
      <c r="D106" s="358"/>
      <c r="E106" s="362"/>
      <c r="F106" s="219" t="s">
        <v>719</v>
      </c>
      <c r="G106" s="363"/>
      <c r="I106">
        <v>20</v>
      </c>
      <c r="J106">
        <v>1.1631</v>
      </c>
      <c r="K106">
        <v>6.3200000000000006E-2</v>
      </c>
    </row>
    <row r="107" spans="1:19" ht="16" thickBot="1" x14ac:dyDescent="0.25">
      <c r="B107" s="204" t="s">
        <v>325</v>
      </c>
      <c r="C107" s="205" t="s">
        <v>327</v>
      </c>
      <c r="D107" s="359"/>
      <c r="E107" s="362"/>
      <c r="F107" s="365" t="s">
        <v>720</v>
      </c>
      <c r="G107" s="363"/>
      <c r="I107">
        <v>30</v>
      </c>
      <c r="J107">
        <v>1.1422000000000001</v>
      </c>
      <c r="K107">
        <v>5.4399999999999997E-2</v>
      </c>
    </row>
    <row r="108" spans="1:19" ht="16" thickBot="1" x14ac:dyDescent="0.25">
      <c r="B108" s="202" t="s">
        <v>326</v>
      </c>
      <c r="C108" s="206" t="s">
        <v>335</v>
      </c>
      <c r="D108" s="358"/>
      <c r="E108" s="362"/>
      <c r="F108" s="219" t="s">
        <v>721</v>
      </c>
      <c r="G108" s="363"/>
      <c r="I108">
        <v>40</v>
      </c>
      <c r="J108">
        <v>1.1619999999999999</v>
      </c>
      <c r="K108">
        <v>7.0000000000000007E-2</v>
      </c>
    </row>
    <row r="109" spans="1:19" ht="16" thickBot="1" x14ac:dyDescent="0.25">
      <c r="B109" s="204" t="s">
        <v>328</v>
      </c>
      <c r="C109" s="205" t="s">
        <v>336</v>
      </c>
      <c r="D109" s="359"/>
      <c r="E109" s="362"/>
      <c r="F109" s="365" t="s">
        <v>722</v>
      </c>
      <c r="G109" s="363"/>
      <c r="I109">
        <v>50</v>
      </c>
      <c r="J109">
        <v>1.1715</v>
      </c>
      <c r="K109">
        <v>7.7899999999999997E-2</v>
      </c>
    </row>
    <row r="110" spans="1:19" ht="16" thickBot="1" x14ac:dyDescent="0.25">
      <c r="B110" s="202" t="s">
        <v>329</v>
      </c>
      <c r="C110" s="206" t="s">
        <v>327</v>
      </c>
      <c r="D110" s="358"/>
      <c r="E110" s="362"/>
      <c r="F110" s="363"/>
      <c r="G110" s="363"/>
    </row>
    <row r="111" spans="1:19" ht="37" thickBot="1" x14ac:dyDescent="0.25">
      <c r="B111" s="207" t="s">
        <v>330</v>
      </c>
      <c r="C111" s="208" t="s">
        <v>337</v>
      </c>
      <c r="D111" s="360" t="s">
        <v>484</v>
      </c>
      <c r="F111" s="429" t="s">
        <v>776</v>
      </c>
      <c r="G111" s="430" t="s">
        <v>777</v>
      </c>
    </row>
    <row r="112" spans="1:19" ht="19" thickBot="1" x14ac:dyDescent="0.25">
      <c r="B112" s="209" t="s">
        <v>331</v>
      </c>
      <c r="C112" s="206" t="s">
        <v>327</v>
      </c>
      <c r="D112" s="358"/>
      <c r="F112" s="431" t="s">
        <v>786</v>
      </c>
      <c r="G112" s="432" t="s">
        <v>787</v>
      </c>
    </row>
    <row r="113" spans="2:11" ht="37" thickBot="1" x14ac:dyDescent="0.25">
      <c r="B113" s="207" t="s">
        <v>332</v>
      </c>
      <c r="C113" s="210" t="s">
        <v>338</v>
      </c>
      <c r="D113" s="360"/>
      <c r="F113" s="431" t="s">
        <v>852</v>
      </c>
      <c r="G113" s="432" t="s">
        <v>853</v>
      </c>
    </row>
    <row r="114" spans="2:11" ht="37" thickBot="1" x14ac:dyDescent="0.25">
      <c r="B114" s="209" t="s">
        <v>333</v>
      </c>
      <c r="C114" s="206" t="s">
        <v>327</v>
      </c>
      <c r="D114" s="358"/>
      <c r="F114" s="431" t="s">
        <v>854</v>
      </c>
      <c r="G114" s="432" t="s">
        <v>855</v>
      </c>
    </row>
    <row r="115" spans="2:11" ht="19" thickBot="1" x14ac:dyDescent="0.25">
      <c r="B115" s="210"/>
      <c r="C115" s="210"/>
      <c r="D115" s="360"/>
      <c r="F115" s="431" t="s">
        <v>856</v>
      </c>
      <c r="G115" s="432" t="s">
        <v>794</v>
      </c>
    </row>
    <row r="116" spans="2:11" ht="19" thickBot="1" x14ac:dyDescent="0.25">
      <c r="B116" s="206"/>
      <c r="C116" s="206"/>
      <c r="D116" s="358"/>
      <c r="F116" s="431" t="s">
        <v>857</v>
      </c>
      <c r="G116" s="432" t="s">
        <v>798</v>
      </c>
    </row>
    <row r="117" spans="2:11" ht="37" thickBot="1" x14ac:dyDescent="0.25">
      <c r="B117" s="210"/>
      <c r="C117" s="210"/>
      <c r="D117" s="360"/>
      <c r="F117" s="431" t="s">
        <v>858</v>
      </c>
      <c r="G117" s="432" t="s">
        <v>859</v>
      </c>
    </row>
    <row r="118" spans="2:11" ht="37" thickBot="1" x14ac:dyDescent="0.25">
      <c r="F118" s="431" t="s">
        <v>860</v>
      </c>
      <c r="G118" s="432" t="s">
        <v>861</v>
      </c>
    </row>
    <row r="122" spans="2:11" x14ac:dyDescent="0.2">
      <c r="B122" s="762" t="s">
        <v>554</v>
      </c>
      <c r="C122" s="762"/>
      <c r="D122" s="762"/>
      <c r="E122" s="762"/>
      <c r="F122" s="762"/>
      <c r="G122" s="762"/>
      <c r="H122" s="762"/>
      <c r="I122" s="762"/>
      <c r="J122" s="762"/>
      <c r="K122" s="763"/>
    </row>
    <row r="123" spans="2:11" x14ac:dyDescent="0.2">
      <c r="B123" s="762"/>
      <c r="C123" s="762"/>
      <c r="D123" s="762"/>
      <c r="E123" s="762"/>
      <c r="F123" s="762"/>
      <c r="G123" s="762"/>
      <c r="H123" s="762"/>
      <c r="I123" s="762"/>
      <c r="J123" s="762"/>
      <c r="K123" s="763"/>
    </row>
    <row r="124" spans="2:11" x14ac:dyDescent="0.2">
      <c r="B124" s="762"/>
      <c r="C124" s="762"/>
      <c r="D124" s="762"/>
      <c r="E124" s="762"/>
      <c r="F124" s="762"/>
      <c r="G124" s="762"/>
      <c r="H124" s="762"/>
      <c r="I124" s="762"/>
      <c r="J124" s="762"/>
      <c r="K124" s="763"/>
    </row>
    <row r="125" spans="2:11" x14ac:dyDescent="0.2">
      <c r="B125" s="296"/>
      <c r="C125" s="296"/>
      <c r="D125" s="296"/>
      <c r="E125" s="296"/>
      <c r="F125" s="296"/>
      <c r="G125" s="296"/>
      <c r="H125" s="296"/>
      <c r="I125" s="296"/>
      <c r="J125" s="296"/>
      <c r="K125" s="297"/>
    </row>
    <row r="126" spans="2:11" x14ac:dyDescent="0.2">
      <c r="B126" s="296"/>
      <c r="C126" s="296"/>
      <c r="D126" s="764" t="s">
        <v>503</v>
      </c>
      <c r="E126" s="765"/>
      <c r="F126" s="765"/>
      <c r="G126" s="765"/>
      <c r="H126" s="765"/>
      <c r="I126" s="765"/>
      <c r="J126" s="765"/>
      <c r="K126" s="766"/>
    </row>
    <row r="127" spans="2:11" x14ac:dyDescent="0.2">
      <c r="B127" s="298"/>
      <c r="C127" s="299" t="s">
        <v>504</v>
      </c>
      <c r="D127" s="743" t="s">
        <v>505</v>
      </c>
      <c r="E127" s="744"/>
      <c r="F127" s="743" t="s">
        <v>506</v>
      </c>
      <c r="G127" s="744"/>
      <c r="H127" s="743" t="s">
        <v>507</v>
      </c>
      <c r="I127" s="744"/>
      <c r="J127" s="743" t="s">
        <v>508</v>
      </c>
      <c r="K127" s="767"/>
    </row>
    <row r="128" spans="2:11" x14ac:dyDescent="0.2">
      <c r="B128" s="725" t="s">
        <v>259</v>
      </c>
      <c r="C128" s="300" t="s">
        <v>509</v>
      </c>
      <c r="D128" s="728" t="s">
        <v>510</v>
      </c>
      <c r="E128" s="729"/>
      <c r="F128" s="728" t="s">
        <v>511</v>
      </c>
      <c r="G128" s="729"/>
      <c r="H128" s="728" t="s">
        <v>512</v>
      </c>
      <c r="I128" s="729"/>
      <c r="J128" s="728" t="s">
        <v>513</v>
      </c>
      <c r="K128" s="734"/>
    </row>
    <row r="129" spans="2:11" x14ac:dyDescent="0.2">
      <c r="B129" s="726"/>
      <c r="C129" s="301" t="s">
        <v>514</v>
      </c>
      <c r="D129" s="723" t="s">
        <v>515</v>
      </c>
      <c r="E129" s="724"/>
      <c r="F129" s="723" t="s">
        <v>516</v>
      </c>
      <c r="G129" s="724"/>
      <c r="H129" s="723" t="s">
        <v>517</v>
      </c>
      <c r="I129" s="724"/>
      <c r="J129" s="723" t="s">
        <v>518</v>
      </c>
      <c r="K129" s="730"/>
    </row>
    <row r="130" spans="2:11" x14ac:dyDescent="0.2">
      <c r="B130" s="726"/>
      <c r="C130" s="301" t="s">
        <v>519</v>
      </c>
      <c r="D130" s="723" t="s">
        <v>520</v>
      </c>
      <c r="E130" s="724"/>
      <c r="F130" s="723" t="s">
        <v>521</v>
      </c>
      <c r="G130" s="724"/>
      <c r="H130" s="723" t="s">
        <v>522</v>
      </c>
      <c r="I130" s="724"/>
      <c r="J130" s="723" t="s">
        <v>523</v>
      </c>
      <c r="K130" s="730"/>
    </row>
    <row r="131" spans="2:11" x14ac:dyDescent="0.2">
      <c r="B131" s="726"/>
      <c r="C131" s="301" t="s">
        <v>524</v>
      </c>
      <c r="D131" s="723" t="s">
        <v>525</v>
      </c>
      <c r="E131" s="724"/>
      <c r="F131" s="723" t="s">
        <v>526</v>
      </c>
      <c r="G131" s="724"/>
      <c r="H131" s="723" t="s">
        <v>527</v>
      </c>
      <c r="I131" s="724"/>
      <c r="J131" s="723" t="s">
        <v>528</v>
      </c>
      <c r="K131" s="730"/>
    </row>
    <row r="132" spans="2:11" x14ac:dyDescent="0.2">
      <c r="B132" s="727"/>
      <c r="C132" s="302" t="s">
        <v>529</v>
      </c>
      <c r="D132" s="731" t="s">
        <v>530</v>
      </c>
      <c r="E132" s="732"/>
      <c r="F132" s="731" t="s">
        <v>531</v>
      </c>
      <c r="G132" s="732"/>
      <c r="H132" s="731" t="s">
        <v>532</v>
      </c>
      <c r="I132" s="732"/>
      <c r="J132" s="731" t="s">
        <v>533</v>
      </c>
      <c r="K132" s="733"/>
    </row>
    <row r="133" spans="2:11" x14ac:dyDescent="0.2">
      <c r="B133" s="725" t="s">
        <v>260</v>
      </c>
      <c r="C133" s="300" t="s">
        <v>509</v>
      </c>
      <c r="D133" s="728" t="s">
        <v>534</v>
      </c>
      <c r="E133" s="729"/>
      <c r="F133" s="728" t="s">
        <v>535</v>
      </c>
      <c r="G133" s="729"/>
      <c r="H133" s="728" t="s">
        <v>536</v>
      </c>
      <c r="I133" s="729"/>
      <c r="J133" s="728" t="s">
        <v>537</v>
      </c>
      <c r="K133" s="734"/>
    </row>
    <row r="134" spans="2:11" x14ac:dyDescent="0.2">
      <c r="B134" s="726"/>
      <c r="C134" s="301" t="s">
        <v>514</v>
      </c>
      <c r="D134" s="723" t="s">
        <v>538</v>
      </c>
      <c r="E134" s="724"/>
      <c r="F134" s="723" t="s">
        <v>539</v>
      </c>
      <c r="G134" s="724"/>
      <c r="H134" s="723" t="s">
        <v>540</v>
      </c>
      <c r="I134" s="724"/>
      <c r="J134" s="723" t="s">
        <v>541</v>
      </c>
      <c r="K134" s="730"/>
    </row>
    <row r="135" spans="2:11" x14ac:dyDescent="0.2">
      <c r="B135" s="726"/>
      <c r="C135" s="301" t="s">
        <v>519</v>
      </c>
      <c r="D135" s="723" t="s">
        <v>542</v>
      </c>
      <c r="E135" s="724"/>
      <c r="F135" s="723" t="s">
        <v>543</v>
      </c>
      <c r="G135" s="724"/>
      <c r="H135" s="723" t="s">
        <v>544</v>
      </c>
      <c r="I135" s="724"/>
      <c r="J135" s="723" t="s">
        <v>545</v>
      </c>
      <c r="K135" s="730"/>
    </row>
    <row r="136" spans="2:11" x14ac:dyDescent="0.2">
      <c r="B136" s="726"/>
      <c r="C136" s="301" t="s">
        <v>524</v>
      </c>
      <c r="D136" s="723" t="s">
        <v>546</v>
      </c>
      <c r="E136" s="724"/>
      <c r="F136" s="723" t="s">
        <v>547</v>
      </c>
      <c r="G136" s="724"/>
      <c r="H136" s="723" t="s">
        <v>548</v>
      </c>
      <c r="I136" s="724"/>
      <c r="J136" s="723" t="s">
        <v>549</v>
      </c>
      <c r="K136" s="730"/>
    </row>
    <row r="137" spans="2:11" x14ac:dyDescent="0.2">
      <c r="B137" s="727"/>
      <c r="C137" s="302" t="s">
        <v>529</v>
      </c>
      <c r="D137" s="731" t="s">
        <v>550</v>
      </c>
      <c r="E137" s="732"/>
      <c r="F137" s="731" t="s">
        <v>551</v>
      </c>
      <c r="G137" s="732"/>
      <c r="H137" s="731" t="s">
        <v>552</v>
      </c>
      <c r="I137" s="732"/>
      <c r="J137" s="731" t="s">
        <v>553</v>
      </c>
      <c r="K137" s="733"/>
    </row>
    <row r="138" spans="2:11" x14ac:dyDescent="0.2">
      <c r="B138" s="303"/>
      <c r="C138" s="304"/>
      <c r="D138" s="304"/>
      <c r="E138" s="304"/>
      <c r="F138" s="304"/>
      <c r="G138" s="304"/>
      <c r="H138" s="304"/>
      <c r="I138" s="304"/>
      <c r="J138" s="304"/>
      <c r="K138" s="304"/>
    </row>
    <row r="139" spans="2:11" ht="16" x14ac:dyDescent="0.2">
      <c r="B139" s="722" t="s">
        <v>40</v>
      </c>
      <c r="C139" s="722"/>
      <c r="D139" s="722"/>
      <c r="E139" s="722"/>
      <c r="F139" s="722"/>
      <c r="G139" s="722"/>
      <c r="H139" s="722"/>
      <c r="I139" s="722"/>
    </row>
    <row r="140" spans="2:11" x14ac:dyDescent="0.2">
      <c r="B140" s="714" t="s">
        <v>260</v>
      </c>
      <c r="C140" s="715"/>
      <c r="D140" s="715"/>
      <c r="E140" s="716"/>
      <c r="F140" s="717" t="s">
        <v>259</v>
      </c>
      <c r="G140" s="718"/>
      <c r="H140" s="718"/>
      <c r="I140" s="719"/>
    </row>
    <row r="141" spans="2:11" x14ac:dyDescent="0.2">
      <c r="B141" s="315" t="s">
        <v>555</v>
      </c>
      <c r="C141" s="313" t="s">
        <v>556</v>
      </c>
      <c r="D141" s="314" t="s">
        <v>557</v>
      </c>
      <c r="E141" s="313" t="s">
        <v>558</v>
      </c>
      <c r="F141" s="315" t="s">
        <v>555</v>
      </c>
      <c r="G141" s="313" t="s">
        <v>556</v>
      </c>
      <c r="H141" s="314" t="s">
        <v>557</v>
      </c>
      <c r="I141" s="313" t="s">
        <v>558</v>
      </c>
    </row>
    <row r="142" spans="2:11" ht="26" x14ac:dyDescent="0.2">
      <c r="B142" s="305" t="s">
        <v>559</v>
      </c>
      <c r="C142" s="311">
        <v>2.1</v>
      </c>
      <c r="D142" s="306">
        <v>3.2</v>
      </c>
      <c r="E142" s="311">
        <v>3.5</v>
      </c>
      <c r="F142" s="305" t="s">
        <v>560</v>
      </c>
      <c r="G142" s="311">
        <v>1.8</v>
      </c>
      <c r="H142" s="306">
        <v>4.3</v>
      </c>
      <c r="I142" s="311">
        <v>3.4</v>
      </c>
    </row>
    <row r="143" spans="2:11" ht="26" x14ac:dyDescent="0.2">
      <c r="B143" s="305" t="s">
        <v>561</v>
      </c>
      <c r="C143" s="311">
        <v>2</v>
      </c>
      <c r="D143" s="306">
        <v>3.3</v>
      </c>
      <c r="E143" s="311">
        <v>3.9</v>
      </c>
      <c r="F143" s="305" t="s">
        <v>562</v>
      </c>
      <c r="G143" s="311">
        <v>1.6</v>
      </c>
      <c r="H143" s="306">
        <v>4.5</v>
      </c>
      <c r="I143" s="311">
        <v>3.4</v>
      </c>
    </row>
    <row r="144" spans="2:11" ht="26" x14ac:dyDescent="0.2">
      <c r="B144" s="305" t="s">
        <v>563</v>
      </c>
      <c r="C144" s="311">
        <v>2.6</v>
      </c>
      <c r="D144" s="306">
        <v>3.1</v>
      </c>
      <c r="E144" s="311">
        <v>3.5</v>
      </c>
      <c r="F144" s="305" t="s">
        <v>564</v>
      </c>
      <c r="G144" s="311">
        <v>1.5</v>
      </c>
      <c r="H144" s="306">
        <v>4.0999999999999996</v>
      </c>
      <c r="I144" s="311">
        <v>3.7</v>
      </c>
    </row>
    <row r="145" spans="2:9" ht="26" x14ac:dyDescent="0.2">
      <c r="B145" s="305" t="s">
        <v>565</v>
      </c>
      <c r="C145" s="311">
        <v>2.5</v>
      </c>
      <c r="D145" s="306">
        <v>3.5</v>
      </c>
      <c r="E145" s="311">
        <v>3.5</v>
      </c>
      <c r="F145" s="305" t="s">
        <v>566</v>
      </c>
      <c r="G145" s="311">
        <v>4.4000000000000004</v>
      </c>
      <c r="H145" s="306">
        <v>7.2</v>
      </c>
      <c r="I145" s="311">
        <v>0.5</v>
      </c>
    </row>
    <row r="146" spans="2:9" ht="26" x14ac:dyDescent="0.2">
      <c r="B146" s="305" t="s">
        <v>567</v>
      </c>
      <c r="C146" s="311">
        <v>2.2999999999999998</v>
      </c>
      <c r="D146" s="306">
        <v>2.2000000000000002</v>
      </c>
      <c r="E146" s="311">
        <v>4.5999999999999996</v>
      </c>
      <c r="F146" s="305" t="s">
        <v>561</v>
      </c>
      <c r="G146" s="311">
        <v>1.7</v>
      </c>
      <c r="H146" s="306">
        <v>4.2</v>
      </c>
      <c r="I146" s="311">
        <v>3.6</v>
      </c>
    </row>
    <row r="147" spans="2:9" ht="39" x14ac:dyDescent="0.2">
      <c r="B147" s="305" t="s">
        <v>568</v>
      </c>
      <c r="C147" s="311">
        <v>2.2999999999999998</v>
      </c>
      <c r="D147" s="306">
        <v>3.8</v>
      </c>
      <c r="E147" s="311">
        <v>3.1</v>
      </c>
      <c r="F147" s="305" t="s">
        <v>569</v>
      </c>
      <c r="G147" s="311">
        <v>1.6</v>
      </c>
      <c r="H147" s="306">
        <v>3.7</v>
      </c>
      <c r="I147" s="311">
        <v>3.7</v>
      </c>
    </row>
    <row r="148" spans="2:9" ht="26" x14ac:dyDescent="0.2">
      <c r="B148" s="305" t="s">
        <v>570</v>
      </c>
      <c r="C148" s="311">
        <v>2.4</v>
      </c>
      <c r="D148" s="306">
        <v>3.3</v>
      </c>
      <c r="E148" s="311">
        <v>3.3</v>
      </c>
      <c r="F148" s="305" t="s">
        <v>571</v>
      </c>
      <c r="G148" s="311">
        <v>1.8</v>
      </c>
      <c r="H148" s="306">
        <v>4.0999999999999996</v>
      </c>
      <c r="I148" s="311">
        <v>3.6</v>
      </c>
    </row>
    <row r="149" spans="2:9" ht="26" x14ac:dyDescent="0.2">
      <c r="B149" s="307" t="s">
        <v>325</v>
      </c>
      <c r="C149" s="312">
        <v>3.7</v>
      </c>
      <c r="D149" s="308">
        <v>4</v>
      </c>
      <c r="E149" s="312">
        <v>2.9</v>
      </c>
      <c r="F149" s="305" t="s">
        <v>565</v>
      </c>
      <c r="G149" s="311">
        <v>2.1</v>
      </c>
      <c r="H149" s="306">
        <v>5.3</v>
      </c>
      <c r="I149" s="311">
        <v>2.4</v>
      </c>
    </row>
    <row r="150" spans="2:9" x14ac:dyDescent="0.2">
      <c r="B150" s="309" t="s">
        <v>572</v>
      </c>
      <c r="C150" s="312">
        <v>4.0999999999999996</v>
      </c>
      <c r="D150" s="308">
        <v>4.4000000000000004</v>
      </c>
      <c r="E150" s="312">
        <v>2.5</v>
      </c>
      <c r="F150" s="305" t="s">
        <v>567</v>
      </c>
      <c r="G150" s="311">
        <v>1.6</v>
      </c>
      <c r="H150" s="306">
        <v>3.7</v>
      </c>
      <c r="I150" s="311">
        <v>4.2</v>
      </c>
    </row>
    <row r="151" spans="2:9" ht="26" x14ac:dyDescent="0.2">
      <c r="B151" s="309" t="s">
        <v>573</v>
      </c>
      <c r="C151" s="312">
        <v>4.9000000000000004</v>
      </c>
      <c r="D151" s="308">
        <v>4.4000000000000004</v>
      </c>
      <c r="E151" s="312">
        <v>2</v>
      </c>
      <c r="F151" s="305" t="s">
        <v>574</v>
      </c>
      <c r="G151" s="311">
        <v>1.7</v>
      </c>
      <c r="H151" s="306">
        <v>4.8</v>
      </c>
      <c r="I151" s="311">
        <v>3</v>
      </c>
    </row>
    <row r="152" spans="2:9" ht="26" x14ac:dyDescent="0.2">
      <c r="B152" s="305" t="s">
        <v>575</v>
      </c>
      <c r="C152" s="311">
        <v>3</v>
      </c>
      <c r="D152" s="306">
        <v>3.4</v>
      </c>
      <c r="E152" s="311">
        <v>3.5</v>
      </c>
      <c r="F152" s="305" t="s">
        <v>568</v>
      </c>
      <c r="G152" s="311">
        <v>1.7</v>
      </c>
      <c r="H152" s="306">
        <v>4.3</v>
      </c>
      <c r="I152" s="311">
        <v>3.5</v>
      </c>
    </row>
    <row r="153" spans="2:9" ht="26" x14ac:dyDescent="0.2">
      <c r="B153" s="309" t="s">
        <v>330</v>
      </c>
      <c r="C153" s="312">
        <v>4.2</v>
      </c>
      <c r="D153" s="308">
        <v>4.5999999999999996</v>
      </c>
      <c r="E153" s="312">
        <v>2.2000000000000002</v>
      </c>
      <c r="F153" s="305" t="s">
        <v>576</v>
      </c>
      <c r="G153" s="311">
        <v>1.7</v>
      </c>
      <c r="H153" s="306">
        <v>4.5</v>
      </c>
      <c r="I153" s="311">
        <v>3.2</v>
      </c>
    </row>
    <row r="154" spans="2:9" ht="26" x14ac:dyDescent="0.2">
      <c r="B154" s="305" t="s">
        <v>577</v>
      </c>
      <c r="C154" s="311">
        <v>1.9</v>
      </c>
      <c r="D154" s="306">
        <v>4.5999999999999996</v>
      </c>
      <c r="E154" s="311">
        <v>2.9</v>
      </c>
      <c r="F154" s="305" t="s">
        <v>578</v>
      </c>
      <c r="G154" s="311">
        <v>1.8</v>
      </c>
      <c r="H154" s="306">
        <v>5.2</v>
      </c>
      <c r="I154" s="311">
        <v>2.7</v>
      </c>
    </row>
    <row r="155" spans="2:9" ht="26" x14ac:dyDescent="0.2">
      <c r="B155" s="305" t="s">
        <v>579</v>
      </c>
      <c r="C155" s="311">
        <v>1.9</v>
      </c>
      <c r="D155" s="306">
        <v>2.4</v>
      </c>
      <c r="E155" s="311">
        <v>5</v>
      </c>
      <c r="F155" s="305" t="s">
        <v>580</v>
      </c>
      <c r="G155" s="311">
        <v>2.8</v>
      </c>
      <c r="H155" s="306">
        <v>3.9</v>
      </c>
      <c r="I155" s="311">
        <v>3.7</v>
      </c>
    </row>
    <row r="156" spans="2:9" x14ac:dyDescent="0.2">
      <c r="B156" s="309" t="s">
        <v>581</v>
      </c>
      <c r="C156" s="312">
        <v>3.7</v>
      </c>
      <c r="D156" s="308">
        <v>4.5</v>
      </c>
      <c r="E156" s="312">
        <v>2.2000000000000002</v>
      </c>
      <c r="F156" s="305" t="s">
        <v>582</v>
      </c>
      <c r="G156" s="311">
        <v>2.2000000000000002</v>
      </c>
      <c r="H156" s="306">
        <v>4.7</v>
      </c>
      <c r="I156" s="311">
        <v>3.3</v>
      </c>
    </row>
    <row r="157" spans="2:9" x14ac:dyDescent="0.2">
      <c r="B157" s="305" t="s">
        <v>583</v>
      </c>
      <c r="C157" s="311">
        <v>3.3</v>
      </c>
      <c r="D157" s="306">
        <v>4.4000000000000004</v>
      </c>
      <c r="E157" s="311">
        <v>2.2999999999999998</v>
      </c>
      <c r="F157" s="305" t="s">
        <v>584</v>
      </c>
      <c r="G157" s="311">
        <v>2.4</v>
      </c>
      <c r="H157" s="306">
        <v>5</v>
      </c>
      <c r="I157" s="311">
        <v>3</v>
      </c>
    </row>
    <row r="158" spans="2:9" x14ac:dyDescent="0.2">
      <c r="B158" s="305" t="s">
        <v>585</v>
      </c>
      <c r="C158" s="311">
        <v>3.5</v>
      </c>
      <c r="D158" s="306">
        <v>5</v>
      </c>
      <c r="E158" s="311">
        <v>1.9</v>
      </c>
      <c r="F158" s="305" t="s">
        <v>586</v>
      </c>
      <c r="G158" s="311">
        <v>2.1</v>
      </c>
      <c r="H158" s="306">
        <v>4.4000000000000004</v>
      </c>
      <c r="I158" s="311">
        <v>3.5</v>
      </c>
    </row>
    <row r="159" spans="2:9" x14ac:dyDescent="0.2">
      <c r="B159" s="305" t="s">
        <v>587</v>
      </c>
      <c r="C159" s="311">
        <v>3.8</v>
      </c>
      <c r="D159" s="306">
        <v>5.2</v>
      </c>
      <c r="E159" s="311">
        <v>1.6</v>
      </c>
      <c r="F159" s="305" t="s">
        <v>588</v>
      </c>
      <c r="G159" s="311">
        <v>1.9</v>
      </c>
      <c r="H159" s="306">
        <v>4.7</v>
      </c>
      <c r="I159" s="311">
        <v>2.9</v>
      </c>
    </row>
    <row r="160" spans="2:9" x14ac:dyDescent="0.2">
      <c r="B160" s="309" t="s">
        <v>589</v>
      </c>
      <c r="C160" s="312">
        <v>4.0999999999999996</v>
      </c>
      <c r="D160" s="308">
        <v>4.5</v>
      </c>
      <c r="E160" s="312">
        <v>2.4</v>
      </c>
      <c r="F160" s="307" t="s">
        <v>590</v>
      </c>
      <c r="G160" s="316">
        <v>2.1</v>
      </c>
      <c r="H160" s="310">
        <v>5.7</v>
      </c>
      <c r="I160" s="312">
        <v>2.5</v>
      </c>
    </row>
    <row r="161" spans="2:9" x14ac:dyDescent="0.2">
      <c r="B161" s="305" t="s">
        <v>591</v>
      </c>
      <c r="C161" s="311">
        <v>3.5</v>
      </c>
      <c r="D161" s="306">
        <v>3.8</v>
      </c>
      <c r="E161" s="311">
        <v>3</v>
      </c>
      <c r="F161" s="305" t="s">
        <v>592</v>
      </c>
      <c r="G161" s="311">
        <v>2.2000000000000002</v>
      </c>
      <c r="H161" s="306">
        <v>5.2</v>
      </c>
      <c r="I161" s="311">
        <v>2.5</v>
      </c>
    </row>
    <row r="162" spans="2:9" x14ac:dyDescent="0.2">
      <c r="B162" s="309" t="s">
        <v>593</v>
      </c>
      <c r="C162" s="312">
        <v>2.5</v>
      </c>
      <c r="D162" s="308">
        <v>3.7</v>
      </c>
      <c r="E162" s="312">
        <v>3.1</v>
      </c>
      <c r="F162" s="305" t="s">
        <v>594</v>
      </c>
      <c r="G162" s="311">
        <v>2.1</v>
      </c>
      <c r="H162" s="306">
        <v>4.9000000000000004</v>
      </c>
      <c r="I162" s="311">
        <v>2.7</v>
      </c>
    </row>
    <row r="163" spans="2:9" x14ac:dyDescent="0.2">
      <c r="B163" s="309" t="s">
        <v>595</v>
      </c>
      <c r="C163" s="312">
        <v>2.6</v>
      </c>
      <c r="D163" s="308">
        <v>3.5</v>
      </c>
      <c r="E163" s="312">
        <v>3.6</v>
      </c>
      <c r="F163" s="305" t="s">
        <v>596</v>
      </c>
      <c r="G163" s="311">
        <v>2.5</v>
      </c>
      <c r="H163" s="306">
        <v>5</v>
      </c>
      <c r="I163" s="311">
        <v>2.5</v>
      </c>
    </row>
    <row r="164" spans="2:9" x14ac:dyDescent="0.2">
      <c r="B164" s="309" t="s">
        <v>597</v>
      </c>
      <c r="C164" s="312">
        <v>2.9</v>
      </c>
      <c r="D164" s="308">
        <v>3.7</v>
      </c>
      <c r="E164" s="312">
        <v>3.2</v>
      </c>
      <c r="F164" s="305" t="s">
        <v>598</v>
      </c>
      <c r="G164" s="311">
        <v>2.5</v>
      </c>
      <c r="H164" s="306">
        <v>5.2</v>
      </c>
      <c r="I164" s="311">
        <v>2.4</v>
      </c>
    </row>
    <row r="165" spans="2:9" x14ac:dyDescent="0.2">
      <c r="B165" s="309" t="s">
        <v>599</v>
      </c>
      <c r="C165" s="312">
        <v>2.8</v>
      </c>
      <c r="D165" s="308">
        <v>3.7</v>
      </c>
      <c r="E165" s="312">
        <v>3.2</v>
      </c>
      <c r="F165" s="307" t="s">
        <v>600</v>
      </c>
      <c r="G165" s="316">
        <v>1.9</v>
      </c>
      <c r="H165" s="310">
        <v>6.1</v>
      </c>
      <c r="I165" s="312">
        <v>2.5</v>
      </c>
    </row>
    <row r="166" spans="2:9" x14ac:dyDescent="0.2">
      <c r="B166" s="309" t="s">
        <v>601</v>
      </c>
      <c r="C166" s="312">
        <v>2.4</v>
      </c>
      <c r="D166" s="308">
        <v>3.8</v>
      </c>
      <c r="E166" s="312">
        <v>3</v>
      </c>
      <c r="F166" s="307" t="s">
        <v>602</v>
      </c>
      <c r="G166" s="316">
        <v>2.4</v>
      </c>
      <c r="H166" s="310">
        <v>5.4</v>
      </c>
      <c r="I166" s="312">
        <v>2.6</v>
      </c>
    </row>
    <row r="167" spans="2:9" x14ac:dyDescent="0.2">
      <c r="B167" s="309" t="s">
        <v>603</v>
      </c>
      <c r="C167" s="312">
        <v>3</v>
      </c>
      <c r="D167" s="308">
        <v>4.2</v>
      </c>
      <c r="E167" s="312">
        <v>2.8</v>
      </c>
      <c r="F167" s="305" t="s">
        <v>604</v>
      </c>
      <c r="G167" s="311">
        <v>2.1</v>
      </c>
      <c r="H167" s="306">
        <v>5.9</v>
      </c>
      <c r="I167" s="311">
        <v>1.9</v>
      </c>
    </row>
    <row r="168" spans="2:9" x14ac:dyDescent="0.2">
      <c r="B168" s="309" t="s">
        <v>605</v>
      </c>
      <c r="C168" s="312">
        <v>2.8</v>
      </c>
      <c r="D168" s="308">
        <v>3.9</v>
      </c>
      <c r="E168" s="312">
        <v>3.1</v>
      </c>
      <c r="F168" s="305" t="s">
        <v>606</v>
      </c>
      <c r="G168" s="311">
        <v>2.2999999999999998</v>
      </c>
      <c r="H168" s="306">
        <v>6.7</v>
      </c>
      <c r="I168" s="311">
        <v>1.6</v>
      </c>
    </row>
    <row r="169" spans="2:9" x14ac:dyDescent="0.2">
      <c r="B169" s="309" t="s">
        <v>607</v>
      </c>
      <c r="C169" s="312">
        <v>2.9</v>
      </c>
      <c r="D169" s="308">
        <v>3.7</v>
      </c>
      <c r="E169" s="312">
        <v>3</v>
      </c>
      <c r="F169" s="305" t="s">
        <v>608</v>
      </c>
      <c r="G169" s="311">
        <v>2.5</v>
      </c>
      <c r="H169" s="306">
        <v>6.3</v>
      </c>
      <c r="I169" s="311">
        <v>1.9</v>
      </c>
    </row>
    <row r="170" spans="2:9" x14ac:dyDescent="0.2">
      <c r="B170" s="309" t="s">
        <v>609</v>
      </c>
      <c r="C170" s="312">
        <v>2.9</v>
      </c>
      <c r="D170" s="308">
        <v>4.3</v>
      </c>
      <c r="E170" s="312">
        <v>2.8</v>
      </c>
      <c r="F170" s="307" t="s">
        <v>610</v>
      </c>
      <c r="G170" s="316">
        <v>2.7</v>
      </c>
      <c r="H170" s="310">
        <v>7.9</v>
      </c>
      <c r="I170" s="312">
        <v>0.6</v>
      </c>
    </row>
    <row r="171" spans="2:9" x14ac:dyDescent="0.2">
      <c r="B171" s="309" t="s">
        <v>611</v>
      </c>
      <c r="C171" s="312">
        <v>2.6</v>
      </c>
      <c r="D171" s="308">
        <v>3.9</v>
      </c>
      <c r="E171" s="312">
        <v>3.3</v>
      </c>
      <c r="F171" s="309" t="s">
        <v>612</v>
      </c>
      <c r="G171" s="312">
        <v>2</v>
      </c>
      <c r="H171" s="308">
        <v>6.5</v>
      </c>
      <c r="I171" s="312">
        <v>1.5</v>
      </c>
    </row>
    <row r="172" spans="2:9" x14ac:dyDescent="0.2">
      <c r="B172" s="309" t="s">
        <v>613</v>
      </c>
      <c r="C172" s="312">
        <v>4.4000000000000004</v>
      </c>
      <c r="D172" s="308">
        <v>4.7</v>
      </c>
      <c r="E172" s="312">
        <v>1.7</v>
      </c>
      <c r="F172" s="309" t="s">
        <v>614</v>
      </c>
      <c r="G172" s="312">
        <v>1.8</v>
      </c>
      <c r="H172" s="308">
        <v>6.8</v>
      </c>
      <c r="I172" s="312">
        <v>1.4</v>
      </c>
    </row>
    <row r="173" spans="2:9" x14ac:dyDescent="0.2">
      <c r="B173" s="309" t="s">
        <v>615</v>
      </c>
      <c r="C173" s="312">
        <v>3</v>
      </c>
      <c r="D173" s="308">
        <v>3.8</v>
      </c>
      <c r="E173" s="312">
        <v>3.3</v>
      </c>
      <c r="F173" s="305" t="s">
        <v>591</v>
      </c>
      <c r="G173" s="311">
        <v>2.2999999999999998</v>
      </c>
      <c r="H173" s="306">
        <v>4.9000000000000004</v>
      </c>
      <c r="I173" s="311">
        <v>3</v>
      </c>
    </row>
    <row r="174" spans="2:9" x14ac:dyDescent="0.2">
      <c r="B174" s="309" t="s">
        <v>616</v>
      </c>
      <c r="C174" s="312">
        <v>0</v>
      </c>
      <c r="D174" s="308">
        <v>0</v>
      </c>
      <c r="E174" s="312">
        <v>0</v>
      </c>
      <c r="F174" s="309" t="s">
        <v>593</v>
      </c>
      <c r="G174" s="312">
        <v>1.9</v>
      </c>
      <c r="H174" s="308">
        <v>4.3</v>
      </c>
      <c r="I174" s="312">
        <v>3.5</v>
      </c>
    </row>
    <row r="175" spans="2:9" x14ac:dyDescent="0.2">
      <c r="B175" s="305" t="s">
        <v>617</v>
      </c>
      <c r="C175" s="311">
        <v>2.7</v>
      </c>
      <c r="D175" s="306">
        <v>5.2</v>
      </c>
      <c r="E175" s="311">
        <v>2</v>
      </c>
      <c r="F175" s="309" t="s">
        <v>595</v>
      </c>
      <c r="G175" s="312">
        <v>1.8</v>
      </c>
      <c r="H175" s="308">
        <v>5.2</v>
      </c>
      <c r="I175" s="312">
        <v>3.1</v>
      </c>
    </row>
    <row r="176" spans="2:9" x14ac:dyDescent="0.2">
      <c r="B176" s="309" t="s">
        <v>618</v>
      </c>
      <c r="C176" s="312">
        <v>3.8</v>
      </c>
      <c r="D176" s="308">
        <v>4.3</v>
      </c>
      <c r="E176" s="312">
        <v>2.7</v>
      </c>
      <c r="F176" s="309" t="s">
        <v>619</v>
      </c>
      <c r="G176" s="312">
        <v>2.5</v>
      </c>
      <c r="H176" s="308">
        <v>5.3</v>
      </c>
      <c r="I176" s="312">
        <v>2.2999999999999998</v>
      </c>
    </row>
    <row r="177" spans="2:9" x14ac:dyDescent="0.2">
      <c r="B177" s="309" t="s">
        <v>620</v>
      </c>
      <c r="C177" s="312">
        <v>3.4</v>
      </c>
      <c r="D177" s="308">
        <v>4</v>
      </c>
      <c r="E177" s="312">
        <v>2.8</v>
      </c>
      <c r="F177" s="309" t="s">
        <v>621</v>
      </c>
      <c r="G177" s="312">
        <v>1.5</v>
      </c>
      <c r="H177" s="308">
        <v>4.8</v>
      </c>
      <c r="I177" s="312">
        <v>3.4</v>
      </c>
    </row>
    <row r="178" spans="2:9" x14ac:dyDescent="0.2">
      <c r="B178" s="305" t="s">
        <v>622</v>
      </c>
      <c r="C178" s="311">
        <v>4.9000000000000004</v>
      </c>
      <c r="D178" s="306">
        <v>4.3</v>
      </c>
      <c r="E178" s="311">
        <v>2.4</v>
      </c>
      <c r="F178" s="309" t="s">
        <v>623</v>
      </c>
      <c r="G178" s="312">
        <v>1.9</v>
      </c>
      <c r="H178" s="308">
        <v>4.7</v>
      </c>
      <c r="I178" s="312">
        <v>3.1</v>
      </c>
    </row>
    <row r="179" spans="2:9" x14ac:dyDescent="0.2">
      <c r="B179" s="305" t="s">
        <v>624</v>
      </c>
      <c r="C179" s="311">
        <v>2.6</v>
      </c>
      <c r="D179" s="306">
        <v>3.8</v>
      </c>
      <c r="E179" s="311">
        <v>3</v>
      </c>
      <c r="F179" s="309" t="s">
        <v>625</v>
      </c>
      <c r="G179" s="312">
        <v>1.7</v>
      </c>
      <c r="H179" s="308">
        <v>4.9000000000000004</v>
      </c>
      <c r="I179" s="312">
        <v>3.2</v>
      </c>
    </row>
    <row r="180" spans="2:9" x14ac:dyDescent="0.2">
      <c r="B180" s="309" t="s">
        <v>626</v>
      </c>
      <c r="C180" s="312">
        <v>3</v>
      </c>
      <c r="D180" s="308">
        <v>3.5</v>
      </c>
      <c r="E180" s="312">
        <v>3.5</v>
      </c>
      <c r="F180" s="309" t="s">
        <v>603</v>
      </c>
      <c r="G180" s="312">
        <v>2</v>
      </c>
      <c r="H180" s="308">
        <v>5.2</v>
      </c>
      <c r="I180" s="312">
        <v>2.5</v>
      </c>
    </row>
    <row r="181" spans="2:9" x14ac:dyDescent="0.2">
      <c r="B181" s="309"/>
      <c r="C181" s="309"/>
      <c r="D181" s="309"/>
      <c r="E181" s="309"/>
      <c r="F181" s="309" t="s">
        <v>605</v>
      </c>
      <c r="G181" s="312">
        <v>2.1</v>
      </c>
      <c r="H181" s="308">
        <v>5.5</v>
      </c>
      <c r="I181" s="312">
        <v>2.5</v>
      </c>
    </row>
    <row r="182" spans="2:9" x14ac:dyDescent="0.2">
      <c r="B182" s="309"/>
      <c r="C182" s="309"/>
      <c r="D182" s="309"/>
      <c r="E182" s="309"/>
      <c r="F182" s="309" t="s">
        <v>609</v>
      </c>
      <c r="G182" s="312">
        <v>2.1</v>
      </c>
      <c r="H182" s="308">
        <v>5.7</v>
      </c>
      <c r="I182" s="312">
        <v>2.6</v>
      </c>
    </row>
    <row r="183" spans="2:9" x14ac:dyDescent="0.2">
      <c r="B183" s="309"/>
      <c r="C183" s="309"/>
      <c r="D183" s="309"/>
      <c r="E183" s="309"/>
      <c r="F183" s="309" t="s">
        <v>627</v>
      </c>
      <c r="G183" s="312">
        <v>1.8</v>
      </c>
      <c r="H183" s="308">
        <v>5.0999999999999996</v>
      </c>
      <c r="I183" s="312">
        <v>2.9</v>
      </c>
    </row>
    <row r="184" spans="2:9" x14ac:dyDescent="0.2">
      <c r="B184" s="309"/>
      <c r="C184" s="309"/>
      <c r="D184" s="309"/>
      <c r="E184" s="309"/>
      <c r="F184" s="309" t="s">
        <v>616</v>
      </c>
      <c r="G184" s="312">
        <v>0</v>
      </c>
      <c r="H184" s="308">
        <v>0</v>
      </c>
      <c r="I184" s="312">
        <v>0</v>
      </c>
    </row>
    <row r="185" spans="2:9" x14ac:dyDescent="0.2">
      <c r="B185" s="309"/>
      <c r="C185" s="309"/>
      <c r="D185" s="309"/>
      <c r="E185" s="309"/>
      <c r="F185" s="305" t="s">
        <v>617</v>
      </c>
      <c r="G185" s="311">
        <v>2.2000000000000002</v>
      </c>
      <c r="H185" s="306">
        <v>6.1</v>
      </c>
      <c r="I185" s="311">
        <v>2</v>
      </c>
    </row>
    <row r="186" spans="2:9" x14ac:dyDescent="0.2">
      <c r="B186" s="309"/>
      <c r="C186" s="309"/>
      <c r="D186" s="309"/>
      <c r="E186" s="309"/>
      <c r="F186" s="305" t="s">
        <v>628</v>
      </c>
      <c r="G186" s="311">
        <v>1.9</v>
      </c>
      <c r="H186" s="306">
        <v>5.4</v>
      </c>
      <c r="I186" s="311">
        <v>2.5</v>
      </c>
    </row>
    <row r="187" spans="2:9" x14ac:dyDescent="0.2">
      <c r="B187" s="309"/>
      <c r="C187" s="309"/>
      <c r="D187" s="309"/>
      <c r="E187" s="309"/>
      <c r="F187" s="307" t="s">
        <v>629</v>
      </c>
      <c r="G187" s="316">
        <v>2</v>
      </c>
      <c r="H187" s="310">
        <v>5.2</v>
      </c>
      <c r="I187" s="312">
        <v>3</v>
      </c>
    </row>
    <row r="188" spans="2:9" x14ac:dyDescent="0.2">
      <c r="B188" s="309"/>
      <c r="C188" s="309"/>
      <c r="D188" s="309"/>
      <c r="E188" s="309"/>
      <c r="F188" s="309" t="s">
        <v>630</v>
      </c>
      <c r="G188" s="312">
        <v>2.7</v>
      </c>
      <c r="H188" s="308">
        <v>7.1</v>
      </c>
      <c r="I188" s="312">
        <v>1.2</v>
      </c>
    </row>
    <row r="189" spans="2:9" x14ac:dyDescent="0.2">
      <c r="B189" s="309"/>
      <c r="C189" s="309"/>
      <c r="D189" s="309"/>
      <c r="E189" s="309"/>
      <c r="F189" s="309" t="s">
        <v>631</v>
      </c>
      <c r="G189" s="312">
        <v>4.2</v>
      </c>
      <c r="H189" s="308">
        <v>9.4</v>
      </c>
      <c r="I189" s="312">
        <v>0.3</v>
      </c>
    </row>
    <row r="190" spans="2:9" x14ac:dyDescent="0.2">
      <c r="B190" s="309"/>
      <c r="C190" s="309"/>
      <c r="D190" s="309"/>
      <c r="E190" s="309"/>
      <c r="F190" s="309" t="s">
        <v>632</v>
      </c>
      <c r="G190" s="312">
        <v>3.9</v>
      </c>
      <c r="H190" s="308">
        <v>8.5</v>
      </c>
      <c r="I190" s="312">
        <v>1</v>
      </c>
    </row>
    <row r="191" spans="2:9" x14ac:dyDescent="0.2">
      <c r="B191" s="309"/>
      <c r="C191" s="309"/>
      <c r="D191" s="309"/>
      <c r="E191" s="309"/>
      <c r="F191" s="309" t="s">
        <v>620</v>
      </c>
      <c r="G191" s="312">
        <v>2.5</v>
      </c>
      <c r="H191" s="308">
        <v>5.2</v>
      </c>
      <c r="I191" s="312">
        <v>2.8</v>
      </c>
    </row>
    <row r="192" spans="2:9" x14ac:dyDescent="0.2">
      <c r="B192" s="309"/>
      <c r="C192" s="309"/>
      <c r="D192" s="309"/>
      <c r="E192" s="309"/>
      <c r="F192" s="305" t="s">
        <v>622</v>
      </c>
      <c r="G192" s="311">
        <v>4.9000000000000004</v>
      </c>
      <c r="H192" s="306">
        <v>5.8</v>
      </c>
      <c r="I192" s="311">
        <v>1.6</v>
      </c>
    </row>
    <row r="193" spans="2:15" x14ac:dyDescent="0.2">
      <c r="B193" s="309"/>
      <c r="C193" s="309"/>
      <c r="D193" s="309"/>
      <c r="E193" s="309"/>
      <c r="F193" s="305" t="s">
        <v>633</v>
      </c>
      <c r="G193" s="311">
        <v>2</v>
      </c>
      <c r="H193" s="306">
        <v>3.8</v>
      </c>
      <c r="I193" s="311">
        <v>3.7</v>
      </c>
    </row>
    <row r="195" spans="2:15" ht="16" x14ac:dyDescent="0.2">
      <c r="C195" s="408" t="s">
        <v>775</v>
      </c>
    </row>
    <row r="196" spans="2:15" ht="18" thickBot="1" x14ac:dyDescent="0.25">
      <c r="C196" s="409"/>
    </row>
    <row r="197" spans="2:15" ht="37" thickBot="1" x14ac:dyDescent="0.25">
      <c r="C197" s="410" t="s">
        <v>776</v>
      </c>
      <c r="D197" s="411" t="s">
        <v>777</v>
      </c>
      <c r="E197" s="412"/>
    </row>
    <row r="198" spans="2:15" ht="37" thickBot="1" x14ac:dyDescent="0.25">
      <c r="C198" s="413" t="s">
        <v>778</v>
      </c>
      <c r="D198" s="414" t="s">
        <v>779</v>
      </c>
      <c r="E198" s="415" t="s">
        <v>780</v>
      </c>
      <c r="G198" s="713" t="s">
        <v>802</v>
      </c>
      <c r="H198" s="713"/>
      <c r="I198" s="713"/>
      <c r="J198" s="713"/>
      <c r="K198" s="713"/>
      <c r="L198" s="713"/>
      <c r="M198" s="713"/>
      <c r="N198" s="713"/>
      <c r="O198" s="713"/>
    </row>
    <row r="199" spans="2:15" ht="37" thickBot="1" x14ac:dyDescent="0.25">
      <c r="C199" s="413" t="s">
        <v>782</v>
      </c>
      <c r="D199" s="414" t="s">
        <v>783</v>
      </c>
      <c r="E199" s="416" t="s">
        <v>781</v>
      </c>
      <c r="G199" s="422" t="s">
        <v>803</v>
      </c>
    </row>
    <row r="200" spans="2:15" ht="19" thickBot="1" x14ac:dyDescent="0.25">
      <c r="C200" s="413" t="s">
        <v>784</v>
      </c>
      <c r="D200" s="414" t="s">
        <v>785</v>
      </c>
      <c r="E200" s="417"/>
      <c r="G200" s="423"/>
    </row>
    <row r="201" spans="2:15" ht="17.25" customHeight="1" thickBot="1" x14ac:dyDescent="0.25">
      <c r="C201" s="413" t="s">
        <v>786</v>
      </c>
      <c r="D201" s="414" t="s">
        <v>787</v>
      </c>
      <c r="E201" s="418" t="s">
        <v>788</v>
      </c>
      <c r="G201" s="424" t="s">
        <v>804</v>
      </c>
      <c r="H201" s="707"/>
      <c r="I201" s="425" t="s">
        <v>805</v>
      </c>
      <c r="J201" s="425" t="s">
        <v>643</v>
      </c>
      <c r="K201" s="425" t="s">
        <v>823</v>
      </c>
      <c r="L201" s="710"/>
      <c r="M201" s="425" t="s">
        <v>805</v>
      </c>
      <c r="N201" s="425" t="s">
        <v>643</v>
      </c>
      <c r="O201" s="425" t="s">
        <v>823</v>
      </c>
    </row>
    <row r="202" spans="2:15" ht="19" thickBot="1" x14ac:dyDescent="0.25">
      <c r="C202" s="419"/>
      <c r="D202" s="416" t="s">
        <v>790</v>
      </c>
      <c r="E202" s="720" t="s">
        <v>792</v>
      </c>
      <c r="G202" s="426" t="s">
        <v>806</v>
      </c>
      <c r="H202" s="708"/>
      <c r="I202" s="427" t="s">
        <v>807</v>
      </c>
      <c r="J202" s="427" t="s">
        <v>808</v>
      </c>
      <c r="K202" s="427" t="s">
        <v>824</v>
      </c>
      <c r="L202" s="711"/>
      <c r="M202" s="427" t="s">
        <v>825</v>
      </c>
      <c r="N202" s="427" t="s">
        <v>826</v>
      </c>
      <c r="O202" s="427" t="s">
        <v>827</v>
      </c>
    </row>
    <row r="203" spans="2:15" ht="19" thickBot="1" x14ac:dyDescent="0.25">
      <c r="C203" s="413" t="s">
        <v>789</v>
      </c>
      <c r="D203" s="414" t="s">
        <v>791</v>
      </c>
      <c r="E203" s="721"/>
      <c r="G203" s="426" t="s">
        <v>809</v>
      </c>
      <c r="H203" s="708"/>
      <c r="I203" s="427" t="s">
        <v>810</v>
      </c>
      <c r="J203" s="427" t="s">
        <v>811</v>
      </c>
      <c r="K203" s="427" t="s">
        <v>828</v>
      </c>
      <c r="L203" s="711"/>
      <c r="M203" s="427" t="s">
        <v>829</v>
      </c>
      <c r="N203" s="427" t="s">
        <v>830</v>
      </c>
      <c r="O203" s="427" t="s">
        <v>831</v>
      </c>
    </row>
    <row r="204" spans="2:15" ht="37" thickBot="1" x14ac:dyDescent="0.25">
      <c r="C204" s="413" t="s">
        <v>793</v>
      </c>
      <c r="D204" s="414" t="s">
        <v>794</v>
      </c>
      <c r="E204" s="415" t="s">
        <v>795</v>
      </c>
      <c r="G204" s="426" t="s">
        <v>812</v>
      </c>
      <c r="H204" s="708"/>
      <c r="I204" s="427" t="s">
        <v>810</v>
      </c>
      <c r="J204" s="427" t="s">
        <v>813</v>
      </c>
      <c r="K204" s="427" t="s">
        <v>832</v>
      </c>
      <c r="L204" s="711"/>
      <c r="M204" s="427" t="s">
        <v>829</v>
      </c>
      <c r="N204" s="427" t="s">
        <v>833</v>
      </c>
      <c r="O204" s="427" t="s">
        <v>834</v>
      </c>
    </row>
    <row r="205" spans="2:15" ht="37" thickBot="1" x14ac:dyDescent="0.25">
      <c r="C205" s="413" t="s">
        <v>797</v>
      </c>
      <c r="D205" s="414" t="s">
        <v>798</v>
      </c>
      <c r="E205" s="416" t="s">
        <v>796</v>
      </c>
      <c r="G205" s="426" t="s">
        <v>814</v>
      </c>
      <c r="H205" s="708"/>
      <c r="I205" s="427" t="s">
        <v>815</v>
      </c>
      <c r="J205" s="427" t="s">
        <v>816</v>
      </c>
      <c r="K205" s="427" t="s">
        <v>835</v>
      </c>
      <c r="L205" s="711"/>
      <c r="M205" s="427" t="s">
        <v>836</v>
      </c>
      <c r="N205" s="427" t="s">
        <v>837</v>
      </c>
      <c r="O205" s="427" t="s">
        <v>838</v>
      </c>
    </row>
    <row r="206" spans="2:15" ht="37" thickBot="1" x14ac:dyDescent="0.25">
      <c r="C206" s="413" t="s">
        <v>799</v>
      </c>
      <c r="D206" s="414" t="s">
        <v>800</v>
      </c>
      <c r="E206" s="417"/>
      <c r="G206" s="426" t="s">
        <v>817</v>
      </c>
      <c r="H206" s="708"/>
      <c r="I206" s="427" t="s">
        <v>818</v>
      </c>
      <c r="J206" s="427" t="s">
        <v>819</v>
      </c>
      <c r="K206" s="427" t="s">
        <v>839</v>
      </c>
      <c r="L206" s="711"/>
      <c r="M206" s="427" t="s">
        <v>840</v>
      </c>
      <c r="N206" s="427" t="s">
        <v>841</v>
      </c>
      <c r="O206" s="427" t="s">
        <v>842</v>
      </c>
    </row>
    <row r="207" spans="2:15" ht="16" thickBot="1" x14ac:dyDescent="0.25">
      <c r="C207" s="420"/>
      <c r="G207" s="426" t="s">
        <v>820</v>
      </c>
      <c r="H207" s="708"/>
      <c r="I207" s="427" t="s">
        <v>821</v>
      </c>
      <c r="J207" s="427" t="s">
        <v>822</v>
      </c>
      <c r="K207" s="427" t="s">
        <v>843</v>
      </c>
      <c r="L207" s="711"/>
      <c r="M207" s="427" t="s">
        <v>840</v>
      </c>
      <c r="N207" s="427" t="s">
        <v>844</v>
      </c>
      <c r="O207" s="427" t="s">
        <v>845</v>
      </c>
    </row>
    <row r="208" spans="2:15" ht="17" thickBot="1" x14ac:dyDescent="0.25">
      <c r="C208" s="421" t="s">
        <v>801</v>
      </c>
      <c r="G208" s="426" t="s">
        <v>846</v>
      </c>
      <c r="H208" s="709"/>
      <c r="I208" s="427" t="s">
        <v>847</v>
      </c>
      <c r="J208" s="427" t="s">
        <v>848</v>
      </c>
      <c r="K208" s="427" t="s">
        <v>849</v>
      </c>
      <c r="L208" s="712"/>
      <c r="M208" s="427" t="s">
        <v>850</v>
      </c>
      <c r="N208" s="427" t="s">
        <v>851</v>
      </c>
      <c r="O208" s="427" t="s">
        <v>824</v>
      </c>
    </row>
  </sheetData>
  <mergeCells count="60">
    <mergeCell ref="J130:K130"/>
    <mergeCell ref="D131:E131"/>
    <mergeCell ref="J128:K128"/>
    <mergeCell ref="D129:E129"/>
    <mergeCell ref="F129:G129"/>
    <mergeCell ref="H129:I129"/>
    <mergeCell ref="J129:K129"/>
    <mergeCell ref="J131:K131"/>
    <mergeCell ref="B128:B132"/>
    <mergeCell ref="D128:E128"/>
    <mergeCell ref="F128:G128"/>
    <mergeCell ref="H128:I128"/>
    <mergeCell ref="D127:E127"/>
    <mergeCell ref="D130:E130"/>
    <mergeCell ref="F130:G130"/>
    <mergeCell ref="H130:I130"/>
    <mergeCell ref="F131:G131"/>
    <mergeCell ref="H131:I131"/>
    <mergeCell ref="D132:E132"/>
    <mergeCell ref="F132:G132"/>
    <mergeCell ref="H132:I132"/>
    <mergeCell ref="B103:D104"/>
    <mergeCell ref="E103:G104"/>
    <mergeCell ref="F127:G127"/>
    <mergeCell ref="H127:I127"/>
    <mergeCell ref="O1:AA4"/>
    <mergeCell ref="B1:N4"/>
    <mergeCell ref="B100:I101"/>
    <mergeCell ref="B122:K124"/>
    <mergeCell ref="D126:K126"/>
    <mergeCell ref="J127:K127"/>
    <mergeCell ref="J135:K135"/>
    <mergeCell ref="D137:E137"/>
    <mergeCell ref="F137:G137"/>
    <mergeCell ref="H137:I137"/>
    <mergeCell ref="J132:K132"/>
    <mergeCell ref="J136:K136"/>
    <mergeCell ref="J133:K133"/>
    <mergeCell ref="J137:K137"/>
    <mergeCell ref="J134:K134"/>
    <mergeCell ref="B139:I139"/>
    <mergeCell ref="D134:E134"/>
    <mergeCell ref="F134:G134"/>
    <mergeCell ref="H134:I134"/>
    <mergeCell ref="D136:E136"/>
    <mergeCell ref="F136:G136"/>
    <mergeCell ref="H136:I136"/>
    <mergeCell ref="B133:B137"/>
    <mergeCell ref="D133:E133"/>
    <mergeCell ref="F133:G133"/>
    <mergeCell ref="H133:I133"/>
    <mergeCell ref="D135:E135"/>
    <mergeCell ref="F135:G135"/>
    <mergeCell ref="H135:I135"/>
    <mergeCell ref="H201:H208"/>
    <mergeCell ref="L201:L208"/>
    <mergeCell ref="G198:O198"/>
    <mergeCell ref="B140:E140"/>
    <mergeCell ref="F140:I140"/>
    <mergeCell ref="E202:E203"/>
  </mergeCells>
  <conditionalFormatting sqref="B140">
    <cfRule type="expression" dxfId="6" priority="4" stopIfTrue="1">
      <formula>AND($J$98="D",$K$98=1)</formula>
    </cfRule>
  </conditionalFormatting>
  <conditionalFormatting sqref="C128:K132">
    <cfRule type="expression" dxfId="5" priority="7" stopIfTrue="1">
      <formula>$K$169=1</formula>
    </cfRule>
  </conditionalFormatting>
  <conditionalFormatting sqref="C133:K138">
    <cfRule type="expression" dxfId="4" priority="8" stopIfTrue="1">
      <formula>$K$169=2</formula>
    </cfRule>
  </conditionalFormatting>
  <conditionalFormatting sqref="F140 F142:G148 B144 F158 B160">
    <cfRule type="expression" dxfId="3" priority="5" stopIfTrue="1">
      <formula>AND($J$98="R",$K$98=1)</formula>
    </cfRule>
  </conditionalFormatting>
  <conditionalFormatting sqref="F170:G176 F185">
    <cfRule type="expression" dxfId="2" priority="2" stopIfTrue="1">
      <formula>AND($J$90="R",$K$90=1)</formula>
    </cfRule>
  </conditionalFormatting>
  <conditionalFormatting sqref="H142:H148">
    <cfRule type="expression" dxfId="1" priority="6" stopIfTrue="1">
      <formula>AND($J$98="r",$K$98=2)</formula>
    </cfRule>
  </conditionalFormatting>
  <conditionalFormatting sqref="H170:H176">
    <cfRule type="expression" dxfId="0" priority="1" stopIfTrue="1">
      <formula>AND($J$90="r",$K$90=2)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A36D-9B2E-47C3-ACE8-609574BD63C9}">
  <sheetPr codeName="Hoja4">
    <tabColor rgb="FF002060"/>
  </sheetPr>
  <dimension ref="A1:L116"/>
  <sheetViews>
    <sheetView topLeftCell="A48" workbookViewId="0">
      <selection activeCell="A41" sqref="A41:W54"/>
    </sheetView>
  </sheetViews>
  <sheetFormatPr baseColWidth="10" defaultRowHeight="15" x14ac:dyDescent="0.2"/>
  <cols>
    <col min="1" max="1" width="17.83203125" customWidth="1"/>
    <col min="2" max="2" width="28.1640625" customWidth="1"/>
  </cols>
  <sheetData>
    <row r="1" spans="1:12" x14ac:dyDescent="0.2">
      <c r="A1" s="786" t="s">
        <v>214</v>
      </c>
      <c r="B1" s="451" t="s">
        <v>876</v>
      </c>
      <c r="C1" s="789" t="str">
        <f>HISTORIA!C4</f>
        <v>Javier Ignacio Alvarez Izaguirre</v>
      </c>
      <c r="D1" s="790"/>
      <c r="E1" s="790"/>
      <c r="F1" s="790"/>
      <c r="G1" s="790"/>
      <c r="H1" s="790"/>
      <c r="I1" s="790"/>
      <c r="J1" s="790"/>
      <c r="K1" s="790"/>
      <c r="L1" s="791"/>
    </row>
    <row r="2" spans="1:12" x14ac:dyDescent="0.2">
      <c r="A2" s="787"/>
      <c r="B2" s="451" t="s">
        <v>323</v>
      </c>
      <c r="C2" s="452"/>
      <c r="D2" s="452"/>
      <c r="E2" s="452"/>
      <c r="F2" s="452"/>
      <c r="G2" s="452"/>
      <c r="H2" s="452"/>
      <c r="I2" s="452"/>
      <c r="J2" s="452"/>
      <c r="K2" s="452"/>
      <c r="L2" s="452"/>
    </row>
    <row r="3" spans="1:12" x14ac:dyDescent="0.2">
      <c r="A3" s="787"/>
      <c r="B3" s="451" t="s">
        <v>291</v>
      </c>
      <c r="C3" s="768">
        <f>HISTORIA!C6</f>
        <v>37404</v>
      </c>
      <c r="D3" s="769"/>
      <c r="E3" s="769"/>
      <c r="F3" s="769"/>
      <c r="G3" s="769"/>
      <c r="H3" s="769"/>
      <c r="I3" s="769"/>
      <c r="J3" s="769"/>
      <c r="K3" s="769"/>
      <c r="L3" s="770"/>
    </row>
    <row r="4" spans="1:12" x14ac:dyDescent="0.2">
      <c r="A4" s="788"/>
      <c r="B4" s="451" t="s">
        <v>877</v>
      </c>
      <c r="C4" s="453">
        <f>(C2-C3)/365</f>
        <v>-102.47671232876712</v>
      </c>
      <c r="D4" s="453">
        <f>(D2-D3)/365</f>
        <v>0</v>
      </c>
      <c r="E4" s="453">
        <f t="shared" ref="E4:L4" si="0">(E2-E3)/365</f>
        <v>0</v>
      </c>
      <c r="F4" s="453">
        <f t="shared" si="0"/>
        <v>0</v>
      </c>
      <c r="G4" s="453">
        <f t="shared" si="0"/>
        <v>0</v>
      </c>
      <c r="H4" s="453">
        <f t="shared" si="0"/>
        <v>0</v>
      </c>
      <c r="I4" s="453">
        <f t="shared" si="0"/>
        <v>0</v>
      </c>
      <c r="J4" s="453">
        <f t="shared" si="0"/>
        <v>0</v>
      </c>
      <c r="K4" s="453">
        <f t="shared" si="0"/>
        <v>0</v>
      </c>
      <c r="L4" s="453">
        <f t="shared" si="0"/>
        <v>0</v>
      </c>
    </row>
    <row r="5" spans="1:12" ht="14.5" customHeight="1" x14ac:dyDescent="0.2">
      <c r="A5" s="797" t="s">
        <v>878</v>
      </c>
      <c r="B5" s="451" t="s">
        <v>1</v>
      </c>
      <c r="C5" s="454"/>
      <c r="D5" s="454"/>
      <c r="E5" s="454"/>
      <c r="F5" s="454"/>
      <c r="G5" s="454"/>
      <c r="H5" s="454"/>
      <c r="I5" s="454"/>
      <c r="J5" s="454"/>
      <c r="K5" s="454"/>
      <c r="L5" s="454"/>
    </row>
    <row r="6" spans="1:12" x14ac:dyDescent="0.2">
      <c r="A6" s="798"/>
      <c r="B6" s="451" t="s">
        <v>879</v>
      </c>
      <c r="C6" s="454">
        <v>185</v>
      </c>
      <c r="D6" s="454">
        <v>185</v>
      </c>
      <c r="E6" s="454">
        <v>185</v>
      </c>
      <c r="F6" s="454">
        <v>185</v>
      </c>
      <c r="G6" s="454">
        <v>185</v>
      </c>
      <c r="H6" s="454">
        <v>185</v>
      </c>
      <c r="I6" s="454">
        <v>185</v>
      </c>
      <c r="J6" s="454">
        <v>185</v>
      </c>
      <c r="K6" s="454">
        <v>185</v>
      </c>
      <c r="L6" s="454">
        <v>185</v>
      </c>
    </row>
    <row r="7" spans="1:12" x14ac:dyDescent="0.2">
      <c r="A7" s="798"/>
      <c r="B7" s="451" t="s">
        <v>969</v>
      </c>
      <c r="C7" s="498">
        <f>C8-43</f>
        <v>-43</v>
      </c>
      <c r="D7" s="498">
        <f t="shared" ref="D7:L7" si="1">D8-43</f>
        <v>-43</v>
      </c>
      <c r="E7" s="498">
        <f t="shared" si="1"/>
        <v>-43</v>
      </c>
      <c r="F7" s="498">
        <f t="shared" si="1"/>
        <v>-43</v>
      </c>
      <c r="G7" s="498">
        <f t="shared" si="1"/>
        <v>-43</v>
      </c>
      <c r="H7" s="498">
        <f t="shared" si="1"/>
        <v>-43</v>
      </c>
      <c r="I7" s="498">
        <f t="shared" si="1"/>
        <v>-43</v>
      </c>
      <c r="J7" s="498">
        <f t="shared" si="1"/>
        <v>-43</v>
      </c>
      <c r="K7" s="498">
        <f t="shared" si="1"/>
        <v>-43</v>
      </c>
      <c r="L7" s="498">
        <f t="shared" si="1"/>
        <v>-43</v>
      </c>
    </row>
    <row r="8" spans="1:12" x14ac:dyDescent="0.2">
      <c r="A8" s="799"/>
      <c r="B8" s="451" t="s">
        <v>880</v>
      </c>
      <c r="C8" s="498"/>
      <c r="D8" s="498"/>
      <c r="E8" s="498"/>
      <c r="F8" s="498"/>
      <c r="G8" s="498"/>
      <c r="H8" s="498"/>
      <c r="I8" s="498"/>
      <c r="J8" s="498"/>
      <c r="K8" s="498"/>
      <c r="L8" s="498"/>
    </row>
    <row r="9" spans="1:12" x14ac:dyDescent="0.2">
      <c r="A9" s="455"/>
      <c r="B9" s="456"/>
      <c r="C9" s="457"/>
      <c r="D9" s="457"/>
      <c r="E9" s="457"/>
      <c r="F9" s="457"/>
      <c r="G9" s="457"/>
      <c r="H9" s="457"/>
      <c r="I9" s="457"/>
      <c r="J9" s="457"/>
      <c r="K9" s="457"/>
      <c r="L9" s="457"/>
    </row>
    <row r="10" spans="1:12" x14ac:dyDescent="0.2">
      <c r="A10" s="792" t="s">
        <v>881</v>
      </c>
      <c r="B10" s="458" t="s">
        <v>882</v>
      </c>
      <c r="C10" s="454"/>
      <c r="D10" s="454"/>
      <c r="E10" s="454"/>
      <c r="F10" s="454"/>
      <c r="G10" s="454"/>
      <c r="H10" s="454"/>
      <c r="I10" s="454"/>
      <c r="J10" s="454"/>
      <c r="K10" s="454"/>
      <c r="L10" s="454"/>
    </row>
    <row r="11" spans="1:12" x14ac:dyDescent="0.2">
      <c r="A11" s="793"/>
      <c r="B11" s="459" t="s">
        <v>6</v>
      </c>
      <c r="C11" s="454"/>
      <c r="D11" s="454"/>
      <c r="E11" s="454"/>
      <c r="F11" s="454"/>
      <c r="G11" s="454"/>
      <c r="H11" s="454"/>
      <c r="I11" s="454"/>
      <c r="J11" s="454"/>
      <c r="K11" s="454"/>
      <c r="L11" s="454"/>
    </row>
    <row r="12" spans="1:12" x14ac:dyDescent="0.2">
      <c r="A12" s="793"/>
      <c r="B12" s="459" t="s">
        <v>7</v>
      </c>
      <c r="C12" s="454"/>
      <c r="D12" s="454"/>
      <c r="E12" s="454"/>
      <c r="F12" s="454"/>
      <c r="G12" s="454"/>
      <c r="H12" s="454"/>
      <c r="I12" s="454"/>
      <c r="J12" s="454"/>
      <c r="K12" s="454"/>
      <c r="L12" s="454"/>
    </row>
    <row r="13" spans="1:12" x14ac:dyDescent="0.2">
      <c r="A13" s="793"/>
      <c r="B13" s="459" t="s">
        <v>201</v>
      </c>
      <c r="C13" s="454"/>
      <c r="D13" s="454"/>
      <c r="E13" s="454"/>
      <c r="F13" s="454"/>
      <c r="G13" s="454"/>
      <c r="H13" s="454"/>
      <c r="I13" s="454"/>
      <c r="J13" s="454"/>
      <c r="K13" s="454"/>
      <c r="L13" s="454"/>
    </row>
    <row r="14" spans="1:12" x14ac:dyDescent="0.2">
      <c r="A14" s="793"/>
      <c r="B14" s="459" t="s">
        <v>9</v>
      </c>
      <c r="C14" s="454"/>
      <c r="D14" s="454"/>
      <c r="E14" s="454"/>
      <c r="F14" s="454"/>
      <c r="G14" s="454"/>
      <c r="H14" s="454"/>
      <c r="I14" s="454"/>
      <c r="J14" s="454"/>
      <c r="K14" s="454"/>
      <c r="L14" s="454"/>
    </row>
    <row r="15" spans="1:12" x14ac:dyDescent="0.2">
      <c r="A15" s="793"/>
      <c r="B15" s="459" t="s">
        <v>10</v>
      </c>
      <c r="C15" s="454"/>
      <c r="D15" s="454"/>
      <c r="E15" s="454"/>
      <c r="F15" s="454"/>
      <c r="G15" s="454"/>
      <c r="H15" s="454"/>
      <c r="I15" s="454"/>
      <c r="J15" s="454"/>
      <c r="K15" s="454"/>
      <c r="L15" s="454"/>
    </row>
    <row r="16" spans="1:12" x14ac:dyDescent="0.2">
      <c r="A16" s="793"/>
      <c r="B16" s="459" t="s">
        <v>883</v>
      </c>
      <c r="C16" s="454"/>
      <c r="D16" s="454"/>
      <c r="E16" s="454"/>
      <c r="F16" s="454"/>
      <c r="G16" s="454"/>
      <c r="H16" s="454"/>
      <c r="I16" s="454"/>
      <c r="J16" s="454"/>
      <c r="K16" s="454"/>
      <c r="L16" s="454"/>
    </row>
    <row r="17" spans="1:12" x14ac:dyDescent="0.2">
      <c r="A17" s="793"/>
      <c r="B17" s="459" t="s">
        <v>199</v>
      </c>
      <c r="C17" s="454"/>
      <c r="D17" s="454"/>
      <c r="E17" s="454"/>
      <c r="F17" s="454"/>
      <c r="G17" s="454"/>
      <c r="H17" s="454"/>
      <c r="I17" s="454"/>
      <c r="J17" s="454"/>
      <c r="K17" s="454"/>
      <c r="L17" s="454"/>
    </row>
    <row r="18" spans="1:12" x14ac:dyDescent="0.2">
      <c r="A18" s="455"/>
      <c r="B18" s="460"/>
      <c r="C18" s="457"/>
      <c r="D18" s="457"/>
      <c r="E18" s="457"/>
      <c r="F18" s="457"/>
      <c r="G18" s="457"/>
      <c r="H18" s="457"/>
      <c r="I18" s="457"/>
      <c r="J18" s="457"/>
      <c r="K18" s="457"/>
      <c r="L18" s="457"/>
    </row>
    <row r="19" spans="1:12" x14ac:dyDescent="0.2">
      <c r="A19" s="794" t="s">
        <v>884</v>
      </c>
      <c r="B19" s="459" t="s">
        <v>885</v>
      </c>
      <c r="C19" s="454"/>
      <c r="D19" s="454"/>
      <c r="E19" s="454"/>
      <c r="F19" s="454"/>
      <c r="G19" s="454"/>
      <c r="H19" s="454"/>
      <c r="I19" s="454"/>
      <c r="J19" s="454"/>
      <c r="K19" s="454"/>
      <c r="L19" s="454"/>
    </row>
    <row r="20" spans="1:12" x14ac:dyDescent="0.2">
      <c r="A20" s="794"/>
      <c r="B20" s="459" t="s">
        <v>886</v>
      </c>
      <c r="C20" s="454"/>
      <c r="D20" s="454"/>
      <c r="E20" s="454"/>
      <c r="F20" s="454"/>
      <c r="G20" s="454"/>
      <c r="H20" s="454"/>
      <c r="I20" s="454"/>
      <c r="J20" s="454"/>
      <c r="K20" s="454"/>
      <c r="L20" s="454"/>
    </row>
    <row r="21" spans="1:12" x14ac:dyDescent="0.2">
      <c r="A21" s="794"/>
      <c r="B21" s="459" t="s">
        <v>202</v>
      </c>
      <c r="C21" s="454"/>
      <c r="D21" s="454"/>
      <c r="E21" s="454"/>
      <c r="F21" s="454"/>
      <c r="G21" s="454"/>
      <c r="H21" s="454"/>
      <c r="I21" s="454"/>
      <c r="J21" s="454"/>
      <c r="K21" s="454"/>
      <c r="L21" s="454"/>
    </row>
    <row r="22" spans="1:12" x14ac:dyDescent="0.2">
      <c r="A22" s="794"/>
      <c r="B22" s="459" t="s">
        <v>203</v>
      </c>
      <c r="C22" s="454"/>
      <c r="D22" s="454"/>
      <c r="E22" s="454"/>
      <c r="F22" s="454"/>
      <c r="G22" s="454"/>
      <c r="H22" s="454"/>
      <c r="I22" s="454"/>
      <c r="J22" s="454"/>
      <c r="K22" s="454"/>
      <c r="L22" s="454"/>
    </row>
    <row r="23" spans="1:12" x14ac:dyDescent="0.2">
      <c r="A23" s="794"/>
      <c r="B23" s="459" t="s">
        <v>887</v>
      </c>
      <c r="C23" s="454"/>
      <c r="D23" s="454"/>
      <c r="E23" s="454"/>
      <c r="F23" s="454"/>
      <c r="G23" s="454"/>
      <c r="H23" s="454"/>
      <c r="I23" s="454"/>
      <c r="J23" s="454"/>
      <c r="K23" s="454"/>
      <c r="L23" s="454"/>
    </row>
    <row r="24" spans="1:12" x14ac:dyDescent="0.2">
      <c r="A24" s="794"/>
      <c r="B24" s="459" t="s">
        <v>888</v>
      </c>
      <c r="C24" s="454"/>
      <c r="D24" s="454"/>
      <c r="E24" s="454"/>
      <c r="F24" s="454"/>
      <c r="G24" s="454"/>
      <c r="H24" s="454"/>
      <c r="I24" s="454"/>
      <c r="J24" s="454"/>
      <c r="K24" s="454"/>
      <c r="L24" s="454"/>
    </row>
    <row r="25" spans="1:12" x14ac:dyDescent="0.2">
      <c r="A25" s="794"/>
      <c r="B25" s="459" t="s">
        <v>889</v>
      </c>
      <c r="C25" s="454"/>
      <c r="D25" s="454"/>
      <c r="E25" s="454"/>
      <c r="F25" s="454"/>
      <c r="G25" s="454"/>
      <c r="H25" s="454"/>
      <c r="I25" s="454"/>
      <c r="J25" s="454"/>
      <c r="K25" s="454"/>
      <c r="L25" s="454"/>
    </row>
    <row r="26" spans="1:12" x14ac:dyDescent="0.2">
      <c r="A26" s="794"/>
      <c r="B26" s="459" t="s">
        <v>204</v>
      </c>
      <c r="C26" s="454"/>
      <c r="D26" s="454"/>
      <c r="E26" s="454"/>
      <c r="F26" s="454"/>
      <c r="G26" s="454"/>
      <c r="H26" s="454"/>
      <c r="I26" s="454"/>
      <c r="J26" s="454"/>
      <c r="K26" s="454"/>
      <c r="L26" s="454"/>
    </row>
    <row r="27" spans="1:12" x14ac:dyDescent="0.2">
      <c r="A27" s="794"/>
      <c r="B27" s="459" t="s">
        <v>205</v>
      </c>
      <c r="C27" s="454"/>
      <c r="D27" s="454"/>
      <c r="E27" s="454"/>
      <c r="F27" s="454"/>
      <c r="G27" s="454"/>
      <c r="H27" s="454"/>
      <c r="I27" s="454"/>
      <c r="J27" s="454"/>
      <c r="K27" s="454"/>
      <c r="L27" s="454"/>
    </row>
    <row r="28" spans="1:12" x14ac:dyDescent="0.2">
      <c r="A28" s="794"/>
      <c r="B28" s="459" t="s">
        <v>206</v>
      </c>
      <c r="C28" s="454"/>
      <c r="D28" s="454"/>
      <c r="E28" s="454"/>
      <c r="F28" s="454"/>
      <c r="G28" s="454"/>
      <c r="H28" s="454"/>
      <c r="I28" s="454"/>
      <c r="J28" s="454"/>
      <c r="K28" s="454"/>
      <c r="L28" s="454"/>
    </row>
    <row r="29" spans="1:12" x14ac:dyDescent="0.2">
      <c r="A29" s="794"/>
      <c r="B29" s="459" t="s">
        <v>207</v>
      </c>
      <c r="C29" s="454"/>
      <c r="D29" s="454"/>
      <c r="E29" s="454"/>
      <c r="F29" s="454"/>
      <c r="G29" s="454"/>
      <c r="H29" s="454"/>
      <c r="I29" s="454"/>
      <c r="J29" s="454"/>
      <c r="K29" s="454"/>
      <c r="L29" s="454"/>
    </row>
    <row r="30" spans="1:12" x14ac:dyDescent="0.2">
      <c r="A30" s="794"/>
      <c r="B30" s="459" t="s">
        <v>199</v>
      </c>
      <c r="C30" s="454"/>
      <c r="D30" s="454"/>
      <c r="E30" s="454"/>
      <c r="F30" s="454"/>
      <c r="G30" s="454"/>
      <c r="H30" s="454"/>
      <c r="I30" s="454"/>
      <c r="J30" s="454"/>
      <c r="K30" s="454"/>
      <c r="L30" s="454"/>
    </row>
    <row r="31" spans="1:12" x14ac:dyDescent="0.2">
      <c r="A31" s="794"/>
      <c r="B31" s="461" t="s">
        <v>890</v>
      </c>
      <c r="C31" s="454"/>
      <c r="D31" s="454"/>
      <c r="E31" s="454"/>
      <c r="F31" s="454"/>
      <c r="G31" s="454"/>
      <c r="H31" s="454"/>
      <c r="I31" s="454"/>
      <c r="J31" s="454"/>
      <c r="K31" s="454"/>
      <c r="L31" s="454"/>
    </row>
    <row r="32" spans="1:12" x14ac:dyDescent="0.2">
      <c r="A32" s="455"/>
      <c r="B32" s="460"/>
      <c r="C32" s="457"/>
      <c r="D32" s="457"/>
      <c r="E32" s="457"/>
      <c r="F32" s="457"/>
      <c r="G32" s="457"/>
      <c r="H32" s="457"/>
      <c r="I32" s="457"/>
      <c r="J32" s="457"/>
      <c r="K32" s="457"/>
      <c r="L32" s="457"/>
    </row>
    <row r="33" spans="1:12" x14ac:dyDescent="0.2">
      <c r="A33" s="795" t="s">
        <v>891</v>
      </c>
      <c r="B33" s="458" t="s">
        <v>892</v>
      </c>
      <c r="C33" s="454"/>
      <c r="D33" s="454"/>
      <c r="E33" s="454"/>
      <c r="F33" s="454"/>
      <c r="G33" s="454"/>
      <c r="H33" s="454"/>
      <c r="I33" s="454"/>
      <c r="J33" s="454"/>
      <c r="K33" s="454"/>
      <c r="L33" s="454"/>
    </row>
    <row r="34" spans="1:12" x14ac:dyDescent="0.2">
      <c r="A34" s="795"/>
      <c r="B34" s="459" t="s">
        <v>893</v>
      </c>
      <c r="C34" s="454"/>
      <c r="D34" s="454"/>
      <c r="E34" s="454"/>
      <c r="F34" s="454"/>
      <c r="G34" s="454"/>
      <c r="H34" s="454"/>
      <c r="I34" s="454"/>
      <c r="J34" s="454"/>
      <c r="K34" s="454"/>
      <c r="L34" s="454"/>
    </row>
    <row r="35" spans="1:12" x14ac:dyDescent="0.2">
      <c r="A35" s="795"/>
      <c r="B35" s="459" t="s">
        <v>894</v>
      </c>
      <c r="C35" s="454"/>
      <c r="D35" s="454"/>
      <c r="E35" s="454"/>
      <c r="F35" s="454"/>
      <c r="G35" s="454"/>
      <c r="H35" s="454"/>
      <c r="I35" s="454"/>
      <c r="J35" s="454"/>
      <c r="K35" s="454"/>
      <c r="L35" s="454"/>
    </row>
    <row r="36" spans="1:12" x14ac:dyDescent="0.2">
      <c r="A36" s="795"/>
      <c r="B36" s="459" t="s">
        <v>895</v>
      </c>
      <c r="C36" s="454"/>
      <c r="D36" s="454"/>
      <c r="E36" s="454"/>
      <c r="F36" s="454"/>
      <c r="G36" s="454"/>
      <c r="H36" s="454"/>
      <c r="I36" s="454"/>
      <c r="J36" s="454"/>
      <c r="K36" s="454"/>
      <c r="L36" s="454"/>
    </row>
    <row r="37" spans="1:12" x14ac:dyDescent="0.2">
      <c r="A37" s="795"/>
      <c r="B37" s="459" t="s">
        <v>478</v>
      </c>
      <c r="C37" s="454"/>
      <c r="D37" s="454"/>
      <c r="E37" s="454"/>
      <c r="F37" s="454"/>
      <c r="G37" s="454"/>
      <c r="H37" s="454"/>
      <c r="I37" s="454"/>
      <c r="J37" s="454"/>
      <c r="K37" s="454"/>
      <c r="L37" s="454"/>
    </row>
    <row r="38" spans="1:12" x14ac:dyDescent="0.2">
      <c r="A38" s="795"/>
      <c r="B38" s="459" t="s">
        <v>479</v>
      </c>
      <c r="C38" s="454"/>
      <c r="D38" s="454"/>
      <c r="E38" s="454"/>
      <c r="F38" s="454"/>
      <c r="G38" s="454"/>
      <c r="H38" s="454"/>
      <c r="I38" s="454"/>
      <c r="J38" s="454"/>
      <c r="K38" s="454"/>
      <c r="L38" s="454"/>
    </row>
    <row r="39" spans="1:12" x14ac:dyDescent="0.2">
      <c r="A39" s="796"/>
      <c r="B39" s="461" t="s">
        <v>896</v>
      </c>
      <c r="C39" s="454"/>
      <c r="D39" s="454"/>
      <c r="E39" s="454"/>
      <c r="F39" s="454"/>
      <c r="G39" s="454"/>
      <c r="H39" s="454"/>
      <c r="I39" s="454"/>
      <c r="J39" s="454"/>
      <c r="K39" s="454"/>
      <c r="L39" s="454"/>
    </row>
    <row r="40" spans="1:12" x14ac:dyDescent="0.2">
      <c r="A40" s="462"/>
      <c r="B40" s="463"/>
      <c r="C40" s="464"/>
      <c r="D40" s="464"/>
      <c r="E40" s="464"/>
      <c r="F40" s="464"/>
      <c r="G40" s="464"/>
      <c r="H40" s="464"/>
      <c r="I40" s="464"/>
      <c r="J40" s="464"/>
      <c r="K40" s="464"/>
      <c r="L40" s="464"/>
    </row>
    <row r="41" spans="1:12" x14ac:dyDescent="0.2">
      <c r="A41" s="772" t="s">
        <v>897</v>
      </c>
      <c r="B41" s="465" t="s">
        <v>898</v>
      </c>
      <c r="C41" s="466">
        <f t="shared" ref="C41:L41" si="2">C21-(3.1416*C10)/10</f>
        <v>0</v>
      </c>
      <c r="D41" s="466">
        <f t="shared" si="2"/>
        <v>0</v>
      </c>
      <c r="E41" s="466">
        <f t="shared" si="2"/>
        <v>0</v>
      </c>
      <c r="F41" s="466">
        <f t="shared" si="2"/>
        <v>0</v>
      </c>
      <c r="G41" s="466">
        <f t="shared" si="2"/>
        <v>0</v>
      </c>
      <c r="H41" s="466">
        <f t="shared" si="2"/>
        <v>0</v>
      </c>
      <c r="I41" s="466">
        <f t="shared" si="2"/>
        <v>0</v>
      </c>
      <c r="J41" s="466">
        <f t="shared" si="2"/>
        <v>0</v>
      </c>
      <c r="K41" s="466">
        <f t="shared" si="2"/>
        <v>0</v>
      </c>
      <c r="L41" s="466">
        <f t="shared" si="2"/>
        <v>0</v>
      </c>
    </row>
    <row r="42" spans="1:12" x14ac:dyDescent="0.2">
      <c r="A42" s="772"/>
      <c r="B42" s="465" t="s">
        <v>899</v>
      </c>
      <c r="C42" s="466">
        <f t="shared" ref="C42:L42" si="3">C25-(3.1416*C11)/10</f>
        <v>0</v>
      </c>
      <c r="D42" s="466">
        <f t="shared" si="3"/>
        <v>0</v>
      </c>
      <c r="E42" s="466">
        <f t="shared" si="3"/>
        <v>0</v>
      </c>
      <c r="F42" s="466">
        <f t="shared" si="3"/>
        <v>0</v>
      </c>
      <c r="G42" s="466">
        <f t="shared" si="3"/>
        <v>0</v>
      </c>
      <c r="H42" s="466">
        <f t="shared" si="3"/>
        <v>0</v>
      </c>
      <c r="I42" s="466">
        <f t="shared" si="3"/>
        <v>0</v>
      </c>
      <c r="J42" s="466">
        <f t="shared" si="3"/>
        <v>0</v>
      </c>
      <c r="K42" s="466">
        <f t="shared" si="3"/>
        <v>0</v>
      </c>
      <c r="L42" s="466">
        <f t="shared" si="3"/>
        <v>0</v>
      </c>
    </row>
    <row r="43" spans="1:12" x14ac:dyDescent="0.2">
      <c r="A43" s="772"/>
      <c r="B43" s="465" t="s">
        <v>900</v>
      </c>
      <c r="C43" s="466">
        <f t="shared" ref="C43:L43" si="4">C28-(3.1416*C16)/10</f>
        <v>0</v>
      </c>
      <c r="D43" s="466">
        <f t="shared" si="4"/>
        <v>0</v>
      </c>
      <c r="E43" s="466">
        <f t="shared" si="4"/>
        <v>0</v>
      </c>
      <c r="F43" s="466">
        <f t="shared" si="4"/>
        <v>0</v>
      </c>
      <c r="G43" s="466">
        <f t="shared" si="4"/>
        <v>0</v>
      </c>
      <c r="H43" s="466">
        <f t="shared" si="4"/>
        <v>0</v>
      </c>
      <c r="I43" s="466">
        <f t="shared" si="4"/>
        <v>0</v>
      </c>
      <c r="J43" s="466">
        <f t="shared" si="4"/>
        <v>0</v>
      </c>
      <c r="K43" s="466">
        <f t="shared" si="4"/>
        <v>0</v>
      </c>
      <c r="L43" s="466">
        <f t="shared" si="4"/>
        <v>0</v>
      </c>
    </row>
    <row r="44" spans="1:12" x14ac:dyDescent="0.2">
      <c r="A44" s="772"/>
      <c r="B44" s="465" t="s">
        <v>901</v>
      </c>
      <c r="C44" s="466">
        <f t="shared" ref="C44:L44" si="5">C30-(3.1416*C17)/10</f>
        <v>0</v>
      </c>
      <c r="D44" s="466">
        <f t="shared" si="5"/>
        <v>0</v>
      </c>
      <c r="E44" s="466">
        <f t="shared" si="5"/>
        <v>0</v>
      </c>
      <c r="F44" s="466">
        <f t="shared" si="5"/>
        <v>0</v>
      </c>
      <c r="G44" s="466">
        <f t="shared" si="5"/>
        <v>0</v>
      </c>
      <c r="H44" s="466">
        <f t="shared" si="5"/>
        <v>0</v>
      </c>
      <c r="I44" s="466">
        <f t="shared" si="5"/>
        <v>0</v>
      </c>
      <c r="J44" s="466">
        <f t="shared" si="5"/>
        <v>0</v>
      </c>
      <c r="K44" s="466">
        <f t="shared" si="5"/>
        <v>0</v>
      </c>
      <c r="L44" s="466">
        <f t="shared" si="5"/>
        <v>0</v>
      </c>
    </row>
    <row r="45" spans="1:12" x14ac:dyDescent="0.2">
      <c r="A45" s="772"/>
      <c r="B45" s="467" t="s">
        <v>902</v>
      </c>
      <c r="C45" s="466">
        <f t="shared" ref="C45:L45" si="6">C26-(3.1416*C15)/10</f>
        <v>0</v>
      </c>
      <c r="D45" s="466">
        <f t="shared" si="6"/>
        <v>0</v>
      </c>
      <c r="E45" s="466">
        <f t="shared" si="6"/>
        <v>0</v>
      </c>
      <c r="F45" s="466">
        <f t="shared" si="6"/>
        <v>0</v>
      </c>
      <c r="G45" s="466">
        <f t="shared" si="6"/>
        <v>0</v>
      </c>
      <c r="H45" s="466">
        <f t="shared" si="6"/>
        <v>0</v>
      </c>
      <c r="I45" s="466">
        <f t="shared" si="6"/>
        <v>0</v>
      </c>
      <c r="J45" s="466">
        <f t="shared" si="6"/>
        <v>0</v>
      </c>
      <c r="K45" s="466">
        <f t="shared" si="6"/>
        <v>0</v>
      </c>
      <c r="L45" s="466">
        <f t="shared" si="6"/>
        <v>0</v>
      </c>
    </row>
    <row r="46" spans="1:12" x14ac:dyDescent="0.2">
      <c r="A46" s="468"/>
      <c r="B46" s="468"/>
      <c r="C46" s="460"/>
      <c r="D46" s="460"/>
      <c r="E46" s="460"/>
      <c r="F46" s="460"/>
      <c r="G46" s="460"/>
      <c r="H46" s="460"/>
      <c r="I46" s="460"/>
      <c r="J46" s="460"/>
      <c r="K46" s="460"/>
      <c r="L46" s="460"/>
    </row>
    <row r="47" spans="1:12" x14ac:dyDescent="0.2">
      <c r="A47" s="773" t="s">
        <v>903</v>
      </c>
      <c r="B47" s="458" t="s">
        <v>904</v>
      </c>
      <c r="C47" s="469">
        <f t="shared" ref="C47:L47" si="7">((68.308*C5^0.425*C6^0.725)/10000)*2.07*1.05</f>
        <v>0</v>
      </c>
      <c r="D47" s="469">
        <f t="shared" si="7"/>
        <v>0</v>
      </c>
      <c r="E47" s="469">
        <f t="shared" si="7"/>
        <v>0</v>
      </c>
      <c r="F47" s="469">
        <f t="shared" si="7"/>
        <v>0</v>
      </c>
      <c r="G47" s="469">
        <f t="shared" si="7"/>
        <v>0</v>
      </c>
      <c r="H47" s="469">
        <f t="shared" si="7"/>
        <v>0</v>
      </c>
      <c r="I47" s="469">
        <f t="shared" si="7"/>
        <v>0</v>
      </c>
      <c r="J47" s="469">
        <f t="shared" si="7"/>
        <v>0</v>
      </c>
      <c r="K47" s="469">
        <f t="shared" si="7"/>
        <v>0</v>
      </c>
      <c r="L47" s="469">
        <f t="shared" si="7"/>
        <v>0</v>
      </c>
    </row>
    <row r="48" spans="1:12" x14ac:dyDescent="0.2">
      <c r="A48" s="774"/>
      <c r="B48" s="459" t="s">
        <v>905</v>
      </c>
      <c r="C48" s="469">
        <f t="shared" ref="C48:L48" si="8">((((C19-56)/1.44)*0.18)+1.2)/((170.8/C6)^3)+((((((C33+C36+(2*C37)+(2*C38))*(170.8/C6)-98.88)/5.33)*1.34)+6.7)/((170.8/C6)^3))</f>
        <v>-30.445475149726072</v>
      </c>
      <c r="D48" s="469">
        <f t="shared" si="8"/>
        <v>-30.445475149726072</v>
      </c>
      <c r="E48" s="469">
        <f t="shared" si="8"/>
        <v>-30.445475149726072</v>
      </c>
      <c r="F48" s="469">
        <f t="shared" si="8"/>
        <v>-30.445475149726072</v>
      </c>
      <c r="G48" s="469">
        <f t="shared" si="8"/>
        <v>-30.445475149726072</v>
      </c>
      <c r="H48" s="469">
        <f t="shared" si="8"/>
        <v>-30.445475149726072</v>
      </c>
      <c r="I48" s="469">
        <f t="shared" si="8"/>
        <v>-30.445475149726072</v>
      </c>
      <c r="J48" s="469">
        <f t="shared" si="8"/>
        <v>-30.445475149726072</v>
      </c>
      <c r="K48" s="469">
        <f t="shared" si="8"/>
        <v>-30.445475149726072</v>
      </c>
      <c r="L48" s="469">
        <f t="shared" si="8"/>
        <v>-30.445475149726072</v>
      </c>
    </row>
    <row r="49" spans="1:12" x14ac:dyDescent="0.2">
      <c r="A49" s="774"/>
      <c r="B49" s="459" t="s">
        <v>906</v>
      </c>
      <c r="C49" s="469">
        <f t="shared" ref="C49:L49" si="9">(((((C10+C11+C14+C15+C16+C17)*(170.18/C6)-116.41)/34.79)*5.85)+25.6)/((170.18/C6)^3)</f>
        <v>7.7406834919714207</v>
      </c>
      <c r="D49" s="469">
        <f t="shared" si="9"/>
        <v>7.7406834919714207</v>
      </c>
      <c r="E49" s="469">
        <f t="shared" si="9"/>
        <v>7.7406834919714207</v>
      </c>
      <c r="F49" s="469">
        <f t="shared" si="9"/>
        <v>7.7406834919714207</v>
      </c>
      <c r="G49" s="469">
        <f t="shared" si="9"/>
        <v>7.7406834919714207</v>
      </c>
      <c r="H49" s="469">
        <f t="shared" si="9"/>
        <v>7.7406834919714207</v>
      </c>
      <c r="I49" s="469">
        <f t="shared" si="9"/>
        <v>7.7406834919714207</v>
      </c>
      <c r="J49" s="469">
        <f t="shared" si="9"/>
        <v>7.7406834919714207</v>
      </c>
      <c r="K49" s="469">
        <f t="shared" si="9"/>
        <v>7.7406834919714207</v>
      </c>
      <c r="L49" s="469">
        <f t="shared" si="9"/>
        <v>7.7406834919714207</v>
      </c>
    </row>
    <row r="50" spans="1:12" x14ac:dyDescent="0.2">
      <c r="A50" s="774"/>
      <c r="B50" s="470" t="s">
        <v>907</v>
      </c>
      <c r="C50" s="471">
        <f t="shared" ref="C50:L50" si="10">(((((C41+C23+C43+C44+C42)*(170.18/C6))-207.21)/13.74*5.4)+24.5)/((170.18/C6)^3)</f>
        <v>-73.143955976126733</v>
      </c>
      <c r="D50" s="471">
        <f t="shared" si="10"/>
        <v>-73.143955976126733</v>
      </c>
      <c r="E50" s="471">
        <f t="shared" si="10"/>
        <v>-73.143955976126733</v>
      </c>
      <c r="F50" s="471">
        <f t="shared" si="10"/>
        <v>-73.143955976126733</v>
      </c>
      <c r="G50" s="471">
        <f t="shared" si="10"/>
        <v>-73.143955976126733</v>
      </c>
      <c r="H50" s="471">
        <f t="shared" si="10"/>
        <v>-73.143955976126733</v>
      </c>
      <c r="I50" s="471">
        <f t="shared" si="10"/>
        <v>-73.143955976126733</v>
      </c>
      <c r="J50" s="471">
        <f t="shared" si="10"/>
        <v>-73.143955976126733</v>
      </c>
      <c r="K50" s="471">
        <f t="shared" si="10"/>
        <v>-73.143955976126733</v>
      </c>
      <c r="L50" s="471">
        <f t="shared" si="10"/>
        <v>-73.143955976126733</v>
      </c>
    </row>
    <row r="51" spans="1:12" x14ac:dyDescent="0.2">
      <c r="A51" s="774"/>
      <c r="B51" s="459" t="s">
        <v>908</v>
      </c>
      <c r="C51" s="469">
        <f t="shared" ref="C51:L51" si="11">(((((C35+C34+C45)*(89.92/C7)-109.35)/7.08)*1.24)+6.1)/((89.92/C7)^3)</f>
        <v>1.4272609565851089</v>
      </c>
      <c r="D51" s="469">
        <f t="shared" si="11"/>
        <v>1.4272609565851089</v>
      </c>
      <c r="E51" s="469">
        <f t="shared" si="11"/>
        <v>1.4272609565851089</v>
      </c>
      <c r="F51" s="469">
        <f t="shared" si="11"/>
        <v>1.4272609565851089</v>
      </c>
      <c r="G51" s="469">
        <f t="shared" si="11"/>
        <v>1.4272609565851089</v>
      </c>
      <c r="H51" s="469">
        <f t="shared" si="11"/>
        <v>1.4272609565851089</v>
      </c>
      <c r="I51" s="469">
        <f t="shared" si="11"/>
        <v>1.4272609565851089</v>
      </c>
      <c r="J51" s="469">
        <f t="shared" si="11"/>
        <v>1.4272609565851089</v>
      </c>
      <c r="K51" s="469">
        <f t="shared" si="11"/>
        <v>1.4272609565851089</v>
      </c>
      <c r="L51" s="469">
        <f t="shared" si="11"/>
        <v>1.4272609565851089</v>
      </c>
    </row>
    <row r="52" spans="1:12" x14ac:dyDescent="0.2">
      <c r="A52" s="774"/>
      <c r="B52" s="472" t="s">
        <v>909</v>
      </c>
      <c r="C52" s="473">
        <f>SUM(C47:C51)</f>
        <v>-94.421486677296272</v>
      </c>
      <c r="D52" s="473">
        <f t="shared" ref="D52:F52" si="12">SUM(D47:D51)</f>
        <v>-94.421486677296272</v>
      </c>
      <c r="E52" s="473">
        <f t="shared" si="12"/>
        <v>-94.421486677296272</v>
      </c>
      <c r="F52" s="473">
        <f t="shared" si="12"/>
        <v>-94.421486677296272</v>
      </c>
      <c r="G52" s="473">
        <f t="shared" ref="G52:L52" si="13">SUM(G47:G51)</f>
        <v>-94.421486677296272</v>
      </c>
      <c r="H52" s="473">
        <f t="shared" si="13"/>
        <v>-94.421486677296272</v>
      </c>
      <c r="I52" s="473">
        <f t="shared" si="13"/>
        <v>-94.421486677296272</v>
      </c>
      <c r="J52" s="473">
        <f t="shared" si="13"/>
        <v>-94.421486677296272</v>
      </c>
      <c r="K52" s="473">
        <f t="shared" si="13"/>
        <v>-94.421486677296272</v>
      </c>
      <c r="L52" s="473">
        <f t="shared" si="13"/>
        <v>-94.421486677296272</v>
      </c>
    </row>
    <row r="53" spans="1:12" x14ac:dyDescent="0.2">
      <c r="A53" s="774"/>
      <c r="B53" s="459" t="s">
        <v>910</v>
      </c>
      <c r="C53" s="469">
        <f t="shared" ref="C53:L53" si="14">C52-C5</f>
        <v>-94.421486677296272</v>
      </c>
      <c r="D53" s="469">
        <f t="shared" si="14"/>
        <v>-94.421486677296272</v>
      </c>
      <c r="E53" s="469">
        <f t="shared" si="14"/>
        <v>-94.421486677296272</v>
      </c>
      <c r="F53" s="469">
        <f t="shared" si="14"/>
        <v>-94.421486677296272</v>
      </c>
      <c r="G53" s="469">
        <f t="shared" si="14"/>
        <v>-94.421486677296272</v>
      </c>
      <c r="H53" s="469">
        <f t="shared" si="14"/>
        <v>-94.421486677296272</v>
      </c>
      <c r="I53" s="469">
        <f t="shared" si="14"/>
        <v>-94.421486677296272</v>
      </c>
      <c r="J53" s="469">
        <f t="shared" si="14"/>
        <v>-94.421486677296272</v>
      </c>
      <c r="K53" s="469">
        <f t="shared" si="14"/>
        <v>-94.421486677296272</v>
      </c>
      <c r="L53" s="469">
        <f t="shared" si="14"/>
        <v>-94.421486677296272</v>
      </c>
    </row>
    <row r="54" spans="1:12" x14ac:dyDescent="0.2">
      <c r="A54" s="775"/>
      <c r="B54" s="461" t="s">
        <v>911</v>
      </c>
      <c r="C54" s="474" t="e">
        <f t="shared" ref="C54:L54" si="15">(100-((C52/C5)*100))*-1</f>
        <v>#DIV/0!</v>
      </c>
      <c r="D54" s="474" t="e">
        <f t="shared" si="15"/>
        <v>#DIV/0!</v>
      </c>
      <c r="E54" s="474" t="e">
        <f t="shared" si="15"/>
        <v>#DIV/0!</v>
      </c>
      <c r="F54" s="474" t="e">
        <f t="shared" si="15"/>
        <v>#DIV/0!</v>
      </c>
      <c r="G54" s="474" t="e">
        <f t="shared" si="15"/>
        <v>#DIV/0!</v>
      </c>
      <c r="H54" s="474" t="e">
        <f t="shared" si="15"/>
        <v>#DIV/0!</v>
      </c>
      <c r="I54" s="474" t="e">
        <f t="shared" si="15"/>
        <v>#DIV/0!</v>
      </c>
      <c r="J54" s="474" t="e">
        <f t="shared" si="15"/>
        <v>#DIV/0!</v>
      </c>
      <c r="K54" s="474" t="e">
        <f t="shared" si="15"/>
        <v>#DIV/0!</v>
      </c>
      <c r="L54" s="474" t="e">
        <f t="shared" si="15"/>
        <v>#DIV/0!</v>
      </c>
    </row>
    <row r="55" spans="1:12" x14ac:dyDescent="0.2">
      <c r="A55" s="468" t="s">
        <v>706</v>
      </c>
      <c r="B55" s="475"/>
      <c r="C55" s="460"/>
      <c r="D55" s="460"/>
      <c r="E55" s="460"/>
      <c r="F55" s="460"/>
      <c r="G55" s="460"/>
      <c r="H55" s="460"/>
      <c r="I55" s="460"/>
      <c r="J55" s="460"/>
      <c r="K55" s="460"/>
      <c r="L55" s="460"/>
    </row>
    <row r="56" spans="1:12" x14ac:dyDescent="0.2">
      <c r="A56" s="776" t="s">
        <v>912</v>
      </c>
      <c r="B56" s="459" t="s">
        <v>913</v>
      </c>
      <c r="C56" s="469">
        <f t="shared" ref="C56:L56" si="16">(C47*100)/C52</f>
        <v>0</v>
      </c>
      <c r="D56" s="469">
        <f t="shared" si="16"/>
        <v>0</v>
      </c>
      <c r="E56" s="469">
        <f t="shared" si="16"/>
        <v>0</v>
      </c>
      <c r="F56" s="469">
        <f t="shared" si="16"/>
        <v>0</v>
      </c>
      <c r="G56" s="469">
        <f t="shared" si="16"/>
        <v>0</v>
      </c>
      <c r="H56" s="469">
        <f t="shared" si="16"/>
        <v>0</v>
      </c>
      <c r="I56" s="469">
        <f t="shared" si="16"/>
        <v>0</v>
      </c>
      <c r="J56" s="469">
        <f t="shared" si="16"/>
        <v>0</v>
      </c>
      <c r="K56" s="469">
        <f t="shared" si="16"/>
        <v>0</v>
      </c>
      <c r="L56" s="469">
        <f t="shared" si="16"/>
        <v>0</v>
      </c>
    </row>
    <row r="57" spans="1:12" x14ac:dyDescent="0.2">
      <c r="A57" s="777"/>
      <c r="B57" s="459" t="s">
        <v>914</v>
      </c>
      <c r="C57" s="469">
        <f t="shared" ref="C57:L57" si="17">(C48*100)/C52</f>
        <v>32.244223450727247</v>
      </c>
      <c r="D57" s="469">
        <f t="shared" si="17"/>
        <v>32.244223450727247</v>
      </c>
      <c r="E57" s="469">
        <f t="shared" si="17"/>
        <v>32.244223450727247</v>
      </c>
      <c r="F57" s="469">
        <f t="shared" si="17"/>
        <v>32.244223450727247</v>
      </c>
      <c r="G57" s="469">
        <f t="shared" si="17"/>
        <v>32.244223450727247</v>
      </c>
      <c r="H57" s="469">
        <f t="shared" si="17"/>
        <v>32.244223450727247</v>
      </c>
      <c r="I57" s="469">
        <f t="shared" si="17"/>
        <v>32.244223450727247</v>
      </c>
      <c r="J57" s="469">
        <f t="shared" si="17"/>
        <v>32.244223450727247</v>
      </c>
      <c r="K57" s="469">
        <f t="shared" si="17"/>
        <v>32.244223450727247</v>
      </c>
      <c r="L57" s="469">
        <f t="shared" si="17"/>
        <v>32.244223450727247</v>
      </c>
    </row>
    <row r="58" spans="1:12" x14ac:dyDescent="0.2">
      <c r="A58" s="778"/>
      <c r="B58" s="476" t="s">
        <v>915</v>
      </c>
      <c r="C58" s="469">
        <f t="shared" ref="C58:L58" si="18">(C49*100)/C52</f>
        <v>-8.1980106058133853</v>
      </c>
      <c r="D58" s="469">
        <f t="shared" si="18"/>
        <v>-8.1980106058133853</v>
      </c>
      <c r="E58" s="469">
        <f t="shared" si="18"/>
        <v>-8.1980106058133853</v>
      </c>
      <c r="F58" s="469">
        <f t="shared" si="18"/>
        <v>-8.1980106058133853</v>
      </c>
      <c r="G58" s="469">
        <f t="shared" si="18"/>
        <v>-8.1980106058133853</v>
      </c>
      <c r="H58" s="469">
        <f t="shared" si="18"/>
        <v>-8.1980106058133853</v>
      </c>
      <c r="I58" s="469">
        <f t="shared" si="18"/>
        <v>-8.1980106058133853</v>
      </c>
      <c r="J58" s="469">
        <f t="shared" si="18"/>
        <v>-8.1980106058133853</v>
      </c>
      <c r="K58" s="469">
        <f t="shared" si="18"/>
        <v>-8.1980106058133853</v>
      </c>
      <c r="L58" s="469">
        <f t="shared" si="18"/>
        <v>-8.1980106058133853</v>
      </c>
    </row>
    <row r="59" spans="1:12" x14ac:dyDescent="0.2">
      <c r="A59" s="777"/>
      <c r="B59" s="477" t="s">
        <v>916</v>
      </c>
      <c r="C59" s="478">
        <f>(C50*100)/C52</f>
        <v>77.465372077978799</v>
      </c>
      <c r="D59" s="478">
        <f t="shared" ref="D59:L59" si="19">(D50*100)/D52</f>
        <v>77.465372077978799</v>
      </c>
      <c r="E59" s="478">
        <f t="shared" si="19"/>
        <v>77.465372077978799</v>
      </c>
      <c r="F59" s="478">
        <f t="shared" si="19"/>
        <v>77.465372077978799</v>
      </c>
      <c r="G59" s="478">
        <f t="shared" si="19"/>
        <v>77.465372077978799</v>
      </c>
      <c r="H59" s="478">
        <f t="shared" si="19"/>
        <v>77.465372077978799</v>
      </c>
      <c r="I59" s="478">
        <f t="shared" si="19"/>
        <v>77.465372077978799</v>
      </c>
      <c r="J59" s="478">
        <f t="shared" si="19"/>
        <v>77.465372077978799</v>
      </c>
      <c r="K59" s="478">
        <f t="shared" si="19"/>
        <v>77.465372077978799</v>
      </c>
      <c r="L59" s="478">
        <f t="shared" si="19"/>
        <v>77.465372077978799</v>
      </c>
    </row>
    <row r="60" spans="1:12" x14ac:dyDescent="0.2">
      <c r="A60" s="777"/>
      <c r="B60" s="459" t="s">
        <v>917</v>
      </c>
      <c r="C60" s="469">
        <f t="shared" ref="C60:L60" si="20">(C51*100)/C52</f>
        <v>-1.5115849228926568</v>
      </c>
      <c r="D60" s="469">
        <f t="shared" si="20"/>
        <v>-1.5115849228926568</v>
      </c>
      <c r="E60" s="469">
        <f t="shared" si="20"/>
        <v>-1.5115849228926568</v>
      </c>
      <c r="F60" s="469">
        <f t="shared" si="20"/>
        <v>-1.5115849228926568</v>
      </c>
      <c r="G60" s="469">
        <f t="shared" si="20"/>
        <v>-1.5115849228926568</v>
      </c>
      <c r="H60" s="469">
        <f t="shared" si="20"/>
        <v>-1.5115849228926568</v>
      </c>
      <c r="I60" s="469">
        <f t="shared" si="20"/>
        <v>-1.5115849228926568</v>
      </c>
      <c r="J60" s="469">
        <f t="shared" si="20"/>
        <v>-1.5115849228926568</v>
      </c>
      <c r="K60" s="469">
        <f t="shared" si="20"/>
        <v>-1.5115849228926568</v>
      </c>
      <c r="L60" s="469">
        <f t="shared" si="20"/>
        <v>-1.5115849228926568</v>
      </c>
    </row>
    <row r="61" spans="1:12" x14ac:dyDescent="0.2">
      <c r="A61" s="779"/>
      <c r="B61" s="459" t="s">
        <v>918</v>
      </c>
      <c r="C61" s="479">
        <f t="shared" ref="C61:L61" si="21">SUM(C56:C60)</f>
        <v>100.00000000000001</v>
      </c>
      <c r="D61" s="479">
        <f t="shared" si="21"/>
        <v>100.00000000000001</v>
      </c>
      <c r="E61" s="479">
        <f t="shared" si="21"/>
        <v>100.00000000000001</v>
      </c>
      <c r="F61" s="479">
        <f t="shared" si="21"/>
        <v>100.00000000000001</v>
      </c>
      <c r="G61" s="479">
        <f t="shared" si="21"/>
        <v>100.00000000000001</v>
      </c>
      <c r="H61" s="479">
        <f t="shared" si="21"/>
        <v>100.00000000000001</v>
      </c>
      <c r="I61" s="479">
        <f t="shared" si="21"/>
        <v>100.00000000000001</v>
      </c>
      <c r="J61" s="479">
        <f t="shared" si="21"/>
        <v>100.00000000000001</v>
      </c>
      <c r="K61" s="479">
        <f t="shared" si="21"/>
        <v>100.00000000000001</v>
      </c>
      <c r="L61" s="479">
        <f t="shared" si="21"/>
        <v>100.00000000000001</v>
      </c>
    </row>
    <row r="62" spans="1:12" x14ac:dyDescent="0.2">
      <c r="A62" s="480"/>
      <c r="B62" s="481"/>
      <c r="C62" s="481"/>
      <c r="D62" s="481"/>
      <c r="E62" s="481"/>
      <c r="F62" s="481"/>
      <c r="G62" s="481"/>
      <c r="H62" s="481"/>
      <c r="I62" s="481"/>
      <c r="J62" s="481"/>
      <c r="K62" s="481"/>
      <c r="L62" s="481"/>
    </row>
    <row r="63" spans="1:12" x14ac:dyDescent="0.2">
      <c r="A63" s="780" t="s">
        <v>919</v>
      </c>
      <c r="B63" s="458" t="s">
        <v>904</v>
      </c>
      <c r="C63" s="469">
        <f t="shared" ref="C63:L63" si="22">C47-(C53*C56)/100</f>
        <v>0</v>
      </c>
      <c r="D63" s="469">
        <f t="shared" si="22"/>
        <v>0</v>
      </c>
      <c r="E63" s="469">
        <f t="shared" si="22"/>
        <v>0</v>
      </c>
      <c r="F63" s="469">
        <f t="shared" si="22"/>
        <v>0</v>
      </c>
      <c r="G63" s="469">
        <f t="shared" si="22"/>
        <v>0</v>
      </c>
      <c r="H63" s="469">
        <f t="shared" si="22"/>
        <v>0</v>
      </c>
      <c r="I63" s="469">
        <f t="shared" si="22"/>
        <v>0</v>
      </c>
      <c r="J63" s="469">
        <f t="shared" si="22"/>
        <v>0</v>
      </c>
      <c r="K63" s="469">
        <f t="shared" si="22"/>
        <v>0</v>
      </c>
      <c r="L63" s="469">
        <f t="shared" si="22"/>
        <v>0</v>
      </c>
    </row>
    <row r="64" spans="1:12" x14ac:dyDescent="0.2">
      <c r="A64" s="781"/>
      <c r="B64" s="459" t="s">
        <v>905</v>
      </c>
      <c r="C64" s="469">
        <f t="shared" ref="C64:L64" si="23">C48-(C53*C57)/100</f>
        <v>0</v>
      </c>
      <c r="D64" s="469">
        <f t="shared" si="23"/>
        <v>0</v>
      </c>
      <c r="E64" s="469">
        <f t="shared" si="23"/>
        <v>0</v>
      </c>
      <c r="F64" s="469">
        <f t="shared" si="23"/>
        <v>0</v>
      </c>
      <c r="G64" s="469">
        <f t="shared" si="23"/>
        <v>0</v>
      </c>
      <c r="H64" s="469">
        <f t="shared" si="23"/>
        <v>0</v>
      </c>
      <c r="I64" s="469">
        <f t="shared" si="23"/>
        <v>0</v>
      </c>
      <c r="J64" s="469">
        <f t="shared" si="23"/>
        <v>0</v>
      </c>
      <c r="K64" s="469">
        <f t="shared" si="23"/>
        <v>0</v>
      </c>
      <c r="L64" s="469">
        <f t="shared" si="23"/>
        <v>0</v>
      </c>
    </row>
    <row r="65" spans="1:12" x14ac:dyDescent="0.2">
      <c r="A65" s="781"/>
      <c r="B65" s="459" t="s">
        <v>906</v>
      </c>
      <c r="C65" s="469">
        <f t="shared" ref="C65:L65" si="24">C49-(C53*C58)/100</f>
        <v>0</v>
      </c>
      <c r="D65" s="469">
        <f t="shared" si="24"/>
        <v>0</v>
      </c>
      <c r="E65" s="469">
        <f t="shared" si="24"/>
        <v>0</v>
      </c>
      <c r="F65" s="469">
        <f t="shared" si="24"/>
        <v>0</v>
      </c>
      <c r="G65" s="469">
        <f t="shared" si="24"/>
        <v>0</v>
      </c>
      <c r="H65" s="469">
        <f t="shared" si="24"/>
        <v>0</v>
      </c>
      <c r="I65" s="469">
        <f t="shared" si="24"/>
        <v>0</v>
      </c>
      <c r="J65" s="469">
        <f t="shared" si="24"/>
        <v>0</v>
      </c>
      <c r="K65" s="469">
        <f t="shared" si="24"/>
        <v>0</v>
      </c>
      <c r="L65" s="469">
        <f t="shared" si="24"/>
        <v>0</v>
      </c>
    </row>
    <row r="66" spans="1:12" x14ac:dyDescent="0.2">
      <c r="A66" s="781"/>
      <c r="B66" s="482" t="s">
        <v>907</v>
      </c>
      <c r="C66" s="473">
        <f t="shared" ref="C66:L66" si="25">C50-(C53*C59)/100</f>
        <v>0</v>
      </c>
      <c r="D66" s="473">
        <f t="shared" si="25"/>
        <v>0</v>
      </c>
      <c r="E66" s="473">
        <f t="shared" si="25"/>
        <v>0</v>
      </c>
      <c r="F66" s="473">
        <f t="shared" si="25"/>
        <v>0</v>
      </c>
      <c r="G66" s="473">
        <f t="shared" si="25"/>
        <v>0</v>
      </c>
      <c r="H66" s="473">
        <f t="shared" si="25"/>
        <v>0</v>
      </c>
      <c r="I66" s="473">
        <f t="shared" si="25"/>
        <v>0</v>
      </c>
      <c r="J66" s="473">
        <f t="shared" si="25"/>
        <v>0</v>
      </c>
      <c r="K66" s="473">
        <f t="shared" si="25"/>
        <v>0</v>
      </c>
      <c r="L66" s="473">
        <f t="shared" si="25"/>
        <v>0</v>
      </c>
    </row>
    <row r="67" spans="1:12" x14ac:dyDescent="0.2">
      <c r="A67" s="781"/>
      <c r="B67" s="459" t="s">
        <v>908</v>
      </c>
      <c r="C67" s="469">
        <f t="shared" ref="C67:L67" si="26">C51-(C53*C60)/100</f>
        <v>0</v>
      </c>
      <c r="D67" s="469">
        <f t="shared" si="26"/>
        <v>0</v>
      </c>
      <c r="E67" s="469">
        <f t="shared" si="26"/>
        <v>0</v>
      </c>
      <c r="F67" s="469">
        <f t="shared" si="26"/>
        <v>0</v>
      </c>
      <c r="G67" s="469">
        <f t="shared" si="26"/>
        <v>0</v>
      </c>
      <c r="H67" s="469">
        <f t="shared" si="26"/>
        <v>0</v>
      </c>
      <c r="I67" s="469">
        <f t="shared" si="26"/>
        <v>0</v>
      </c>
      <c r="J67" s="469">
        <f t="shared" si="26"/>
        <v>0</v>
      </c>
      <c r="K67" s="469">
        <f t="shared" si="26"/>
        <v>0</v>
      </c>
      <c r="L67" s="469">
        <f t="shared" si="26"/>
        <v>0</v>
      </c>
    </row>
    <row r="68" spans="1:12" x14ac:dyDescent="0.2">
      <c r="A68" s="781"/>
      <c r="B68" s="461" t="s">
        <v>920</v>
      </c>
      <c r="C68" s="469">
        <f t="shared" ref="C68:F68" si="27">SUM(C63:C67)</f>
        <v>0</v>
      </c>
      <c r="D68" s="469">
        <f t="shared" si="27"/>
        <v>0</v>
      </c>
      <c r="E68" s="469">
        <f t="shared" si="27"/>
        <v>0</v>
      </c>
      <c r="F68" s="469">
        <f t="shared" si="27"/>
        <v>0</v>
      </c>
      <c r="G68" s="469">
        <f t="shared" ref="G68:L68" si="28">SUM(G63:G67)</f>
        <v>0</v>
      </c>
      <c r="H68" s="469">
        <f t="shared" si="28"/>
        <v>0</v>
      </c>
      <c r="I68" s="469">
        <f t="shared" si="28"/>
        <v>0</v>
      </c>
      <c r="J68" s="469">
        <f t="shared" si="28"/>
        <v>0</v>
      </c>
      <c r="K68" s="469">
        <f t="shared" si="28"/>
        <v>0</v>
      </c>
      <c r="L68" s="469">
        <f t="shared" si="28"/>
        <v>0</v>
      </c>
    </row>
    <row r="69" spans="1:12" x14ac:dyDescent="0.2">
      <c r="A69" s="475"/>
      <c r="B69" s="483"/>
      <c r="C69" s="460"/>
      <c r="D69" s="460"/>
      <c r="E69" s="460"/>
      <c r="F69" s="460"/>
      <c r="G69" s="460"/>
      <c r="H69" s="460"/>
      <c r="I69" s="460"/>
      <c r="J69" s="460"/>
      <c r="K69" s="460"/>
      <c r="L69" s="460"/>
    </row>
    <row r="70" spans="1:12" x14ac:dyDescent="0.2">
      <c r="A70" s="782"/>
      <c r="B70" s="484" t="s">
        <v>921</v>
      </c>
      <c r="C70" s="485">
        <f t="shared" ref="C70:L70" si="29">C10+C11+C14+C15+C16+C17</f>
        <v>0</v>
      </c>
      <c r="D70" s="485">
        <f t="shared" si="29"/>
        <v>0</v>
      </c>
      <c r="E70" s="485">
        <f t="shared" si="29"/>
        <v>0</v>
      </c>
      <c r="F70" s="485">
        <f t="shared" si="29"/>
        <v>0</v>
      </c>
      <c r="G70" s="485">
        <f t="shared" si="29"/>
        <v>0</v>
      </c>
      <c r="H70" s="485">
        <f t="shared" si="29"/>
        <v>0</v>
      </c>
      <c r="I70" s="485">
        <f t="shared" si="29"/>
        <v>0</v>
      </c>
      <c r="J70" s="485">
        <f t="shared" si="29"/>
        <v>0</v>
      </c>
      <c r="K70" s="485">
        <f t="shared" si="29"/>
        <v>0</v>
      </c>
      <c r="L70" s="485">
        <f t="shared" si="29"/>
        <v>0</v>
      </c>
    </row>
    <row r="71" spans="1:12" x14ac:dyDescent="0.2">
      <c r="A71" s="782"/>
      <c r="B71" s="486" t="s">
        <v>922</v>
      </c>
      <c r="C71" s="487">
        <f t="shared" ref="C71:L71" si="30">C50/C48</f>
        <v>2.4024573640718772</v>
      </c>
      <c r="D71" s="487">
        <f t="shared" si="30"/>
        <v>2.4024573640718772</v>
      </c>
      <c r="E71" s="487">
        <f t="shared" si="30"/>
        <v>2.4024573640718772</v>
      </c>
      <c r="F71" s="487">
        <f t="shared" si="30"/>
        <v>2.4024573640718772</v>
      </c>
      <c r="G71" s="487">
        <f t="shared" si="30"/>
        <v>2.4024573640718772</v>
      </c>
      <c r="H71" s="487">
        <f t="shared" si="30"/>
        <v>2.4024573640718772</v>
      </c>
      <c r="I71" s="487">
        <f t="shared" si="30"/>
        <v>2.4024573640718772</v>
      </c>
      <c r="J71" s="487">
        <f t="shared" si="30"/>
        <v>2.4024573640718772</v>
      </c>
      <c r="K71" s="487">
        <f t="shared" si="30"/>
        <v>2.4024573640718772</v>
      </c>
      <c r="L71" s="487">
        <f t="shared" si="30"/>
        <v>2.4024573640718772</v>
      </c>
    </row>
    <row r="72" spans="1:12" x14ac:dyDescent="0.2">
      <c r="A72" s="783" t="s">
        <v>923</v>
      </c>
      <c r="B72" s="458" t="s">
        <v>924</v>
      </c>
      <c r="C72" s="469">
        <f t="shared" ref="C72:L72" si="31">(C5)/((C6/100)^2)</f>
        <v>0</v>
      </c>
      <c r="D72" s="469">
        <f t="shared" si="31"/>
        <v>0</v>
      </c>
      <c r="E72" s="469">
        <f t="shared" si="31"/>
        <v>0</v>
      </c>
      <c r="F72" s="469">
        <f t="shared" si="31"/>
        <v>0</v>
      </c>
      <c r="G72" s="469">
        <f t="shared" si="31"/>
        <v>0</v>
      </c>
      <c r="H72" s="469">
        <f t="shared" si="31"/>
        <v>0</v>
      </c>
      <c r="I72" s="469">
        <f t="shared" si="31"/>
        <v>0</v>
      </c>
      <c r="J72" s="469">
        <f t="shared" si="31"/>
        <v>0</v>
      </c>
      <c r="K72" s="469">
        <f t="shared" si="31"/>
        <v>0</v>
      </c>
      <c r="L72" s="469">
        <f t="shared" si="31"/>
        <v>0</v>
      </c>
    </row>
    <row r="73" spans="1:12" x14ac:dyDescent="0.2">
      <c r="A73" s="784"/>
      <c r="B73" s="459" t="s">
        <v>925</v>
      </c>
      <c r="C73" s="469" t="e">
        <f t="shared" ref="C73:L73" si="32">C26/C27</f>
        <v>#DIV/0!</v>
      </c>
      <c r="D73" s="469" t="e">
        <f t="shared" si="32"/>
        <v>#DIV/0!</v>
      </c>
      <c r="E73" s="469" t="e">
        <f t="shared" si="32"/>
        <v>#DIV/0!</v>
      </c>
      <c r="F73" s="469" t="e">
        <f t="shared" si="32"/>
        <v>#DIV/0!</v>
      </c>
      <c r="G73" s="469" t="e">
        <f t="shared" si="32"/>
        <v>#DIV/0!</v>
      </c>
      <c r="H73" s="469" t="e">
        <f t="shared" si="32"/>
        <v>#DIV/0!</v>
      </c>
      <c r="I73" s="469" t="e">
        <f t="shared" si="32"/>
        <v>#DIV/0!</v>
      </c>
      <c r="J73" s="469" t="e">
        <f t="shared" si="32"/>
        <v>#DIV/0!</v>
      </c>
      <c r="K73" s="469" t="e">
        <f t="shared" si="32"/>
        <v>#DIV/0!</v>
      </c>
      <c r="L73" s="469" t="e">
        <f t="shared" si="32"/>
        <v>#DIV/0!</v>
      </c>
    </row>
    <row r="74" spans="1:12" x14ac:dyDescent="0.2">
      <c r="A74" s="784"/>
      <c r="B74" s="459" t="s">
        <v>485</v>
      </c>
      <c r="C74" s="469">
        <f t="shared" ref="C74:L74" si="33">(C37/(C6/100))*10</f>
        <v>0</v>
      </c>
      <c r="D74" s="469">
        <f t="shared" si="33"/>
        <v>0</v>
      </c>
      <c r="E74" s="469">
        <f t="shared" si="33"/>
        <v>0</v>
      </c>
      <c r="F74" s="469">
        <f t="shared" si="33"/>
        <v>0</v>
      </c>
      <c r="G74" s="469">
        <f t="shared" si="33"/>
        <v>0</v>
      </c>
      <c r="H74" s="469">
        <f t="shared" si="33"/>
        <v>0</v>
      </c>
      <c r="I74" s="469">
        <f t="shared" si="33"/>
        <v>0</v>
      </c>
      <c r="J74" s="469">
        <f t="shared" si="33"/>
        <v>0</v>
      </c>
      <c r="K74" s="469">
        <f t="shared" si="33"/>
        <v>0</v>
      </c>
      <c r="L74" s="469">
        <f t="shared" si="33"/>
        <v>0</v>
      </c>
    </row>
    <row r="75" spans="1:12" x14ac:dyDescent="0.2">
      <c r="A75" s="784"/>
      <c r="B75" s="459" t="s">
        <v>926</v>
      </c>
      <c r="C75" s="469">
        <f t="shared" ref="C75:L75" si="34">(C10/10)*C21/2-((C10/10)*(C10/10)*3.1416/4)</f>
        <v>0</v>
      </c>
      <c r="D75" s="469">
        <f t="shared" si="34"/>
        <v>0</v>
      </c>
      <c r="E75" s="469">
        <f t="shared" si="34"/>
        <v>0</v>
      </c>
      <c r="F75" s="469">
        <f t="shared" si="34"/>
        <v>0</v>
      </c>
      <c r="G75" s="469">
        <f t="shared" si="34"/>
        <v>0</v>
      </c>
      <c r="H75" s="469">
        <f t="shared" si="34"/>
        <v>0</v>
      </c>
      <c r="I75" s="469">
        <f t="shared" si="34"/>
        <v>0</v>
      </c>
      <c r="J75" s="469">
        <f t="shared" si="34"/>
        <v>0</v>
      </c>
      <c r="K75" s="469">
        <f t="shared" si="34"/>
        <v>0</v>
      </c>
      <c r="L75" s="469">
        <f t="shared" si="34"/>
        <v>0</v>
      </c>
    </row>
    <row r="76" spans="1:12" x14ac:dyDescent="0.2">
      <c r="A76" s="784"/>
      <c r="B76" s="459" t="s">
        <v>927</v>
      </c>
      <c r="C76" s="469">
        <f t="shared" ref="C76:L76" si="35">((C21-(C10/10)*3.1416)*(C21-(C10/10)*3.1416)/12.5664-10)</f>
        <v>-10</v>
      </c>
      <c r="D76" s="469">
        <f t="shared" si="35"/>
        <v>-10</v>
      </c>
      <c r="E76" s="469">
        <f t="shared" si="35"/>
        <v>-10</v>
      </c>
      <c r="F76" s="469">
        <f t="shared" si="35"/>
        <v>-10</v>
      </c>
      <c r="G76" s="469">
        <f t="shared" si="35"/>
        <v>-10</v>
      </c>
      <c r="H76" s="469">
        <f t="shared" si="35"/>
        <v>-10</v>
      </c>
      <c r="I76" s="469">
        <f t="shared" si="35"/>
        <v>-10</v>
      </c>
      <c r="J76" s="469">
        <f t="shared" si="35"/>
        <v>-10</v>
      </c>
      <c r="K76" s="469">
        <f t="shared" si="35"/>
        <v>-10</v>
      </c>
      <c r="L76" s="469">
        <f t="shared" si="35"/>
        <v>-10</v>
      </c>
    </row>
    <row r="77" spans="1:12" x14ac:dyDescent="0.2">
      <c r="A77" s="784"/>
      <c r="B77" s="459" t="s">
        <v>928</v>
      </c>
      <c r="C77" s="469">
        <f t="shared" ref="C77:L77" si="36">C10+C11+C12+C13</f>
        <v>0</v>
      </c>
      <c r="D77" s="469">
        <f t="shared" si="36"/>
        <v>0</v>
      </c>
      <c r="E77" s="469">
        <f t="shared" si="36"/>
        <v>0</v>
      </c>
      <c r="F77" s="469">
        <f t="shared" si="36"/>
        <v>0</v>
      </c>
      <c r="G77" s="469">
        <f t="shared" si="36"/>
        <v>0</v>
      </c>
      <c r="H77" s="469">
        <f t="shared" si="36"/>
        <v>0</v>
      </c>
      <c r="I77" s="469">
        <f t="shared" si="36"/>
        <v>0</v>
      </c>
      <c r="J77" s="469">
        <f t="shared" si="36"/>
        <v>0</v>
      </c>
      <c r="K77" s="469">
        <f t="shared" si="36"/>
        <v>0</v>
      </c>
      <c r="L77" s="469">
        <f t="shared" si="36"/>
        <v>0</v>
      </c>
    </row>
    <row r="78" spans="1:12" x14ac:dyDescent="0.2">
      <c r="A78" s="784"/>
      <c r="B78" s="459" t="s">
        <v>929</v>
      </c>
      <c r="C78" s="469">
        <f t="shared" ref="C78:L78" si="37">SUM(C10:C17)</f>
        <v>0</v>
      </c>
      <c r="D78" s="469">
        <f t="shared" si="37"/>
        <v>0</v>
      </c>
      <c r="E78" s="469">
        <f t="shared" si="37"/>
        <v>0</v>
      </c>
      <c r="F78" s="469">
        <f t="shared" si="37"/>
        <v>0</v>
      </c>
      <c r="G78" s="469">
        <f t="shared" si="37"/>
        <v>0</v>
      </c>
      <c r="H78" s="469">
        <f t="shared" si="37"/>
        <v>0</v>
      </c>
      <c r="I78" s="469">
        <f t="shared" si="37"/>
        <v>0</v>
      </c>
      <c r="J78" s="469">
        <f t="shared" si="37"/>
        <v>0</v>
      </c>
      <c r="K78" s="469">
        <f t="shared" si="37"/>
        <v>0</v>
      </c>
      <c r="L78" s="469">
        <f t="shared" si="37"/>
        <v>0</v>
      </c>
    </row>
    <row r="79" spans="1:12" x14ac:dyDescent="0.2">
      <c r="A79" s="784"/>
      <c r="B79" s="459" t="s">
        <v>930</v>
      </c>
      <c r="C79" s="469">
        <f t="shared" ref="C79:L79" si="38">(((0.2467)*(C12+C10+C11+C13))+((0.12*C26)))-2.18</f>
        <v>-2.1800000000000002</v>
      </c>
      <c r="D79" s="469">
        <f t="shared" si="38"/>
        <v>-2.1800000000000002</v>
      </c>
      <c r="E79" s="469">
        <f t="shared" si="38"/>
        <v>-2.1800000000000002</v>
      </c>
      <c r="F79" s="469">
        <f t="shared" si="38"/>
        <v>-2.1800000000000002</v>
      </c>
      <c r="G79" s="469">
        <f t="shared" si="38"/>
        <v>-2.1800000000000002</v>
      </c>
      <c r="H79" s="469">
        <f t="shared" si="38"/>
        <v>-2.1800000000000002</v>
      </c>
      <c r="I79" s="469">
        <f t="shared" si="38"/>
        <v>-2.1800000000000002</v>
      </c>
      <c r="J79" s="469">
        <f t="shared" si="38"/>
        <v>-2.1800000000000002</v>
      </c>
      <c r="K79" s="469">
        <f t="shared" si="38"/>
        <v>-2.1800000000000002</v>
      </c>
      <c r="L79" s="469">
        <f t="shared" si="38"/>
        <v>-2.1800000000000002</v>
      </c>
    </row>
    <row r="80" spans="1:12" x14ac:dyDescent="0.2">
      <c r="A80" s="784"/>
      <c r="B80" s="488" t="s">
        <v>931</v>
      </c>
      <c r="C80" s="489">
        <f t="shared" ref="C80:L80" si="39">(2.585)+(0.1051*(C10+C11+C15+C14+C16+C17))</f>
        <v>2.585</v>
      </c>
      <c r="D80" s="489">
        <f t="shared" si="39"/>
        <v>2.585</v>
      </c>
      <c r="E80" s="489">
        <f t="shared" si="39"/>
        <v>2.585</v>
      </c>
      <c r="F80" s="489">
        <f t="shared" si="39"/>
        <v>2.585</v>
      </c>
      <c r="G80" s="490">
        <f t="shared" si="39"/>
        <v>2.585</v>
      </c>
      <c r="H80" s="489">
        <f t="shared" si="39"/>
        <v>2.585</v>
      </c>
      <c r="I80" s="489">
        <f t="shared" si="39"/>
        <v>2.585</v>
      </c>
      <c r="J80" s="489">
        <f t="shared" si="39"/>
        <v>2.585</v>
      </c>
      <c r="K80" s="489">
        <f t="shared" si="39"/>
        <v>2.585</v>
      </c>
      <c r="L80" s="489">
        <f t="shared" si="39"/>
        <v>2.585</v>
      </c>
    </row>
    <row r="81" spans="1:12" x14ac:dyDescent="0.2">
      <c r="A81" s="784"/>
      <c r="B81" s="459" t="s">
        <v>932</v>
      </c>
      <c r="C81" s="469">
        <f>C80</f>
        <v>2.585</v>
      </c>
      <c r="D81" s="469">
        <f>D80</f>
        <v>2.585</v>
      </c>
      <c r="E81" s="469">
        <f>E80</f>
        <v>2.585</v>
      </c>
      <c r="F81" s="469">
        <f>F80</f>
        <v>2.585</v>
      </c>
      <c r="G81" s="469">
        <f t="shared" ref="G81:L81" si="40">G80</f>
        <v>2.585</v>
      </c>
      <c r="H81" s="469">
        <f t="shared" si="40"/>
        <v>2.585</v>
      </c>
      <c r="I81" s="469">
        <f t="shared" si="40"/>
        <v>2.585</v>
      </c>
      <c r="J81" s="469">
        <f t="shared" si="40"/>
        <v>2.585</v>
      </c>
      <c r="K81" s="469">
        <f t="shared" si="40"/>
        <v>2.585</v>
      </c>
      <c r="L81" s="469">
        <f t="shared" si="40"/>
        <v>2.585</v>
      </c>
    </row>
    <row r="82" spans="1:12" x14ac:dyDescent="0.2">
      <c r="A82" s="784"/>
      <c r="B82" s="459" t="s">
        <v>933</v>
      </c>
      <c r="C82" s="469">
        <f t="shared" ref="C82:L82" si="41">((100-C81)*C5)/100</f>
        <v>0</v>
      </c>
      <c r="D82" s="469">
        <f t="shared" si="41"/>
        <v>0</v>
      </c>
      <c r="E82" s="469">
        <f t="shared" si="41"/>
        <v>0</v>
      </c>
      <c r="F82" s="469">
        <f t="shared" si="41"/>
        <v>0</v>
      </c>
      <c r="G82" s="469">
        <f t="shared" si="41"/>
        <v>0</v>
      </c>
      <c r="H82" s="469">
        <f t="shared" si="41"/>
        <v>0</v>
      </c>
      <c r="I82" s="469">
        <f t="shared" si="41"/>
        <v>0</v>
      </c>
      <c r="J82" s="469">
        <f t="shared" si="41"/>
        <v>0</v>
      </c>
      <c r="K82" s="469">
        <f t="shared" si="41"/>
        <v>0</v>
      </c>
      <c r="L82" s="469">
        <f t="shared" si="41"/>
        <v>0</v>
      </c>
    </row>
    <row r="83" spans="1:12" x14ac:dyDescent="0.2">
      <c r="A83" s="784"/>
      <c r="B83" s="459" t="s">
        <v>934</v>
      </c>
      <c r="C83" s="469">
        <f t="shared" ref="C83:L83" si="42">C5-C82</f>
        <v>0</v>
      </c>
      <c r="D83" s="469">
        <f t="shared" si="42"/>
        <v>0</v>
      </c>
      <c r="E83" s="469">
        <f t="shared" si="42"/>
        <v>0</v>
      </c>
      <c r="F83" s="469">
        <f t="shared" si="42"/>
        <v>0</v>
      </c>
      <c r="G83" s="469">
        <f t="shared" si="42"/>
        <v>0</v>
      </c>
      <c r="H83" s="469">
        <f t="shared" si="42"/>
        <v>0</v>
      </c>
      <c r="I83" s="469">
        <f t="shared" si="42"/>
        <v>0</v>
      </c>
      <c r="J83" s="469">
        <f t="shared" si="42"/>
        <v>0</v>
      </c>
      <c r="K83" s="469">
        <f t="shared" si="42"/>
        <v>0</v>
      </c>
      <c r="L83" s="469">
        <f t="shared" si="42"/>
        <v>0</v>
      </c>
    </row>
    <row r="84" spans="1:12" x14ac:dyDescent="0.2">
      <c r="A84" s="785"/>
      <c r="B84" s="491" t="s">
        <v>935</v>
      </c>
      <c r="C84" s="469">
        <v>6</v>
      </c>
      <c r="D84" s="469">
        <v>6</v>
      </c>
      <c r="E84" s="469">
        <v>6</v>
      </c>
      <c r="F84" s="469">
        <v>6</v>
      </c>
      <c r="G84" s="469">
        <v>6</v>
      </c>
      <c r="H84" s="469">
        <v>6</v>
      </c>
      <c r="I84" s="469">
        <v>6</v>
      </c>
      <c r="J84" s="469">
        <v>6</v>
      </c>
      <c r="K84" s="469">
        <v>6</v>
      </c>
      <c r="L84" s="469">
        <v>6</v>
      </c>
    </row>
    <row r="85" spans="1:12" x14ac:dyDescent="0.2">
      <c r="A85" s="785"/>
      <c r="B85" s="491" t="s">
        <v>936</v>
      </c>
      <c r="C85" s="469">
        <v>8</v>
      </c>
      <c r="D85" s="469">
        <v>8</v>
      </c>
      <c r="E85" s="469">
        <v>8</v>
      </c>
      <c r="F85" s="469">
        <v>8</v>
      </c>
      <c r="G85" s="469">
        <v>8</v>
      </c>
      <c r="H85" s="469">
        <v>8</v>
      </c>
      <c r="I85" s="469">
        <v>8</v>
      </c>
      <c r="J85" s="469">
        <v>8</v>
      </c>
      <c r="K85" s="469">
        <v>8</v>
      </c>
      <c r="L85" s="469">
        <v>8</v>
      </c>
    </row>
    <row r="86" spans="1:12" x14ac:dyDescent="0.2">
      <c r="A86" s="784"/>
      <c r="B86" s="459" t="s">
        <v>937</v>
      </c>
      <c r="C86" s="469">
        <f t="shared" ref="C86:L86" si="43">(C82)/(1-C84/100)</f>
        <v>0</v>
      </c>
      <c r="D86" s="469">
        <f t="shared" si="43"/>
        <v>0</v>
      </c>
      <c r="E86" s="469">
        <f t="shared" si="43"/>
        <v>0</v>
      </c>
      <c r="F86" s="469">
        <f t="shared" si="43"/>
        <v>0</v>
      </c>
      <c r="G86" s="469">
        <f t="shared" si="43"/>
        <v>0</v>
      </c>
      <c r="H86" s="469">
        <f t="shared" si="43"/>
        <v>0</v>
      </c>
      <c r="I86" s="469">
        <f t="shared" si="43"/>
        <v>0</v>
      </c>
      <c r="J86" s="469">
        <f t="shared" si="43"/>
        <v>0</v>
      </c>
      <c r="K86" s="469">
        <f t="shared" si="43"/>
        <v>0</v>
      </c>
      <c r="L86" s="469">
        <f t="shared" si="43"/>
        <v>0</v>
      </c>
    </row>
    <row r="87" spans="1:12" x14ac:dyDescent="0.2">
      <c r="A87" s="784"/>
      <c r="B87" s="459" t="s">
        <v>938</v>
      </c>
      <c r="C87" s="469">
        <f t="shared" ref="C87:L87" si="44">(C82)/(1-C85/100)</f>
        <v>0</v>
      </c>
      <c r="D87" s="469">
        <f t="shared" si="44"/>
        <v>0</v>
      </c>
      <c r="E87" s="469">
        <f t="shared" si="44"/>
        <v>0</v>
      </c>
      <c r="F87" s="469">
        <f t="shared" si="44"/>
        <v>0</v>
      </c>
      <c r="G87" s="469">
        <f t="shared" si="44"/>
        <v>0</v>
      </c>
      <c r="H87" s="469">
        <f t="shared" si="44"/>
        <v>0</v>
      </c>
      <c r="I87" s="469">
        <f t="shared" si="44"/>
        <v>0</v>
      </c>
      <c r="J87" s="469">
        <f t="shared" si="44"/>
        <v>0</v>
      </c>
      <c r="K87" s="469">
        <f t="shared" si="44"/>
        <v>0</v>
      </c>
      <c r="L87" s="469">
        <f t="shared" si="44"/>
        <v>0</v>
      </c>
    </row>
    <row r="88" spans="1:12" x14ac:dyDescent="0.2">
      <c r="A88" s="784"/>
      <c r="B88" s="459" t="s">
        <v>939</v>
      </c>
      <c r="C88" s="469">
        <f t="shared" ref="C88:L88" si="45">C86-C5</f>
        <v>0</v>
      </c>
      <c r="D88" s="469">
        <f t="shared" si="45"/>
        <v>0</v>
      </c>
      <c r="E88" s="469">
        <f t="shared" si="45"/>
        <v>0</v>
      </c>
      <c r="F88" s="469">
        <f t="shared" si="45"/>
        <v>0</v>
      </c>
      <c r="G88" s="469">
        <f t="shared" si="45"/>
        <v>0</v>
      </c>
      <c r="H88" s="469">
        <f t="shared" si="45"/>
        <v>0</v>
      </c>
      <c r="I88" s="469">
        <f t="shared" si="45"/>
        <v>0</v>
      </c>
      <c r="J88" s="469">
        <f t="shared" si="45"/>
        <v>0</v>
      </c>
      <c r="K88" s="469">
        <f t="shared" si="45"/>
        <v>0</v>
      </c>
      <c r="L88" s="469">
        <f t="shared" si="45"/>
        <v>0</v>
      </c>
    </row>
    <row r="89" spans="1:12" x14ac:dyDescent="0.2">
      <c r="A89" s="784"/>
      <c r="B89" s="461" t="s">
        <v>940</v>
      </c>
      <c r="C89" s="492">
        <f t="shared" ref="C89:L89" si="46">(C82*100000/(C6^3))</f>
        <v>0</v>
      </c>
      <c r="D89" s="492">
        <f t="shared" si="46"/>
        <v>0</v>
      </c>
      <c r="E89" s="492">
        <f t="shared" si="46"/>
        <v>0</v>
      </c>
      <c r="F89" s="492">
        <f t="shared" si="46"/>
        <v>0</v>
      </c>
      <c r="G89" s="492">
        <f t="shared" si="46"/>
        <v>0</v>
      </c>
      <c r="H89" s="492">
        <f t="shared" si="46"/>
        <v>0</v>
      </c>
      <c r="I89" s="492">
        <f t="shared" si="46"/>
        <v>0</v>
      </c>
      <c r="J89" s="492">
        <f t="shared" si="46"/>
        <v>0</v>
      </c>
      <c r="K89" s="492">
        <f t="shared" si="46"/>
        <v>0</v>
      </c>
      <c r="L89" s="492">
        <f t="shared" si="46"/>
        <v>0</v>
      </c>
    </row>
    <row r="90" spans="1:12" x14ac:dyDescent="0.2">
      <c r="A90" s="771" t="s">
        <v>941</v>
      </c>
      <c r="B90" s="493" t="s">
        <v>876</v>
      </c>
      <c r="C90" s="479" t="str">
        <f t="shared" ref="C90:L90" si="47">C1</f>
        <v>Javier Ignacio Alvarez Izaguirre</v>
      </c>
      <c r="D90" s="479">
        <f t="shared" si="47"/>
        <v>0</v>
      </c>
      <c r="E90" s="479">
        <f t="shared" si="47"/>
        <v>0</v>
      </c>
      <c r="F90" s="479">
        <f t="shared" si="47"/>
        <v>0</v>
      </c>
      <c r="G90" s="479">
        <f t="shared" si="47"/>
        <v>0</v>
      </c>
      <c r="H90" s="479">
        <f t="shared" si="47"/>
        <v>0</v>
      </c>
      <c r="I90" s="479">
        <f t="shared" si="47"/>
        <v>0</v>
      </c>
      <c r="J90" s="479">
        <f t="shared" si="47"/>
        <v>0</v>
      </c>
      <c r="K90" s="479">
        <f t="shared" si="47"/>
        <v>0</v>
      </c>
      <c r="L90" s="479">
        <f t="shared" si="47"/>
        <v>0</v>
      </c>
    </row>
    <row r="91" spans="1:12" x14ac:dyDescent="0.2">
      <c r="A91" s="771"/>
      <c r="B91" s="494" t="s">
        <v>942</v>
      </c>
      <c r="C91" s="469">
        <f t="shared" ref="C91:L91" si="48">C6</f>
        <v>185</v>
      </c>
      <c r="D91" s="469">
        <f t="shared" si="48"/>
        <v>185</v>
      </c>
      <c r="E91" s="469">
        <f t="shared" si="48"/>
        <v>185</v>
      </c>
      <c r="F91" s="469">
        <f t="shared" si="48"/>
        <v>185</v>
      </c>
      <c r="G91" s="469">
        <f t="shared" si="48"/>
        <v>185</v>
      </c>
      <c r="H91" s="469">
        <f t="shared" si="48"/>
        <v>185</v>
      </c>
      <c r="I91" s="469">
        <f t="shared" si="48"/>
        <v>185</v>
      </c>
      <c r="J91" s="469">
        <f t="shared" si="48"/>
        <v>185</v>
      </c>
      <c r="K91" s="469">
        <f t="shared" si="48"/>
        <v>185</v>
      </c>
      <c r="L91" s="469">
        <f t="shared" si="48"/>
        <v>185</v>
      </c>
    </row>
    <row r="92" spans="1:12" x14ac:dyDescent="0.2">
      <c r="A92" s="771"/>
      <c r="B92" s="494" t="s">
        <v>710</v>
      </c>
      <c r="C92" s="469">
        <f t="shared" ref="C92:L92" si="49">C5</f>
        <v>0</v>
      </c>
      <c r="D92" s="469">
        <f t="shared" si="49"/>
        <v>0</v>
      </c>
      <c r="E92" s="469">
        <f t="shared" si="49"/>
        <v>0</v>
      </c>
      <c r="F92" s="469">
        <f t="shared" si="49"/>
        <v>0</v>
      </c>
      <c r="G92" s="469">
        <f t="shared" si="49"/>
        <v>0</v>
      </c>
      <c r="H92" s="469">
        <f t="shared" si="49"/>
        <v>0</v>
      </c>
      <c r="I92" s="469">
        <f t="shared" si="49"/>
        <v>0</v>
      </c>
      <c r="J92" s="469">
        <f t="shared" si="49"/>
        <v>0</v>
      </c>
      <c r="K92" s="469">
        <f t="shared" si="49"/>
        <v>0</v>
      </c>
      <c r="L92" s="469">
        <f t="shared" si="49"/>
        <v>0</v>
      </c>
    </row>
    <row r="93" spans="1:12" x14ac:dyDescent="0.2">
      <c r="A93" s="771"/>
      <c r="B93" s="494" t="s">
        <v>943</v>
      </c>
      <c r="C93" s="469" t="e">
        <f t="shared" ref="C93:L93" si="50">C91/(C92^0.3333)</f>
        <v>#DIV/0!</v>
      </c>
      <c r="D93" s="469" t="e">
        <f t="shared" si="50"/>
        <v>#DIV/0!</v>
      </c>
      <c r="E93" s="469" t="e">
        <f t="shared" si="50"/>
        <v>#DIV/0!</v>
      </c>
      <c r="F93" s="469" t="e">
        <f t="shared" si="50"/>
        <v>#DIV/0!</v>
      </c>
      <c r="G93" s="469" t="e">
        <f t="shared" si="50"/>
        <v>#DIV/0!</v>
      </c>
      <c r="H93" s="469" t="e">
        <f t="shared" si="50"/>
        <v>#DIV/0!</v>
      </c>
      <c r="I93" s="469" t="e">
        <f t="shared" si="50"/>
        <v>#DIV/0!</v>
      </c>
      <c r="J93" s="469" t="e">
        <f t="shared" si="50"/>
        <v>#DIV/0!</v>
      </c>
      <c r="K93" s="469" t="e">
        <f t="shared" si="50"/>
        <v>#DIV/0!</v>
      </c>
      <c r="L93" s="469" t="e">
        <f t="shared" si="50"/>
        <v>#DIV/0!</v>
      </c>
    </row>
    <row r="94" spans="1:12" x14ac:dyDescent="0.2">
      <c r="A94" s="771" t="s">
        <v>944</v>
      </c>
      <c r="B94" s="493" t="s">
        <v>882</v>
      </c>
      <c r="C94" s="469">
        <f t="shared" ref="C94:L94" si="51">C10</f>
        <v>0</v>
      </c>
      <c r="D94" s="469">
        <f t="shared" si="51"/>
        <v>0</v>
      </c>
      <c r="E94" s="469">
        <f t="shared" si="51"/>
        <v>0</v>
      </c>
      <c r="F94" s="469">
        <f t="shared" si="51"/>
        <v>0</v>
      </c>
      <c r="G94" s="469">
        <f t="shared" si="51"/>
        <v>0</v>
      </c>
      <c r="H94" s="469">
        <f t="shared" si="51"/>
        <v>0</v>
      </c>
      <c r="I94" s="469">
        <f t="shared" si="51"/>
        <v>0</v>
      </c>
      <c r="J94" s="469">
        <f t="shared" si="51"/>
        <v>0</v>
      </c>
      <c r="K94" s="469">
        <f t="shared" si="51"/>
        <v>0</v>
      </c>
      <c r="L94" s="469">
        <f t="shared" si="51"/>
        <v>0</v>
      </c>
    </row>
    <row r="95" spans="1:12" x14ac:dyDescent="0.2">
      <c r="A95" s="771"/>
      <c r="B95" s="494" t="s">
        <v>6</v>
      </c>
      <c r="C95" s="469">
        <f t="shared" ref="C95:L95" si="52">C11</f>
        <v>0</v>
      </c>
      <c r="D95" s="469">
        <f t="shared" si="52"/>
        <v>0</v>
      </c>
      <c r="E95" s="469">
        <f t="shared" si="52"/>
        <v>0</v>
      </c>
      <c r="F95" s="469">
        <f t="shared" si="52"/>
        <v>0</v>
      </c>
      <c r="G95" s="469">
        <f t="shared" si="52"/>
        <v>0</v>
      </c>
      <c r="H95" s="469">
        <f t="shared" si="52"/>
        <v>0</v>
      </c>
      <c r="I95" s="469">
        <f t="shared" si="52"/>
        <v>0</v>
      </c>
      <c r="J95" s="469">
        <f t="shared" si="52"/>
        <v>0</v>
      </c>
      <c r="K95" s="469">
        <f t="shared" si="52"/>
        <v>0</v>
      </c>
      <c r="L95" s="469">
        <f t="shared" si="52"/>
        <v>0</v>
      </c>
    </row>
    <row r="96" spans="1:12" x14ac:dyDescent="0.2">
      <c r="A96" s="771"/>
      <c r="B96" s="494" t="s">
        <v>9</v>
      </c>
      <c r="C96" s="469">
        <f t="shared" ref="C96:L96" si="53">C17</f>
        <v>0</v>
      </c>
      <c r="D96" s="469">
        <f t="shared" si="53"/>
        <v>0</v>
      </c>
      <c r="E96" s="469">
        <f t="shared" si="53"/>
        <v>0</v>
      </c>
      <c r="F96" s="469">
        <f t="shared" si="53"/>
        <v>0</v>
      </c>
      <c r="G96" s="469">
        <f t="shared" si="53"/>
        <v>0</v>
      </c>
      <c r="H96" s="469">
        <f t="shared" si="53"/>
        <v>0</v>
      </c>
      <c r="I96" s="469">
        <f t="shared" si="53"/>
        <v>0</v>
      </c>
      <c r="J96" s="469">
        <f t="shared" si="53"/>
        <v>0</v>
      </c>
      <c r="K96" s="469">
        <f t="shared" si="53"/>
        <v>0</v>
      </c>
      <c r="L96" s="469">
        <f t="shared" si="53"/>
        <v>0</v>
      </c>
    </row>
    <row r="97" spans="1:12" x14ac:dyDescent="0.2">
      <c r="A97" s="771"/>
      <c r="B97" s="494" t="s">
        <v>945</v>
      </c>
      <c r="C97" s="469">
        <f t="shared" ref="C97:L97" si="54">C17</f>
        <v>0</v>
      </c>
      <c r="D97" s="469">
        <f t="shared" si="54"/>
        <v>0</v>
      </c>
      <c r="E97" s="469">
        <f t="shared" si="54"/>
        <v>0</v>
      </c>
      <c r="F97" s="469">
        <f t="shared" si="54"/>
        <v>0</v>
      </c>
      <c r="G97" s="469">
        <f t="shared" si="54"/>
        <v>0</v>
      </c>
      <c r="H97" s="469">
        <f t="shared" si="54"/>
        <v>0</v>
      </c>
      <c r="I97" s="469">
        <f t="shared" si="54"/>
        <v>0</v>
      </c>
      <c r="J97" s="469">
        <f t="shared" si="54"/>
        <v>0</v>
      </c>
      <c r="K97" s="469">
        <f t="shared" si="54"/>
        <v>0</v>
      </c>
      <c r="L97" s="469">
        <f t="shared" si="54"/>
        <v>0</v>
      </c>
    </row>
    <row r="98" spans="1:12" x14ac:dyDescent="0.2">
      <c r="A98" s="771" t="s">
        <v>220</v>
      </c>
      <c r="B98" s="493" t="s">
        <v>946</v>
      </c>
      <c r="C98" s="469">
        <f t="shared" ref="C98:L98" si="55">C22</f>
        <v>0</v>
      </c>
      <c r="D98" s="469">
        <f t="shared" si="55"/>
        <v>0</v>
      </c>
      <c r="E98" s="469">
        <f t="shared" si="55"/>
        <v>0</v>
      </c>
      <c r="F98" s="469">
        <f t="shared" si="55"/>
        <v>0</v>
      </c>
      <c r="G98" s="469">
        <f t="shared" si="55"/>
        <v>0</v>
      </c>
      <c r="H98" s="469">
        <f t="shared" si="55"/>
        <v>0</v>
      </c>
      <c r="I98" s="469">
        <f t="shared" si="55"/>
        <v>0</v>
      </c>
      <c r="J98" s="469">
        <f t="shared" si="55"/>
        <v>0</v>
      </c>
      <c r="K98" s="469">
        <f t="shared" si="55"/>
        <v>0</v>
      </c>
      <c r="L98" s="469">
        <f t="shared" si="55"/>
        <v>0</v>
      </c>
    </row>
    <row r="99" spans="1:12" x14ac:dyDescent="0.2">
      <c r="A99" s="771"/>
      <c r="B99" s="494" t="s">
        <v>947</v>
      </c>
      <c r="C99" s="469">
        <f t="shared" ref="C99:L99" si="56">C30</f>
        <v>0</v>
      </c>
      <c r="D99" s="469">
        <f t="shared" si="56"/>
        <v>0</v>
      </c>
      <c r="E99" s="469">
        <f t="shared" si="56"/>
        <v>0</v>
      </c>
      <c r="F99" s="469">
        <f t="shared" si="56"/>
        <v>0</v>
      </c>
      <c r="G99" s="469">
        <f t="shared" si="56"/>
        <v>0</v>
      </c>
      <c r="H99" s="469">
        <f t="shared" si="56"/>
        <v>0</v>
      </c>
      <c r="I99" s="469">
        <f t="shared" si="56"/>
        <v>0</v>
      </c>
      <c r="J99" s="469">
        <f t="shared" si="56"/>
        <v>0</v>
      </c>
      <c r="K99" s="469">
        <f t="shared" si="56"/>
        <v>0</v>
      </c>
      <c r="L99" s="469">
        <f t="shared" si="56"/>
        <v>0</v>
      </c>
    </row>
    <row r="100" spans="1:12" x14ac:dyDescent="0.2">
      <c r="A100" s="771" t="s">
        <v>948</v>
      </c>
      <c r="B100" s="493" t="s">
        <v>949</v>
      </c>
      <c r="C100" s="469">
        <f t="shared" ref="C100:L100" si="57">C37</f>
        <v>0</v>
      </c>
      <c r="D100" s="469">
        <f t="shared" si="57"/>
        <v>0</v>
      </c>
      <c r="E100" s="469">
        <f t="shared" si="57"/>
        <v>0</v>
      </c>
      <c r="F100" s="469">
        <f t="shared" si="57"/>
        <v>0</v>
      </c>
      <c r="G100" s="469">
        <f t="shared" si="57"/>
        <v>0</v>
      </c>
      <c r="H100" s="469">
        <f t="shared" si="57"/>
        <v>0</v>
      </c>
      <c r="I100" s="469">
        <f t="shared" si="57"/>
        <v>0</v>
      </c>
      <c r="J100" s="469">
        <f t="shared" si="57"/>
        <v>0</v>
      </c>
      <c r="K100" s="469">
        <f t="shared" si="57"/>
        <v>0</v>
      </c>
      <c r="L100" s="469">
        <f t="shared" si="57"/>
        <v>0</v>
      </c>
    </row>
    <row r="101" spans="1:12" x14ac:dyDescent="0.2">
      <c r="A101" s="771"/>
      <c r="B101" s="494" t="s">
        <v>950</v>
      </c>
      <c r="C101" s="469">
        <f t="shared" ref="C101:L101" si="58">C38</f>
        <v>0</v>
      </c>
      <c r="D101" s="469">
        <f t="shared" si="58"/>
        <v>0</v>
      </c>
      <c r="E101" s="469">
        <f t="shared" si="58"/>
        <v>0</v>
      </c>
      <c r="F101" s="469">
        <f t="shared" si="58"/>
        <v>0</v>
      </c>
      <c r="G101" s="469">
        <f t="shared" si="58"/>
        <v>0</v>
      </c>
      <c r="H101" s="469">
        <f t="shared" si="58"/>
        <v>0</v>
      </c>
      <c r="I101" s="469">
        <f t="shared" si="58"/>
        <v>0</v>
      </c>
      <c r="J101" s="469">
        <f t="shared" si="58"/>
        <v>0</v>
      </c>
      <c r="K101" s="469">
        <f t="shared" si="58"/>
        <v>0</v>
      </c>
      <c r="L101" s="469">
        <f t="shared" si="58"/>
        <v>0</v>
      </c>
    </row>
    <row r="102" spans="1:12" x14ac:dyDescent="0.2">
      <c r="A102" s="771" t="s">
        <v>951</v>
      </c>
      <c r="B102" s="493" t="s">
        <v>952</v>
      </c>
      <c r="C102" s="469">
        <f t="shared" ref="C102:F102" si="59">SUM(C94:C96)</f>
        <v>0</v>
      </c>
      <c r="D102" s="469">
        <f t="shared" si="59"/>
        <v>0</v>
      </c>
      <c r="E102" s="469">
        <f t="shared" si="59"/>
        <v>0</v>
      </c>
      <c r="F102" s="469">
        <f t="shared" si="59"/>
        <v>0</v>
      </c>
      <c r="G102" s="469">
        <f t="shared" ref="G102:L102" si="60">SUM(G94:G96)</f>
        <v>0</v>
      </c>
      <c r="H102" s="469">
        <f t="shared" si="60"/>
        <v>0</v>
      </c>
      <c r="I102" s="469">
        <f t="shared" si="60"/>
        <v>0</v>
      </c>
      <c r="J102" s="469">
        <f t="shared" si="60"/>
        <v>0</v>
      </c>
      <c r="K102" s="469">
        <f t="shared" si="60"/>
        <v>0</v>
      </c>
      <c r="L102" s="469">
        <f t="shared" si="60"/>
        <v>0</v>
      </c>
    </row>
    <row r="103" spans="1:12" x14ac:dyDescent="0.2">
      <c r="A103" s="771"/>
      <c r="B103" s="494" t="s">
        <v>953</v>
      </c>
      <c r="C103" s="469">
        <f t="shared" ref="C103:L103" si="61">(170.18/C91)*C102</f>
        <v>0</v>
      </c>
      <c r="D103" s="469">
        <f t="shared" si="61"/>
        <v>0</v>
      </c>
      <c r="E103" s="469">
        <f t="shared" si="61"/>
        <v>0</v>
      </c>
      <c r="F103" s="469">
        <f t="shared" si="61"/>
        <v>0</v>
      </c>
      <c r="G103" s="469">
        <f t="shared" si="61"/>
        <v>0</v>
      </c>
      <c r="H103" s="469">
        <f t="shared" si="61"/>
        <v>0</v>
      </c>
      <c r="I103" s="469">
        <f t="shared" si="61"/>
        <v>0</v>
      </c>
      <c r="J103" s="469">
        <f t="shared" si="61"/>
        <v>0</v>
      </c>
      <c r="K103" s="469">
        <f t="shared" si="61"/>
        <v>0</v>
      </c>
      <c r="L103" s="469">
        <f t="shared" si="61"/>
        <v>0</v>
      </c>
    </row>
    <row r="104" spans="1:12" x14ac:dyDescent="0.2">
      <c r="A104" s="771"/>
      <c r="B104" s="494" t="s">
        <v>954</v>
      </c>
      <c r="C104" s="469">
        <f t="shared" ref="C104:L104" si="62">(C103^2)</f>
        <v>0</v>
      </c>
      <c r="D104" s="469">
        <f t="shared" si="62"/>
        <v>0</v>
      </c>
      <c r="E104" s="469">
        <f t="shared" si="62"/>
        <v>0</v>
      </c>
      <c r="F104" s="469">
        <f t="shared" si="62"/>
        <v>0</v>
      </c>
      <c r="G104" s="469">
        <f t="shared" si="62"/>
        <v>0</v>
      </c>
      <c r="H104" s="469">
        <f t="shared" si="62"/>
        <v>0</v>
      </c>
      <c r="I104" s="469">
        <f t="shared" si="62"/>
        <v>0</v>
      </c>
      <c r="J104" s="469">
        <f t="shared" si="62"/>
        <v>0</v>
      </c>
      <c r="K104" s="469">
        <f t="shared" si="62"/>
        <v>0</v>
      </c>
      <c r="L104" s="469">
        <f t="shared" si="62"/>
        <v>0</v>
      </c>
    </row>
    <row r="105" spans="1:12" x14ac:dyDescent="0.2">
      <c r="A105" s="771"/>
      <c r="B105" s="494" t="s">
        <v>955</v>
      </c>
      <c r="C105" s="469">
        <f t="shared" ref="C105:L105" si="63">(C103^3)</f>
        <v>0</v>
      </c>
      <c r="D105" s="469">
        <f t="shared" si="63"/>
        <v>0</v>
      </c>
      <c r="E105" s="469">
        <f t="shared" si="63"/>
        <v>0</v>
      </c>
      <c r="F105" s="469">
        <f t="shared" si="63"/>
        <v>0</v>
      </c>
      <c r="G105" s="469">
        <f t="shared" si="63"/>
        <v>0</v>
      </c>
      <c r="H105" s="469">
        <f t="shared" si="63"/>
        <v>0</v>
      </c>
      <c r="I105" s="469">
        <f t="shared" si="63"/>
        <v>0</v>
      </c>
      <c r="J105" s="469">
        <f t="shared" si="63"/>
        <v>0</v>
      </c>
      <c r="K105" s="469">
        <f t="shared" si="63"/>
        <v>0</v>
      </c>
      <c r="L105" s="469">
        <f t="shared" si="63"/>
        <v>0</v>
      </c>
    </row>
    <row r="106" spans="1:12" x14ac:dyDescent="0.2">
      <c r="A106" s="771" t="s">
        <v>956</v>
      </c>
      <c r="B106" s="493" t="s">
        <v>957</v>
      </c>
      <c r="C106" s="469">
        <f t="shared" ref="C106:L106" si="64">(C98-(C94/10))</f>
        <v>0</v>
      </c>
      <c r="D106" s="469">
        <f t="shared" si="64"/>
        <v>0</v>
      </c>
      <c r="E106" s="469">
        <f t="shared" si="64"/>
        <v>0</v>
      </c>
      <c r="F106" s="469">
        <f t="shared" si="64"/>
        <v>0</v>
      </c>
      <c r="G106" s="469">
        <f t="shared" si="64"/>
        <v>0</v>
      </c>
      <c r="H106" s="469">
        <f t="shared" si="64"/>
        <v>0</v>
      </c>
      <c r="I106" s="469">
        <f t="shared" si="64"/>
        <v>0</v>
      </c>
      <c r="J106" s="469">
        <f t="shared" si="64"/>
        <v>0</v>
      </c>
      <c r="K106" s="469">
        <f t="shared" si="64"/>
        <v>0</v>
      </c>
      <c r="L106" s="469">
        <f t="shared" si="64"/>
        <v>0</v>
      </c>
    </row>
    <row r="107" spans="1:12" x14ac:dyDescent="0.2">
      <c r="A107" s="771"/>
      <c r="B107" s="494" t="s">
        <v>958</v>
      </c>
      <c r="C107" s="469">
        <f t="shared" ref="C107:L107" si="65">(C99-(C97/10))</f>
        <v>0</v>
      </c>
      <c r="D107" s="469">
        <f t="shared" si="65"/>
        <v>0</v>
      </c>
      <c r="E107" s="469">
        <f t="shared" si="65"/>
        <v>0</v>
      </c>
      <c r="F107" s="469">
        <f t="shared" si="65"/>
        <v>0</v>
      </c>
      <c r="G107" s="469">
        <f t="shared" si="65"/>
        <v>0</v>
      </c>
      <c r="H107" s="469">
        <f t="shared" si="65"/>
        <v>0</v>
      </c>
      <c r="I107" s="469">
        <f t="shared" si="65"/>
        <v>0</v>
      </c>
      <c r="J107" s="469">
        <f t="shared" si="65"/>
        <v>0</v>
      </c>
      <c r="K107" s="469">
        <f t="shared" si="65"/>
        <v>0</v>
      </c>
      <c r="L107" s="469">
        <f t="shared" si="65"/>
        <v>0</v>
      </c>
    </row>
    <row r="108" spans="1:12" x14ac:dyDescent="0.2">
      <c r="A108" s="783" t="s">
        <v>959</v>
      </c>
      <c r="B108" s="458" t="s">
        <v>960</v>
      </c>
      <c r="C108" s="469">
        <f t="shared" ref="C108:L108" si="66">(-0.7182+(0.1451*C103)-(0.00068*C104)+(0.0000014*C105))</f>
        <v>-0.71819999999999995</v>
      </c>
      <c r="D108" s="469">
        <f t="shared" si="66"/>
        <v>-0.71819999999999995</v>
      </c>
      <c r="E108" s="469">
        <f t="shared" si="66"/>
        <v>-0.71819999999999995</v>
      </c>
      <c r="F108" s="469">
        <f t="shared" si="66"/>
        <v>-0.71819999999999995</v>
      </c>
      <c r="G108" s="469">
        <f t="shared" si="66"/>
        <v>-0.71819999999999995</v>
      </c>
      <c r="H108" s="469">
        <f t="shared" si="66"/>
        <v>-0.71819999999999995</v>
      </c>
      <c r="I108" s="469">
        <f t="shared" si="66"/>
        <v>-0.71819999999999995</v>
      </c>
      <c r="J108" s="469">
        <f t="shared" si="66"/>
        <v>-0.71819999999999995</v>
      </c>
      <c r="K108" s="469">
        <f t="shared" si="66"/>
        <v>-0.71819999999999995</v>
      </c>
      <c r="L108" s="469">
        <f t="shared" si="66"/>
        <v>-0.71819999999999995</v>
      </c>
    </row>
    <row r="109" spans="1:12" x14ac:dyDescent="0.2">
      <c r="A109" s="783"/>
      <c r="B109" s="459" t="s">
        <v>961</v>
      </c>
      <c r="C109" s="469">
        <f t="shared" ref="C109:L109" si="67">(0.858*C100)+(0.601*C101)+(0.188*C106)+(0.161*C107)-(0.131*C91)+4.5</f>
        <v>-19.734999999999999</v>
      </c>
      <c r="D109" s="469">
        <f t="shared" si="67"/>
        <v>-19.734999999999999</v>
      </c>
      <c r="E109" s="469">
        <f t="shared" si="67"/>
        <v>-19.734999999999999</v>
      </c>
      <c r="F109" s="469">
        <f t="shared" si="67"/>
        <v>-19.734999999999999</v>
      </c>
      <c r="G109" s="469">
        <f t="shared" si="67"/>
        <v>-19.734999999999999</v>
      </c>
      <c r="H109" s="469">
        <f t="shared" si="67"/>
        <v>-19.734999999999999</v>
      </c>
      <c r="I109" s="469">
        <f t="shared" si="67"/>
        <v>-19.734999999999999</v>
      </c>
      <c r="J109" s="469">
        <f t="shared" si="67"/>
        <v>-19.734999999999999</v>
      </c>
      <c r="K109" s="469">
        <f t="shared" si="67"/>
        <v>-19.734999999999999</v>
      </c>
      <c r="L109" s="469">
        <f t="shared" si="67"/>
        <v>-19.734999999999999</v>
      </c>
    </row>
    <row r="110" spans="1:12" x14ac:dyDescent="0.2">
      <c r="A110" s="783"/>
      <c r="B110" s="459" t="s">
        <v>962</v>
      </c>
      <c r="C110" s="469" t="e">
        <f t="shared" ref="C110:L110" si="68">(0.732*C93)-28.58</f>
        <v>#DIV/0!</v>
      </c>
      <c r="D110" s="469" t="e">
        <f t="shared" si="68"/>
        <v>#DIV/0!</v>
      </c>
      <c r="E110" s="469" t="e">
        <f t="shared" si="68"/>
        <v>#DIV/0!</v>
      </c>
      <c r="F110" s="469" t="e">
        <f t="shared" si="68"/>
        <v>#DIV/0!</v>
      </c>
      <c r="G110" s="469" t="e">
        <f t="shared" si="68"/>
        <v>#DIV/0!</v>
      </c>
      <c r="H110" s="469" t="e">
        <f t="shared" si="68"/>
        <v>#DIV/0!</v>
      </c>
      <c r="I110" s="469" t="e">
        <f t="shared" si="68"/>
        <v>#DIV/0!</v>
      </c>
      <c r="J110" s="469" t="e">
        <f t="shared" si="68"/>
        <v>#DIV/0!</v>
      </c>
      <c r="K110" s="469" t="e">
        <f t="shared" si="68"/>
        <v>#DIV/0!</v>
      </c>
      <c r="L110" s="469" t="e">
        <f t="shared" si="68"/>
        <v>#DIV/0!</v>
      </c>
    </row>
    <row r="111" spans="1:12" x14ac:dyDescent="0.2">
      <c r="A111" s="783"/>
      <c r="B111" s="461" t="s">
        <v>40</v>
      </c>
      <c r="C111" s="476" t="s">
        <v>963</v>
      </c>
      <c r="D111" s="476" t="s">
        <v>963</v>
      </c>
      <c r="E111" s="476" t="s">
        <v>963</v>
      </c>
      <c r="F111" s="476" t="s">
        <v>963</v>
      </c>
      <c r="G111" s="476" t="s">
        <v>963</v>
      </c>
      <c r="H111" s="476" t="s">
        <v>963</v>
      </c>
      <c r="I111" s="476" t="s">
        <v>963</v>
      </c>
      <c r="J111" s="476" t="s">
        <v>963</v>
      </c>
      <c r="K111" s="476" t="s">
        <v>963</v>
      </c>
      <c r="L111" s="476" t="s">
        <v>963</v>
      </c>
    </row>
    <row r="112" spans="1:12" ht="28" x14ac:dyDescent="0.2">
      <c r="A112" s="783"/>
      <c r="B112" s="495" t="s">
        <v>964</v>
      </c>
      <c r="C112" s="492"/>
      <c r="D112" s="492"/>
      <c r="E112" s="492"/>
      <c r="F112" s="492"/>
      <c r="G112" s="492"/>
      <c r="H112" s="492"/>
      <c r="I112" s="492"/>
      <c r="J112" s="492"/>
      <c r="K112" s="492"/>
      <c r="L112" s="492"/>
    </row>
    <row r="113" spans="1:12" ht="28" x14ac:dyDescent="0.2">
      <c r="A113" s="783"/>
      <c r="B113" s="496" t="s">
        <v>965</v>
      </c>
      <c r="C113" s="492"/>
      <c r="D113" s="492"/>
      <c r="E113" s="492"/>
      <c r="F113" s="492"/>
      <c r="G113" s="492"/>
      <c r="H113" s="492"/>
      <c r="I113" s="492"/>
      <c r="J113" s="492"/>
      <c r="K113" s="492"/>
      <c r="L113" s="492"/>
    </row>
    <row r="114" spans="1:12" x14ac:dyDescent="0.2">
      <c r="A114" s="783"/>
      <c r="B114" s="493" t="s">
        <v>966</v>
      </c>
      <c r="C114" s="492"/>
      <c r="D114" s="492"/>
      <c r="E114" s="492"/>
      <c r="F114" s="492"/>
      <c r="G114" s="492"/>
      <c r="H114" s="492"/>
      <c r="I114" s="492"/>
      <c r="J114" s="492"/>
      <c r="K114" s="492"/>
      <c r="L114" s="492"/>
    </row>
    <row r="115" spans="1:12" x14ac:dyDescent="0.2">
      <c r="A115" s="783"/>
      <c r="B115" s="494" t="s">
        <v>967</v>
      </c>
      <c r="C115" s="492" t="e">
        <f t="shared" ref="C115:L115" si="69">(C110-C108)</f>
        <v>#DIV/0!</v>
      </c>
      <c r="D115" s="492" t="e">
        <f t="shared" si="69"/>
        <v>#DIV/0!</v>
      </c>
      <c r="E115" s="492" t="e">
        <f t="shared" si="69"/>
        <v>#DIV/0!</v>
      </c>
      <c r="F115" s="492" t="e">
        <f t="shared" si="69"/>
        <v>#DIV/0!</v>
      </c>
      <c r="G115" s="492" t="e">
        <f t="shared" si="69"/>
        <v>#DIV/0!</v>
      </c>
      <c r="H115" s="492" t="e">
        <f t="shared" si="69"/>
        <v>#DIV/0!</v>
      </c>
      <c r="I115" s="492" t="e">
        <f t="shared" si="69"/>
        <v>#DIV/0!</v>
      </c>
      <c r="J115" s="492" t="e">
        <f t="shared" si="69"/>
        <v>#DIV/0!</v>
      </c>
      <c r="K115" s="492" t="e">
        <f t="shared" si="69"/>
        <v>#DIV/0!</v>
      </c>
      <c r="L115" s="492" t="e">
        <f t="shared" si="69"/>
        <v>#DIV/0!</v>
      </c>
    </row>
    <row r="116" spans="1:12" x14ac:dyDescent="0.2">
      <c r="A116" s="783"/>
      <c r="B116" s="497" t="s">
        <v>968</v>
      </c>
      <c r="C116" s="492" t="e">
        <f t="shared" ref="C116:L116" si="70">(2*C109)-(C108+C110)</f>
        <v>#DIV/0!</v>
      </c>
      <c r="D116" s="492" t="e">
        <f t="shared" si="70"/>
        <v>#DIV/0!</v>
      </c>
      <c r="E116" s="492" t="e">
        <f t="shared" si="70"/>
        <v>#DIV/0!</v>
      </c>
      <c r="F116" s="492" t="e">
        <f t="shared" si="70"/>
        <v>#DIV/0!</v>
      </c>
      <c r="G116" s="492" t="e">
        <f t="shared" si="70"/>
        <v>#DIV/0!</v>
      </c>
      <c r="H116" s="492" t="e">
        <f t="shared" si="70"/>
        <v>#DIV/0!</v>
      </c>
      <c r="I116" s="492" t="e">
        <f t="shared" si="70"/>
        <v>#DIV/0!</v>
      </c>
      <c r="J116" s="492" t="e">
        <f t="shared" si="70"/>
        <v>#DIV/0!</v>
      </c>
      <c r="K116" s="492" t="e">
        <f t="shared" si="70"/>
        <v>#DIV/0!</v>
      </c>
      <c r="L116" s="492" t="e">
        <f t="shared" si="70"/>
        <v>#DIV/0!</v>
      </c>
    </row>
  </sheetData>
  <mergeCells count="20">
    <mergeCell ref="A5:A8"/>
    <mergeCell ref="A108:A116"/>
    <mergeCell ref="A102:A105"/>
    <mergeCell ref="A106:A107"/>
    <mergeCell ref="C3:L3"/>
    <mergeCell ref="A90:A93"/>
    <mergeCell ref="A94:A97"/>
    <mergeCell ref="A98:A99"/>
    <mergeCell ref="A100:A101"/>
    <mergeCell ref="A41:A45"/>
    <mergeCell ref="A47:A54"/>
    <mergeCell ref="A56:A61"/>
    <mergeCell ref="A63:A68"/>
    <mergeCell ref="A70:A71"/>
    <mergeCell ref="A72:A89"/>
    <mergeCell ref="A1:A4"/>
    <mergeCell ref="C1:L1"/>
    <mergeCell ref="A10:A17"/>
    <mergeCell ref="A19:A31"/>
    <mergeCell ref="A33:A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>
    <tabColor theme="1"/>
  </sheetPr>
  <dimension ref="A1:S678"/>
  <sheetViews>
    <sheetView zoomScaleNormal="100" workbookViewId="0">
      <selection activeCell="A44" sqref="A44:W52"/>
    </sheetView>
  </sheetViews>
  <sheetFormatPr baseColWidth="10" defaultRowHeight="15" x14ac:dyDescent="0.2"/>
  <sheetData>
    <row r="1" spans="1:19" x14ac:dyDescent="0.2">
      <c r="A1" s="802" t="s">
        <v>639</v>
      </c>
      <c r="B1" s="802"/>
      <c r="C1" s="802"/>
      <c r="D1" s="802"/>
      <c r="E1" s="802"/>
      <c r="F1" s="802"/>
      <c r="G1" s="802"/>
      <c r="H1" s="802"/>
      <c r="I1" s="803"/>
      <c r="J1" s="325"/>
      <c r="K1" s="802" t="s">
        <v>640</v>
      </c>
      <c r="L1" s="802"/>
      <c r="M1" s="802"/>
      <c r="N1" s="802"/>
      <c r="O1" s="802"/>
      <c r="P1" s="802"/>
      <c r="Q1" s="802"/>
      <c r="R1" s="802"/>
      <c r="S1" s="803"/>
    </row>
    <row r="2" spans="1:19" x14ac:dyDescent="0.2">
      <c r="A2" s="327" t="s">
        <v>504</v>
      </c>
      <c r="B2" s="327" t="s">
        <v>641</v>
      </c>
      <c r="C2" s="328" t="s">
        <v>642</v>
      </c>
      <c r="D2" s="328" t="s">
        <v>643</v>
      </c>
      <c r="E2" s="328" t="s">
        <v>644</v>
      </c>
      <c r="F2" s="328" t="s">
        <v>645</v>
      </c>
      <c r="G2" s="328" t="s">
        <v>646</v>
      </c>
      <c r="H2" s="328" t="s">
        <v>647</v>
      </c>
      <c r="I2" s="328" t="s">
        <v>648</v>
      </c>
      <c r="J2" s="325"/>
      <c r="K2" s="327" t="s">
        <v>504</v>
      </c>
      <c r="L2" s="327" t="s">
        <v>641</v>
      </c>
      <c r="M2" s="328" t="s">
        <v>642</v>
      </c>
      <c r="N2" s="328" t="s">
        <v>643</v>
      </c>
      <c r="O2" s="328" t="s">
        <v>644</v>
      </c>
      <c r="P2" s="328" t="s">
        <v>645</v>
      </c>
      <c r="Q2" s="328" t="s">
        <v>646</v>
      </c>
      <c r="R2" s="328" t="s">
        <v>647</v>
      </c>
      <c r="S2" s="328" t="s">
        <v>648</v>
      </c>
    </row>
    <row r="3" spans="1:19" x14ac:dyDescent="0.2">
      <c r="A3" s="329">
        <v>7</v>
      </c>
      <c r="B3" s="329">
        <v>14</v>
      </c>
      <c r="C3" s="330">
        <v>29.420999999999999</v>
      </c>
      <c r="D3" s="330">
        <v>27.5</v>
      </c>
      <c r="E3" s="330">
        <v>4.8970000000000002</v>
      </c>
      <c r="F3" s="330">
        <v>40</v>
      </c>
      <c r="G3" s="330">
        <v>23.6</v>
      </c>
      <c r="H3" s="330">
        <f>C3+(1.96*E3)/(B3)^0.5</f>
        <v>31.98620547122448</v>
      </c>
      <c r="I3" s="330">
        <f>C3-(1.96*E3)/(B3)^0.5</f>
        <v>26.855794528775519</v>
      </c>
      <c r="J3" s="325"/>
      <c r="K3" s="329">
        <v>7</v>
      </c>
      <c r="L3" s="329">
        <v>14</v>
      </c>
      <c r="M3" s="330">
        <v>-1.0860000000000001</v>
      </c>
      <c r="N3" s="330">
        <v>-1.5</v>
      </c>
      <c r="O3" s="330">
        <v>0.92100000000000004</v>
      </c>
      <c r="P3" s="330">
        <v>0.7</v>
      </c>
      <c r="Q3" s="330">
        <v>-2.2000000000000002</v>
      </c>
      <c r="R3" s="330">
        <f t="shared" ref="R3:R66" si="0">M3+(1.96*O3)/(L3)^0.5</f>
        <v>-0.60355069654936799</v>
      </c>
      <c r="S3" s="330">
        <f t="shared" ref="S3:S66" si="1">M3-(1.96*O3)/(L3)^0.5</f>
        <v>-1.5684493034506322</v>
      </c>
    </row>
    <row r="4" spans="1:19" x14ac:dyDescent="0.2">
      <c r="A4" s="324">
        <v>8</v>
      </c>
      <c r="B4" s="324">
        <v>39</v>
      </c>
      <c r="C4" s="326">
        <v>31.312999999999999</v>
      </c>
      <c r="D4" s="326">
        <v>28.6</v>
      </c>
      <c r="E4" s="326">
        <v>7.7140000000000004</v>
      </c>
      <c r="F4" s="326">
        <v>49</v>
      </c>
      <c r="G4" s="326">
        <v>21</v>
      </c>
      <c r="H4" s="326">
        <f t="shared" ref="H4:H15" si="2">C4+(1.96*E4)/(B4)^0.5</f>
        <v>33.734048013766788</v>
      </c>
      <c r="I4" s="326">
        <f t="shared" ref="I4:I15" si="3">C4-(1.96*E4)/(B4)^0.5</f>
        <v>28.891951986233213</v>
      </c>
      <c r="J4" s="325"/>
      <c r="K4" s="324">
        <v>8</v>
      </c>
      <c r="L4" s="324">
        <v>39</v>
      </c>
      <c r="M4" s="326">
        <v>-0.54100000000000004</v>
      </c>
      <c r="N4" s="326">
        <v>-1.2</v>
      </c>
      <c r="O4" s="326">
        <v>1.544</v>
      </c>
      <c r="P4" s="326">
        <v>3.1</v>
      </c>
      <c r="Q4" s="326">
        <v>-2.1</v>
      </c>
      <c r="R4" s="326">
        <f t="shared" si="0"/>
        <v>-5.6413775828893176E-2</v>
      </c>
      <c r="S4" s="326">
        <f t="shared" si="1"/>
        <v>-1.0255862241711069</v>
      </c>
    </row>
    <row r="5" spans="1:19" x14ac:dyDescent="0.2">
      <c r="A5" s="329">
        <v>9</v>
      </c>
      <c r="B5" s="329">
        <v>57</v>
      </c>
      <c r="C5" s="330">
        <v>32</v>
      </c>
      <c r="D5" s="330">
        <v>30</v>
      </c>
      <c r="E5" s="330">
        <v>7.1509999999999998</v>
      </c>
      <c r="F5" s="330">
        <v>62.9</v>
      </c>
      <c r="G5" s="330">
        <v>20.7</v>
      </c>
      <c r="H5" s="330">
        <f t="shared" si="2"/>
        <v>33.85645925353294</v>
      </c>
      <c r="I5" s="330">
        <f t="shared" si="3"/>
        <v>30.143540746467064</v>
      </c>
      <c r="J5" s="325"/>
      <c r="K5" s="329">
        <v>9</v>
      </c>
      <c r="L5" s="329">
        <v>57</v>
      </c>
      <c r="M5" s="330">
        <v>-1.0649999999999999</v>
      </c>
      <c r="N5" s="330">
        <v>-1.5</v>
      </c>
      <c r="O5" s="330">
        <v>1.1719999999999999</v>
      </c>
      <c r="P5" s="330">
        <v>2.8</v>
      </c>
      <c r="Q5" s="330">
        <v>-2.4</v>
      </c>
      <c r="R5" s="330">
        <f t="shared" si="0"/>
        <v>-0.76073902319387465</v>
      </c>
      <c r="S5" s="330">
        <f t="shared" si="1"/>
        <v>-1.3692609768061252</v>
      </c>
    </row>
    <row r="6" spans="1:19" x14ac:dyDescent="0.2">
      <c r="A6" s="324">
        <v>10</v>
      </c>
      <c r="B6" s="324">
        <v>66</v>
      </c>
      <c r="C6" s="326">
        <v>35.612000000000002</v>
      </c>
      <c r="D6" s="326">
        <v>32.5</v>
      </c>
      <c r="E6" s="326">
        <v>8.4380000000000006</v>
      </c>
      <c r="F6" s="326">
        <v>61.1</v>
      </c>
      <c r="G6" s="326">
        <v>22.8</v>
      </c>
      <c r="H6" s="326">
        <f t="shared" si="2"/>
        <v>37.647746161731874</v>
      </c>
      <c r="I6" s="326">
        <f t="shared" si="3"/>
        <v>33.57625383826813</v>
      </c>
      <c r="J6" s="325"/>
      <c r="K6" s="324">
        <v>10</v>
      </c>
      <c r="L6" s="324">
        <v>66</v>
      </c>
      <c r="M6" s="326">
        <v>-0.61699999999999999</v>
      </c>
      <c r="N6" s="326">
        <v>-1.05</v>
      </c>
      <c r="O6" s="326">
        <v>1.5349999999999999</v>
      </c>
      <c r="P6" s="326">
        <v>4.5999999999999996</v>
      </c>
      <c r="Q6" s="326">
        <v>-2.4</v>
      </c>
      <c r="R6" s="326">
        <f t="shared" si="0"/>
        <v>-0.24666694023957958</v>
      </c>
      <c r="S6" s="326">
        <f t="shared" si="1"/>
        <v>-0.98733305976042041</v>
      </c>
    </row>
    <row r="7" spans="1:19" x14ac:dyDescent="0.2">
      <c r="A7" s="329">
        <v>11</v>
      </c>
      <c r="B7" s="329">
        <v>55</v>
      </c>
      <c r="C7" s="330">
        <v>39.996000000000002</v>
      </c>
      <c r="D7" s="330">
        <v>39</v>
      </c>
      <c r="E7" s="330">
        <v>9.7720000000000002</v>
      </c>
      <c r="F7" s="330">
        <v>76</v>
      </c>
      <c r="G7" s="330">
        <v>24.6</v>
      </c>
      <c r="H7" s="330">
        <f t="shared" si="2"/>
        <v>42.578606173948394</v>
      </c>
      <c r="I7" s="330">
        <f t="shared" si="3"/>
        <v>37.41339382605161</v>
      </c>
      <c r="J7" s="325"/>
      <c r="K7" s="329">
        <v>11</v>
      </c>
      <c r="L7" s="329">
        <v>55</v>
      </c>
      <c r="M7" s="330">
        <v>-0.76</v>
      </c>
      <c r="N7" s="330">
        <v>-1.4</v>
      </c>
      <c r="O7" s="330">
        <v>1.59</v>
      </c>
      <c r="P7" s="330">
        <v>4.4000000000000004</v>
      </c>
      <c r="Q7" s="330">
        <v>-2.2000000000000002</v>
      </c>
      <c r="R7" s="330">
        <f t="shared" si="0"/>
        <v>-0.33978470972391045</v>
      </c>
      <c r="S7" s="330">
        <f t="shared" si="1"/>
        <v>-1.1802152902760896</v>
      </c>
    </row>
    <row r="8" spans="1:19" x14ac:dyDescent="0.2">
      <c r="A8" s="324">
        <v>12</v>
      </c>
      <c r="B8" s="324">
        <v>35</v>
      </c>
      <c r="C8" s="326">
        <v>46.289000000000001</v>
      </c>
      <c r="D8" s="326">
        <v>44</v>
      </c>
      <c r="E8" s="326">
        <v>13.53</v>
      </c>
      <c r="F8" s="326">
        <v>99.9</v>
      </c>
      <c r="G8" s="326">
        <v>30.4</v>
      </c>
      <c r="H8" s="326">
        <f t="shared" si="2"/>
        <v>50.771495330058919</v>
      </c>
      <c r="I8" s="326">
        <f t="shared" si="3"/>
        <v>41.806504669941084</v>
      </c>
      <c r="J8" s="325"/>
      <c r="K8" s="324">
        <v>12</v>
      </c>
      <c r="L8" s="324">
        <v>35</v>
      </c>
      <c r="M8" s="326">
        <v>-0.49399999999999999</v>
      </c>
      <c r="N8" s="326">
        <v>-0.9</v>
      </c>
      <c r="O8" s="326">
        <v>1.4390000000000001</v>
      </c>
      <c r="P8" s="326">
        <v>4.0999999999999996</v>
      </c>
      <c r="Q8" s="326">
        <v>-2.2999999999999998</v>
      </c>
      <c r="R8" s="326">
        <f t="shared" si="0"/>
        <v>-1.7258626758700546E-2</v>
      </c>
      <c r="S8" s="326">
        <f t="shared" si="1"/>
        <v>-0.9707413732412995</v>
      </c>
    </row>
    <row r="9" spans="1:19" x14ac:dyDescent="0.2">
      <c r="A9" s="329">
        <v>13</v>
      </c>
      <c r="B9" s="329">
        <v>64</v>
      </c>
      <c r="C9" s="330">
        <v>51.790999999999997</v>
      </c>
      <c r="D9" s="330">
        <v>51</v>
      </c>
      <c r="E9" s="330">
        <v>9.9139999999999997</v>
      </c>
      <c r="F9" s="330">
        <v>78.900000000000006</v>
      </c>
      <c r="G9" s="330">
        <v>32.4</v>
      </c>
      <c r="H9" s="330">
        <f t="shared" si="2"/>
        <v>54.219929999999998</v>
      </c>
      <c r="I9" s="330">
        <f t="shared" si="3"/>
        <v>49.362069999999996</v>
      </c>
      <c r="J9" s="325"/>
      <c r="K9" s="329">
        <v>13</v>
      </c>
      <c r="L9" s="329">
        <v>64</v>
      </c>
      <c r="M9" s="330">
        <v>-1.2629999999999999</v>
      </c>
      <c r="N9" s="330">
        <v>-1.6</v>
      </c>
      <c r="O9" s="330">
        <v>0.93</v>
      </c>
      <c r="P9" s="330">
        <v>2.4</v>
      </c>
      <c r="Q9" s="330">
        <v>-2.2999999999999998</v>
      </c>
      <c r="R9" s="330">
        <f t="shared" si="0"/>
        <v>-1.0351499999999998</v>
      </c>
      <c r="S9" s="330">
        <f t="shared" si="1"/>
        <v>-1.49085</v>
      </c>
    </row>
    <row r="10" spans="1:19" x14ac:dyDescent="0.2">
      <c r="A10" s="324">
        <v>14</v>
      </c>
      <c r="B10" s="324">
        <v>87</v>
      </c>
      <c r="C10" s="326">
        <v>58.704999999999998</v>
      </c>
      <c r="D10" s="326">
        <v>57.1</v>
      </c>
      <c r="E10" s="326">
        <v>14.336</v>
      </c>
      <c r="F10" s="326">
        <v>132.19999999999999</v>
      </c>
      <c r="G10" s="326">
        <v>34</v>
      </c>
      <c r="H10" s="326">
        <f t="shared" si="2"/>
        <v>61.717481838689181</v>
      </c>
      <c r="I10" s="326">
        <f t="shared" si="3"/>
        <v>55.692518161310815</v>
      </c>
      <c r="J10" s="325"/>
      <c r="K10" s="324">
        <v>14</v>
      </c>
      <c r="L10" s="324">
        <v>87</v>
      </c>
      <c r="M10" s="326">
        <v>-1.222</v>
      </c>
      <c r="N10" s="326">
        <v>-1.6</v>
      </c>
      <c r="O10" s="326">
        <v>1.1619999999999999</v>
      </c>
      <c r="P10" s="326">
        <v>3.2</v>
      </c>
      <c r="Q10" s="326">
        <v>-2.4</v>
      </c>
      <c r="R10" s="326">
        <f t="shared" si="0"/>
        <v>-0.97782422596562257</v>
      </c>
      <c r="S10" s="326">
        <f t="shared" si="1"/>
        <v>-1.4661757740343775</v>
      </c>
    </row>
    <row r="11" spans="1:19" x14ac:dyDescent="0.2">
      <c r="A11" s="329">
        <v>15</v>
      </c>
      <c r="B11" s="329">
        <v>70</v>
      </c>
      <c r="C11" s="330">
        <v>63.237000000000002</v>
      </c>
      <c r="D11" s="330">
        <v>60.4</v>
      </c>
      <c r="E11" s="330">
        <v>13.3</v>
      </c>
      <c r="F11" s="330">
        <v>117.4</v>
      </c>
      <c r="G11" s="330">
        <v>43.8</v>
      </c>
      <c r="H11" s="330">
        <f t="shared" si="2"/>
        <v>66.352721938812905</v>
      </c>
      <c r="I11" s="330">
        <f t="shared" si="3"/>
        <v>60.121278061187105</v>
      </c>
      <c r="J11" s="325"/>
      <c r="K11" s="329">
        <v>15</v>
      </c>
      <c r="L11" s="329">
        <v>70</v>
      </c>
      <c r="M11" s="330">
        <v>-1.2569999999999999</v>
      </c>
      <c r="N11" s="330">
        <v>-1.65</v>
      </c>
      <c r="O11" s="330">
        <v>1.052</v>
      </c>
      <c r="P11" s="330">
        <v>2.7</v>
      </c>
      <c r="Q11" s="330">
        <v>-2.5</v>
      </c>
      <c r="R11" s="330">
        <f t="shared" si="0"/>
        <v>-1.0105534225841226</v>
      </c>
      <c r="S11" s="330">
        <f t="shared" si="1"/>
        <v>-1.5034465774158772</v>
      </c>
    </row>
    <row r="12" spans="1:19" x14ac:dyDescent="0.2">
      <c r="A12" s="324">
        <v>16</v>
      </c>
      <c r="B12" s="324">
        <v>38</v>
      </c>
      <c r="C12" s="326">
        <v>66.558000000000007</v>
      </c>
      <c r="D12" s="326">
        <v>62.35</v>
      </c>
      <c r="E12" s="326">
        <v>17.262</v>
      </c>
      <c r="F12" s="326">
        <v>133.80000000000001</v>
      </c>
      <c r="G12" s="326">
        <v>46.9</v>
      </c>
      <c r="H12" s="326">
        <f t="shared" si="2"/>
        <v>72.046521696256079</v>
      </c>
      <c r="I12" s="326">
        <f t="shared" si="3"/>
        <v>61.069478303743928</v>
      </c>
      <c r="J12" s="325"/>
      <c r="K12" s="324">
        <v>16</v>
      </c>
      <c r="L12" s="324">
        <v>38</v>
      </c>
      <c r="M12" s="326">
        <v>-1.1319999999999999</v>
      </c>
      <c r="N12" s="326">
        <v>-1.6</v>
      </c>
      <c r="O12" s="326">
        <v>1.3069999999999999</v>
      </c>
      <c r="P12" s="326">
        <v>3.9</v>
      </c>
      <c r="Q12" s="326">
        <v>-2.2000000000000002</v>
      </c>
      <c r="R12" s="326">
        <f t="shared" si="0"/>
        <v>-0.71643414106090297</v>
      </c>
      <c r="S12" s="326">
        <f t="shared" si="1"/>
        <v>-1.5475658589390968</v>
      </c>
    </row>
    <row r="13" spans="1:19" x14ac:dyDescent="0.2">
      <c r="A13" s="329">
        <v>17</v>
      </c>
      <c r="B13" s="329">
        <v>30</v>
      </c>
      <c r="C13" s="330">
        <v>70.98</v>
      </c>
      <c r="D13" s="330">
        <v>66.75</v>
      </c>
      <c r="E13" s="330">
        <v>15.423</v>
      </c>
      <c r="F13" s="330">
        <v>100.3</v>
      </c>
      <c r="G13" s="330">
        <v>52.4</v>
      </c>
      <c r="H13" s="330">
        <f t="shared" si="2"/>
        <v>76.499049669542757</v>
      </c>
      <c r="I13" s="330">
        <f t="shared" si="3"/>
        <v>65.460950330457251</v>
      </c>
      <c r="J13" s="325"/>
      <c r="K13" s="329">
        <v>17</v>
      </c>
      <c r="L13" s="329">
        <v>30</v>
      </c>
      <c r="M13" s="330">
        <v>-1.0529999999999999</v>
      </c>
      <c r="N13" s="330">
        <v>-1.6</v>
      </c>
      <c r="O13" s="330">
        <v>1.2689999999999999</v>
      </c>
      <c r="P13" s="330">
        <v>2.4</v>
      </c>
      <c r="Q13" s="330">
        <v>-2.2999999999999998</v>
      </c>
      <c r="R13" s="330">
        <f t="shared" si="0"/>
        <v>-0.59889418202361688</v>
      </c>
      <c r="S13" s="330">
        <f t="shared" si="1"/>
        <v>-1.507105817976383</v>
      </c>
    </row>
    <row r="14" spans="1:19" x14ac:dyDescent="0.2">
      <c r="A14" s="324">
        <v>18</v>
      </c>
      <c r="B14" s="324">
        <v>21</v>
      </c>
      <c r="C14" s="326">
        <v>68.581000000000003</v>
      </c>
      <c r="D14" s="326">
        <v>67.3</v>
      </c>
      <c r="E14" s="326">
        <v>6.51</v>
      </c>
      <c r="F14" s="326">
        <v>82.8</v>
      </c>
      <c r="G14" s="326">
        <v>58</v>
      </c>
      <c r="H14" s="326">
        <f t="shared" si="2"/>
        <v>71.365372992255175</v>
      </c>
      <c r="I14" s="326">
        <f t="shared" si="3"/>
        <v>65.796627007744831</v>
      </c>
      <c r="J14" s="325"/>
      <c r="K14" s="324">
        <v>18</v>
      </c>
      <c r="L14" s="324">
        <v>21</v>
      </c>
      <c r="M14" s="326">
        <v>-1.51</v>
      </c>
      <c r="N14" s="326">
        <v>-1.7</v>
      </c>
      <c r="O14" s="326">
        <v>0.73099999999999998</v>
      </c>
      <c r="P14" s="326">
        <v>0.4</v>
      </c>
      <c r="Q14" s="326">
        <v>-2.4</v>
      </c>
      <c r="R14" s="326">
        <f t="shared" si="0"/>
        <v>-1.1973461355854795</v>
      </c>
      <c r="S14" s="326">
        <f t="shared" si="1"/>
        <v>-1.8226538644145205</v>
      </c>
    </row>
    <row r="15" spans="1:19" x14ac:dyDescent="0.2">
      <c r="A15" s="329">
        <v>19</v>
      </c>
      <c r="B15" s="329">
        <v>7</v>
      </c>
      <c r="C15" s="330">
        <v>78.242999999999995</v>
      </c>
      <c r="D15" s="330">
        <v>75.7</v>
      </c>
      <c r="E15" s="330">
        <v>20.635000000000002</v>
      </c>
      <c r="F15" s="330">
        <v>108.3</v>
      </c>
      <c r="G15" s="330">
        <v>50.4</v>
      </c>
      <c r="H15" s="330">
        <f t="shared" si="2"/>
        <v>93.52962192506898</v>
      </c>
      <c r="I15" s="330">
        <f t="shared" si="3"/>
        <v>62.956378074931003</v>
      </c>
      <c r="J15" s="325"/>
      <c r="K15" s="329">
        <v>19</v>
      </c>
      <c r="L15" s="329">
        <v>7</v>
      </c>
      <c r="M15" s="330">
        <v>-0.61399999999999999</v>
      </c>
      <c r="N15" s="330">
        <v>-1.6</v>
      </c>
      <c r="O15" s="330">
        <v>1.8149999999999999</v>
      </c>
      <c r="P15" s="330">
        <v>2.2999999999999998</v>
      </c>
      <c r="Q15" s="330">
        <v>-2.2999999999999998</v>
      </c>
      <c r="R15" s="330">
        <f t="shared" si="0"/>
        <v>0.73057081628302478</v>
      </c>
      <c r="S15" s="330">
        <f t="shared" si="1"/>
        <v>-1.9585708162830247</v>
      </c>
    </row>
    <row r="16" spans="1:19" x14ac:dyDescent="0.2">
      <c r="A16" s="324"/>
      <c r="B16" s="324"/>
      <c r="C16" s="324"/>
      <c r="D16" s="324"/>
      <c r="E16" s="324"/>
      <c r="F16" s="324"/>
      <c r="G16" s="324"/>
      <c r="H16" s="326"/>
      <c r="I16" s="326"/>
      <c r="J16" s="325"/>
      <c r="K16" s="324"/>
      <c r="L16" s="324"/>
      <c r="M16" s="324"/>
      <c r="N16" s="324"/>
      <c r="O16" s="324"/>
      <c r="P16" s="324"/>
      <c r="Q16" s="324"/>
      <c r="R16" s="326"/>
      <c r="S16" s="326"/>
    </row>
    <row r="17" spans="1:19" x14ac:dyDescent="0.2">
      <c r="A17" s="324"/>
      <c r="B17" s="324"/>
      <c r="C17" s="324"/>
      <c r="D17" s="324"/>
      <c r="E17" s="324"/>
      <c r="F17" s="324"/>
      <c r="G17" s="324"/>
      <c r="H17" s="326"/>
      <c r="I17" s="326"/>
      <c r="J17" s="325"/>
      <c r="K17" s="324"/>
      <c r="L17" s="324"/>
      <c r="M17" s="324"/>
      <c r="N17" s="324"/>
      <c r="O17" s="324"/>
      <c r="P17" s="324"/>
      <c r="Q17" s="324"/>
      <c r="R17" s="326"/>
      <c r="S17" s="326"/>
    </row>
    <row r="18" spans="1:19" x14ac:dyDescent="0.2">
      <c r="A18" s="802" t="s">
        <v>649</v>
      </c>
      <c r="B18" s="802"/>
      <c r="C18" s="802"/>
      <c r="D18" s="802"/>
      <c r="E18" s="802"/>
      <c r="F18" s="802"/>
      <c r="G18" s="802"/>
      <c r="H18" s="802"/>
      <c r="I18" s="803"/>
      <c r="J18" s="325"/>
      <c r="K18" s="802" t="s">
        <v>650</v>
      </c>
      <c r="L18" s="802"/>
      <c r="M18" s="802"/>
      <c r="N18" s="802"/>
      <c r="O18" s="802"/>
      <c r="P18" s="802"/>
      <c r="Q18" s="802"/>
      <c r="R18" s="802"/>
      <c r="S18" s="803"/>
    </row>
    <row r="19" spans="1:19" x14ac:dyDescent="0.2">
      <c r="A19" s="327" t="s">
        <v>504</v>
      </c>
      <c r="B19" s="327" t="s">
        <v>641</v>
      </c>
      <c r="C19" s="328" t="s">
        <v>642</v>
      </c>
      <c r="D19" s="328" t="s">
        <v>643</v>
      </c>
      <c r="E19" s="328" t="s">
        <v>644</v>
      </c>
      <c r="F19" s="328" t="s">
        <v>645</v>
      </c>
      <c r="G19" s="328" t="s">
        <v>646</v>
      </c>
      <c r="H19" s="328" t="s">
        <v>647</v>
      </c>
      <c r="I19" s="328" t="s">
        <v>648</v>
      </c>
      <c r="J19" s="325"/>
      <c r="K19" s="327" t="s">
        <v>504</v>
      </c>
      <c r="L19" s="327" t="s">
        <v>641</v>
      </c>
      <c r="M19" s="328" t="s">
        <v>642</v>
      </c>
      <c r="N19" s="328" t="s">
        <v>643</v>
      </c>
      <c r="O19" s="328" t="s">
        <v>644</v>
      </c>
      <c r="P19" s="328" t="s">
        <v>645</v>
      </c>
      <c r="Q19" s="328" t="s">
        <v>646</v>
      </c>
      <c r="R19" s="328" t="s">
        <v>647</v>
      </c>
      <c r="S19" s="328" t="s">
        <v>648</v>
      </c>
    </row>
    <row r="20" spans="1:19" x14ac:dyDescent="0.2">
      <c r="A20" s="329">
        <v>7</v>
      </c>
      <c r="B20" s="329">
        <v>14</v>
      </c>
      <c r="C20" s="330">
        <v>130.67099999999999</v>
      </c>
      <c r="D20" s="330">
        <v>131.25</v>
      </c>
      <c r="E20" s="330">
        <v>3.8679999999999999</v>
      </c>
      <c r="F20" s="330">
        <v>136.1</v>
      </c>
      <c r="G20" s="330">
        <v>124.7</v>
      </c>
      <c r="H20" s="330">
        <f t="shared" ref="H20:H83" si="4">C20+(1.96*E20)/(B20)^0.5</f>
        <v>132.69718230808581</v>
      </c>
      <c r="I20" s="330">
        <f t="shared" ref="I20:I83" si="5">C20-(1.96*E20)/(B20)^0.5</f>
        <v>128.64481769191417</v>
      </c>
      <c r="J20" s="325"/>
      <c r="K20" s="329">
        <v>7</v>
      </c>
      <c r="L20" s="329">
        <v>14</v>
      </c>
      <c r="M20" s="330">
        <v>-0.24299999999999999</v>
      </c>
      <c r="N20" s="330">
        <v>-0.3</v>
      </c>
      <c r="O20" s="330">
        <v>0.69699999999999995</v>
      </c>
      <c r="P20" s="330">
        <v>0.9</v>
      </c>
      <c r="Q20" s="330">
        <v>-1.3</v>
      </c>
      <c r="R20" s="330">
        <f t="shared" si="0"/>
        <v>0.12211092780140115</v>
      </c>
      <c r="S20" s="330">
        <f t="shared" si="1"/>
        <v>-0.60811092780140119</v>
      </c>
    </row>
    <row r="21" spans="1:19" x14ac:dyDescent="0.2">
      <c r="A21" s="324">
        <v>8</v>
      </c>
      <c r="B21" s="324">
        <v>39</v>
      </c>
      <c r="C21" s="326">
        <v>130.04400000000001</v>
      </c>
      <c r="D21" s="326">
        <v>129.9</v>
      </c>
      <c r="E21" s="326">
        <v>5.2709999999999999</v>
      </c>
      <c r="F21" s="326">
        <v>141.19999999999999</v>
      </c>
      <c r="G21" s="326">
        <v>114.5</v>
      </c>
      <c r="H21" s="326">
        <f t="shared" si="4"/>
        <v>131.69830957746498</v>
      </c>
      <c r="I21" s="326">
        <f t="shared" si="5"/>
        <v>128.38969042253504</v>
      </c>
      <c r="J21" s="325"/>
      <c r="K21" s="324">
        <v>8</v>
      </c>
      <c r="L21" s="324">
        <v>39</v>
      </c>
      <c r="M21" s="326">
        <v>0.32600000000000001</v>
      </c>
      <c r="N21" s="326">
        <v>0</v>
      </c>
      <c r="O21" s="326">
        <v>1.0549999999999999</v>
      </c>
      <c r="P21" s="326">
        <v>3</v>
      </c>
      <c r="Q21" s="326">
        <v>-1.1000000000000001</v>
      </c>
      <c r="R21" s="326">
        <f t="shared" si="0"/>
        <v>0.65711299643815912</v>
      </c>
      <c r="S21" s="326">
        <f t="shared" si="1"/>
        <v>-5.1129964381591009E-3</v>
      </c>
    </row>
    <row r="22" spans="1:19" x14ac:dyDescent="0.2">
      <c r="A22" s="329">
        <v>9</v>
      </c>
      <c r="B22" s="329">
        <v>57</v>
      </c>
      <c r="C22" s="330">
        <v>134.733</v>
      </c>
      <c r="D22" s="330">
        <v>135.69999999999999</v>
      </c>
      <c r="E22" s="330">
        <v>5.6230000000000002</v>
      </c>
      <c r="F22" s="330">
        <v>148.1</v>
      </c>
      <c r="G22" s="330">
        <v>116</v>
      </c>
      <c r="H22" s="330">
        <f t="shared" si="4"/>
        <v>136.19277770698025</v>
      </c>
      <c r="I22" s="330">
        <f t="shared" si="5"/>
        <v>133.27322229301976</v>
      </c>
      <c r="J22" s="325"/>
      <c r="K22" s="329">
        <v>9</v>
      </c>
      <c r="L22" s="329">
        <v>57</v>
      </c>
      <c r="M22" s="330">
        <v>-7.0179999999999999E-3</v>
      </c>
      <c r="N22" s="330">
        <v>0.1</v>
      </c>
      <c r="O22" s="330">
        <v>0.82699999999999996</v>
      </c>
      <c r="P22" s="330">
        <v>2</v>
      </c>
      <c r="Q22" s="330">
        <v>-1.7</v>
      </c>
      <c r="R22" s="330">
        <f t="shared" si="0"/>
        <v>0.20767809882138707</v>
      </c>
      <c r="S22" s="330">
        <f t="shared" si="1"/>
        <v>-0.22171409882138707</v>
      </c>
    </row>
    <row r="23" spans="1:19" x14ac:dyDescent="0.2">
      <c r="A23" s="324">
        <v>10</v>
      </c>
      <c r="B23" s="324">
        <v>66</v>
      </c>
      <c r="C23" s="326">
        <v>138.26499999999999</v>
      </c>
      <c r="D23" s="326">
        <v>137.5</v>
      </c>
      <c r="E23" s="326">
        <v>6.2510000000000003</v>
      </c>
      <c r="F23" s="326">
        <v>153.30000000000001</v>
      </c>
      <c r="G23" s="326">
        <v>125.4</v>
      </c>
      <c r="H23" s="326">
        <f t="shared" si="4"/>
        <v>139.77311202381912</v>
      </c>
      <c r="I23" s="326">
        <f t="shared" si="5"/>
        <v>136.75688797618085</v>
      </c>
      <c r="J23" s="325"/>
      <c r="K23" s="324">
        <v>10</v>
      </c>
      <c r="L23" s="324">
        <v>66</v>
      </c>
      <c r="M23" s="326">
        <v>2.7269999999999999E-2</v>
      </c>
      <c r="N23" s="326">
        <v>0</v>
      </c>
      <c r="O23" s="326">
        <v>0.92600000000000005</v>
      </c>
      <c r="P23" s="326">
        <v>2.9</v>
      </c>
      <c r="Q23" s="326">
        <v>-1.5</v>
      </c>
      <c r="R23" s="326">
        <f t="shared" si="0"/>
        <v>0.25067613246784975</v>
      </c>
      <c r="S23" s="326">
        <f t="shared" si="1"/>
        <v>-0.19613613246784975</v>
      </c>
    </row>
    <row r="24" spans="1:19" x14ac:dyDescent="0.2">
      <c r="A24" s="329">
        <v>11</v>
      </c>
      <c r="B24" s="329">
        <v>55</v>
      </c>
      <c r="C24" s="330">
        <v>144.916</v>
      </c>
      <c r="D24" s="330">
        <v>145.6</v>
      </c>
      <c r="E24" s="330">
        <v>7.3310000000000004</v>
      </c>
      <c r="F24" s="330">
        <v>161.4</v>
      </c>
      <c r="G24" s="330">
        <v>131.19999999999999</v>
      </c>
      <c r="H24" s="330">
        <f t="shared" si="4"/>
        <v>146.85348320315347</v>
      </c>
      <c r="I24" s="330">
        <f t="shared" si="5"/>
        <v>142.97851679684652</v>
      </c>
      <c r="J24" s="325"/>
      <c r="K24" s="329">
        <v>11</v>
      </c>
      <c r="L24" s="329">
        <v>55</v>
      </c>
      <c r="M24" s="330">
        <v>-1.091E-2</v>
      </c>
      <c r="N24" s="330">
        <v>0</v>
      </c>
      <c r="O24" s="330">
        <v>1.0149999999999999</v>
      </c>
      <c r="P24" s="330">
        <v>2.2000000000000002</v>
      </c>
      <c r="Q24" s="330">
        <v>-2.2000000000000002</v>
      </c>
      <c r="R24" s="330">
        <f t="shared" si="0"/>
        <v>0.25734064127687478</v>
      </c>
      <c r="S24" s="330">
        <f t="shared" si="1"/>
        <v>-0.27916064127687473</v>
      </c>
    </row>
    <row r="25" spans="1:19" x14ac:dyDescent="0.2">
      <c r="A25" s="324">
        <v>12</v>
      </c>
      <c r="B25" s="324">
        <v>35</v>
      </c>
      <c r="C25" s="326">
        <v>151.41999999999999</v>
      </c>
      <c r="D25" s="326">
        <v>150.69999999999999</v>
      </c>
      <c r="E25" s="326">
        <v>7.2450000000000001</v>
      </c>
      <c r="F25" s="326">
        <v>165.8</v>
      </c>
      <c r="G25" s="326">
        <v>140.5</v>
      </c>
      <c r="H25" s="326">
        <f t="shared" si="4"/>
        <v>153.82027188959916</v>
      </c>
      <c r="I25" s="326">
        <f t="shared" si="5"/>
        <v>149.01972811040082</v>
      </c>
      <c r="J25" s="325"/>
      <c r="K25" s="324">
        <v>12</v>
      </c>
      <c r="L25" s="324">
        <v>35</v>
      </c>
      <c r="M25" s="326">
        <v>0.12</v>
      </c>
      <c r="N25" s="326">
        <v>-0.1</v>
      </c>
      <c r="O25" s="326">
        <v>1.1379999999999999</v>
      </c>
      <c r="P25" s="326">
        <v>4.0999999999999996</v>
      </c>
      <c r="Q25" s="326">
        <v>-1.4</v>
      </c>
      <c r="R25" s="326">
        <f t="shared" si="0"/>
        <v>0.49701993241737225</v>
      </c>
      <c r="S25" s="326">
        <f t="shared" si="1"/>
        <v>-0.25701993241737225</v>
      </c>
    </row>
    <row r="26" spans="1:19" x14ac:dyDescent="0.2">
      <c r="A26" s="329">
        <v>13</v>
      </c>
      <c r="B26" s="329">
        <v>64</v>
      </c>
      <c r="C26" s="330">
        <v>161.167</v>
      </c>
      <c r="D26" s="330">
        <v>161.75</v>
      </c>
      <c r="E26" s="330">
        <v>8.1029999999999998</v>
      </c>
      <c r="F26" s="330">
        <v>177.5</v>
      </c>
      <c r="G26" s="330">
        <v>142.4</v>
      </c>
      <c r="H26" s="330">
        <f t="shared" si="4"/>
        <v>163.15223499999999</v>
      </c>
      <c r="I26" s="330">
        <f t="shared" si="5"/>
        <v>159.18176500000001</v>
      </c>
      <c r="J26" s="325"/>
      <c r="K26" s="329">
        <v>13</v>
      </c>
      <c r="L26" s="329">
        <v>64</v>
      </c>
      <c r="M26" s="330">
        <v>-3.1250000000000002E-3</v>
      </c>
      <c r="N26" s="330">
        <v>-0.1</v>
      </c>
      <c r="O26" s="330">
        <v>0.874</v>
      </c>
      <c r="P26" s="330">
        <v>3</v>
      </c>
      <c r="Q26" s="330">
        <v>-2</v>
      </c>
      <c r="R26" s="330">
        <f t="shared" si="0"/>
        <v>0.211005</v>
      </c>
      <c r="S26" s="330">
        <f t="shared" si="1"/>
        <v>-0.21725499999999998</v>
      </c>
    </row>
    <row r="27" spans="1:19" x14ac:dyDescent="0.2">
      <c r="A27" s="324">
        <v>14</v>
      </c>
      <c r="B27" s="324">
        <v>87</v>
      </c>
      <c r="C27" s="326">
        <v>165.59800000000001</v>
      </c>
      <c r="D27" s="326">
        <v>165.3</v>
      </c>
      <c r="E27" s="326">
        <v>7.9790000000000001</v>
      </c>
      <c r="F27" s="326">
        <v>182.6</v>
      </c>
      <c r="G27" s="326">
        <v>144.4</v>
      </c>
      <c r="H27" s="326">
        <f t="shared" si="4"/>
        <v>167.27465963943229</v>
      </c>
      <c r="I27" s="326">
        <f t="shared" si="5"/>
        <v>163.92134036056774</v>
      </c>
      <c r="J27" s="325"/>
      <c r="K27" s="324">
        <v>14</v>
      </c>
      <c r="L27" s="324">
        <v>87</v>
      </c>
      <c r="M27" s="326">
        <v>0.36199999999999999</v>
      </c>
      <c r="N27" s="326">
        <v>0.1</v>
      </c>
      <c r="O27" s="326">
        <v>1.1200000000000001</v>
      </c>
      <c r="P27" s="326">
        <v>4</v>
      </c>
      <c r="Q27" s="326">
        <v>-2.2000000000000002</v>
      </c>
      <c r="R27" s="326">
        <f t="shared" si="0"/>
        <v>0.59735014364759276</v>
      </c>
      <c r="S27" s="326">
        <f t="shared" si="1"/>
        <v>0.12664985635240725</v>
      </c>
    </row>
    <row r="28" spans="1:19" x14ac:dyDescent="0.2">
      <c r="A28" s="329">
        <v>15</v>
      </c>
      <c r="B28" s="329">
        <v>70</v>
      </c>
      <c r="C28" s="330">
        <v>169.761</v>
      </c>
      <c r="D28" s="330">
        <v>169.2</v>
      </c>
      <c r="E28" s="330">
        <v>6.3170000000000002</v>
      </c>
      <c r="F28" s="330">
        <v>184.7</v>
      </c>
      <c r="G28" s="330">
        <v>157.9</v>
      </c>
      <c r="H28" s="330">
        <f t="shared" si="4"/>
        <v>171.24085078853241</v>
      </c>
      <c r="I28" s="330">
        <f t="shared" si="5"/>
        <v>168.28114921146758</v>
      </c>
      <c r="J28" s="325"/>
      <c r="K28" s="329">
        <v>15</v>
      </c>
      <c r="L28" s="329">
        <v>70</v>
      </c>
      <c r="M28" s="330">
        <v>0.44700000000000001</v>
      </c>
      <c r="N28" s="330">
        <v>0.3</v>
      </c>
      <c r="O28" s="330">
        <v>0.94399999999999995</v>
      </c>
      <c r="P28" s="330">
        <v>2.8</v>
      </c>
      <c r="Q28" s="330">
        <v>-1.5</v>
      </c>
      <c r="R28" s="330">
        <f t="shared" si="0"/>
        <v>0.66814597821348687</v>
      </c>
      <c r="S28" s="330">
        <f t="shared" si="1"/>
        <v>0.22585402178651318</v>
      </c>
    </row>
    <row r="29" spans="1:19" x14ac:dyDescent="0.2">
      <c r="A29" s="324">
        <v>16</v>
      </c>
      <c r="B29" s="324">
        <v>38</v>
      </c>
      <c r="C29" s="326">
        <v>169.916</v>
      </c>
      <c r="D29" s="326">
        <v>170</v>
      </c>
      <c r="E29" s="326">
        <v>5.0229999999999997</v>
      </c>
      <c r="F29" s="326">
        <v>184.1</v>
      </c>
      <c r="G29" s="326">
        <v>159.69999999999999</v>
      </c>
      <c r="H29" s="326">
        <f t="shared" si="4"/>
        <v>171.51308286874604</v>
      </c>
      <c r="I29" s="326">
        <f t="shared" si="5"/>
        <v>168.31891713125395</v>
      </c>
      <c r="J29" s="325"/>
      <c r="K29" s="324">
        <v>16</v>
      </c>
      <c r="L29" s="324">
        <v>38</v>
      </c>
      <c r="M29" s="326">
        <v>0.871</v>
      </c>
      <c r="N29" s="326">
        <v>0.45</v>
      </c>
      <c r="O29" s="326">
        <v>1.268</v>
      </c>
      <c r="P29" s="326">
        <v>5.2</v>
      </c>
      <c r="Q29" s="326">
        <v>-0.7</v>
      </c>
      <c r="R29" s="326">
        <f t="shared" si="0"/>
        <v>1.2741656535078616</v>
      </c>
      <c r="S29" s="326">
        <f t="shared" si="1"/>
        <v>0.46783434649213845</v>
      </c>
    </row>
    <row r="30" spans="1:19" x14ac:dyDescent="0.2">
      <c r="A30" s="329">
        <v>17</v>
      </c>
      <c r="B30" s="329">
        <v>30</v>
      </c>
      <c r="C30" s="330">
        <v>171.887</v>
      </c>
      <c r="D30" s="330">
        <v>171.15</v>
      </c>
      <c r="E30" s="330">
        <v>6.468</v>
      </c>
      <c r="F30" s="330">
        <v>185.9</v>
      </c>
      <c r="G30" s="330">
        <v>160.9</v>
      </c>
      <c r="H30" s="330">
        <f t="shared" si="4"/>
        <v>174.20154407460302</v>
      </c>
      <c r="I30" s="330">
        <f t="shared" si="5"/>
        <v>169.57245592539698</v>
      </c>
      <c r="J30" s="325"/>
      <c r="K30" s="329">
        <v>17</v>
      </c>
      <c r="L30" s="329">
        <v>30</v>
      </c>
      <c r="M30" s="330">
        <v>1.147</v>
      </c>
      <c r="N30" s="330">
        <v>0.9</v>
      </c>
      <c r="O30" s="330">
        <v>1.2669999999999999</v>
      </c>
      <c r="P30" s="330">
        <v>4.0999999999999996</v>
      </c>
      <c r="Q30" s="330">
        <v>-1.1000000000000001</v>
      </c>
      <c r="R30" s="330">
        <f t="shared" si="0"/>
        <v>1.6003901271679097</v>
      </c>
      <c r="S30" s="330">
        <f t="shared" si="1"/>
        <v>0.6936098728320903</v>
      </c>
    </row>
    <row r="31" spans="1:19" x14ac:dyDescent="0.2">
      <c r="A31" s="324">
        <v>18</v>
      </c>
      <c r="B31" s="324">
        <v>21</v>
      </c>
      <c r="C31" s="326">
        <v>173.94300000000001</v>
      </c>
      <c r="D31" s="326">
        <v>174.4</v>
      </c>
      <c r="E31" s="326">
        <v>5.6230000000000002</v>
      </c>
      <c r="F31" s="326">
        <v>187.9</v>
      </c>
      <c r="G31" s="326">
        <v>161.6</v>
      </c>
      <c r="H31" s="326">
        <f t="shared" si="4"/>
        <v>176.34799682572211</v>
      </c>
      <c r="I31" s="326">
        <f t="shared" si="5"/>
        <v>171.53800317427792</v>
      </c>
      <c r="J31" s="325"/>
      <c r="K31" s="324">
        <v>18</v>
      </c>
      <c r="L31" s="324">
        <v>21</v>
      </c>
      <c r="M31" s="326">
        <v>1.0429999999999999</v>
      </c>
      <c r="N31" s="326">
        <v>0.9</v>
      </c>
      <c r="O31" s="326">
        <v>1.121</v>
      </c>
      <c r="P31" s="326">
        <v>3.3</v>
      </c>
      <c r="Q31" s="326">
        <v>-1.1000000000000001</v>
      </c>
      <c r="R31" s="326">
        <f t="shared" si="0"/>
        <v>1.5224596197109128</v>
      </c>
      <c r="S31" s="326">
        <f t="shared" si="1"/>
        <v>0.56354038028908693</v>
      </c>
    </row>
    <row r="32" spans="1:19" x14ac:dyDescent="0.2">
      <c r="A32" s="329">
        <v>19</v>
      </c>
      <c r="B32" s="329">
        <v>7</v>
      </c>
      <c r="C32" s="330">
        <v>171.94300000000001</v>
      </c>
      <c r="D32" s="330">
        <v>172.9</v>
      </c>
      <c r="E32" s="330">
        <v>5.9770000000000003</v>
      </c>
      <c r="F32" s="330">
        <v>182.5</v>
      </c>
      <c r="G32" s="330">
        <v>163</v>
      </c>
      <c r="H32" s="330">
        <f t="shared" si="4"/>
        <v>176.37082356414527</v>
      </c>
      <c r="I32" s="330">
        <f t="shared" si="5"/>
        <v>167.51517643585476</v>
      </c>
      <c r="J32" s="325"/>
      <c r="K32" s="329">
        <v>19</v>
      </c>
      <c r="L32" s="329">
        <v>7</v>
      </c>
      <c r="M32" s="330">
        <v>1.9</v>
      </c>
      <c r="N32" s="330">
        <v>1.3</v>
      </c>
      <c r="O32" s="330">
        <v>1.768</v>
      </c>
      <c r="P32" s="330">
        <v>5</v>
      </c>
      <c r="Q32" s="330">
        <v>0</v>
      </c>
      <c r="R32" s="330">
        <f t="shared" si="0"/>
        <v>3.2097527290294146</v>
      </c>
      <c r="S32" s="330">
        <f t="shared" si="1"/>
        <v>0.59024727097058505</v>
      </c>
    </row>
    <row r="33" spans="1:19" x14ac:dyDescent="0.2">
      <c r="A33" s="324"/>
      <c r="B33" s="324"/>
      <c r="C33" s="324"/>
      <c r="D33" s="324"/>
      <c r="E33" s="324"/>
      <c r="F33" s="324"/>
      <c r="G33" s="324"/>
      <c r="H33" s="326"/>
      <c r="I33" s="326"/>
      <c r="J33" s="325"/>
      <c r="K33" s="324"/>
      <c r="L33" s="324"/>
      <c r="M33" s="324"/>
      <c r="N33" s="324"/>
      <c r="O33" s="324"/>
      <c r="P33" s="324"/>
      <c r="Q33" s="324"/>
      <c r="R33" s="326"/>
      <c r="S33" s="326"/>
    </row>
    <row r="34" spans="1:19" x14ac:dyDescent="0.2">
      <c r="A34" s="324"/>
      <c r="B34" s="324"/>
      <c r="C34" s="324"/>
      <c r="D34" s="324"/>
      <c r="E34" s="324"/>
      <c r="F34" s="324"/>
      <c r="G34" s="324"/>
      <c r="H34" s="326"/>
      <c r="I34" s="326"/>
      <c r="J34" s="325"/>
      <c r="K34" s="324"/>
      <c r="L34" s="324"/>
      <c r="M34" s="324"/>
      <c r="N34" s="324"/>
      <c r="O34" s="324"/>
      <c r="P34" s="324"/>
      <c r="Q34" s="324"/>
      <c r="R34" s="326"/>
      <c r="S34" s="326"/>
    </row>
    <row r="35" spans="1:19" x14ac:dyDescent="0.2">
      <c r="A35" s="802" t="s">
        <v>651</v>
      </c>
      <c r="B35" s="802"/>
      <c r="C35" s="802"/>
      <c r="D35" s="802"/>
      <c r="E35" s="802"/>
      <c r="F35" s="802"/>
      <c r="G35" s="802"/>
      <c r="H35" s="802"/>
      <c r="I35" s="803"/>
      <c r="J35" s="325"/>
      <c r="K35" s="802" t="s">
        <v>652</v>
      </c>
      <c r="L35" s="802"/>
      <c r="M35" s="802"/>
      <c r="N35" s="802"/>
      <c r="O35" s="802"/>
      <c r="P35" s="802"/>
      <c r="Q35" s="802"/>
      <c r="R35" s="802"/>
      <c r="S35" s="803"/>
    </row>
    <row r="36" spans="1:19" x14ac:dyDescent="0.2">
      <c r="A36" s="327" t="s">
        <v>504</v>
      </c>
      <c r="B36" s="327" t="s">
        <v>641</v>
      </c>
      <c r="C36" s="328" t="s">
        <v>642</v>
      </c>
      <c r="D36" s="328" t="s">
        <v>643</v>
      </c>
      <c r="E36" s="328" t="s">
        <v>644</v>
      </c>
      <c r="F36" s="328" t="s">
        <v>645</v>
      </c>
      <c r="G36" s="328" t="s">
        <v>646</v>
      </c>
      <c r="H36" s="328" t="s">
        <v>647</v>
      </c>
      <c r="I36" s="328" t="s">
        <v>648</v>
      </c>
      <c r="J36" s="325"/>
      <c r="K36" s="327" t="s">
        <v>504</v>
      </c>
      <c r="L36" s="327" t="s">
        <v>641</v>
      </c>
      <c r="M36" s="328" t="s">
        <v>642</v>
      </c>
      <c r="N36" s="328" t="s">
        <v>643</v>
      </c>
      <c r="O36" s="328" t="s">
        <v>644</v>
      </c>
      <c r="P36" s="328" t="s">
        <v>645</v>
      </c>
      <c r="Q36" s="328" t="s">
        <v>646</v>
      </c>
      <c r="R36" s="328" t="s">
        <v>647</v>
      </c>
      <c r="S36" s="328" t="s">
        <v>648</v>
      </c>
    </row>
    <row r="37" spans="1:19" x14ac:dyDescent="0.2">
      <c r="A37" s="329">
        <v>7</v>
      </c>
      <c r="B37" s="329">
        <v>14</v>
      </c>
      <c r="C37" s="330">
        <v>69.728999999999999</v>
      </c>
      <c r="D37" s="330">
        <v>69.2</v>
      </c>
      <c r="E37" s="330">
        <v>3.05</v>
      </c>
      <c r="F37" s="330">
        <v>75.5</v>
      </c>
      <c r="G37" s="330">
        <v>64.2</v>
      </c>
      <c r="H37" s="330">
        <f t="shared" si="4"/>
        <v>71.326687704152476</v>
      </c>
      <c r="I37" s="330">
        <f t="shared" si="5"/>
        <v>68.131312295847522</v>
      </c>
      <c r="J37" s="325"/>
      <c r="K37" s="329">
        <v>7</v>
      </c>
      <c r="L37" s="329">
        <v>14</v>
      </c>
      <c r="M37" s="344">
        <v>0.82099999999999995</v>
      </c>
      <c r="N37" s="344">
        <v>0.8</v>
      </c>
      <c r="O37" s="344">
        <v>0.625</v>
      </c>
      <c r="P37" s="344">
        <v>2.2999999999999998</v>
      </c>
      <c r="Q37" s="344">
        <v>0</v>
      </c>
      <c r="R37" s="344">
        <f t="shared" si="0"/>
        <v>1.1483950213427199</v>
      </c>
      <c r="S37" s="344">
        <f t="shared" si="1"/>
        <v>0.49360497865728004</v>
      </c>
    </row>
    <row r="38" spans="1:19" x14ac:dyDescent="0.2">
      <c r="A38" s="324">
        <v>8</v>
      </c>
      <c r="B38" s="324">
        <v>39</v>
      </c>
      <c r="C38" s="326">
        <v>70.61</v>
      </c>
      <c r="D38" s="326">
        <v>70.099999999999994</v>
      </c>
      <c r="E38" s="326">
        <v>3.036</v>
      </c>
      <c r="F38" s="326">
        <v>76.900000000000006</v>
      </c>
      <c r="G38" s="326">
        <v>64.400000000000006</v>
      </c>
      <c r="H38" s="326">
        <f t="shared" si="4"/>
        <v>71.562852186906397</v>
      </c>
      <c r="I38" s="326">
        <f t="shared" si="5"/>
        <v>69.657147813093601</v>
      </c>
      <c r="J38" s="325"/>
      <c r="K38" s="324">
        <v>8</v>
      </c>
      <c r="L38" s="324">
        <v>39</v>
      </c>
      <c r="M38" s="331">
        <v>0.995</v>
      </c>
      <c r="N38" s="331">
        <v>0.7</v>
      </c>
      <c r="O38" s="331">
        <v>1.075</v>
      </c>
      <c r="P38" s="331">
        <v>4.5</v>
      </c>
      <c r="Q38" s="331">
        <v>-0.3</v>
      </c>
      <c r="R38" s="331">
        <f t="shared" si="0"/>
        <v>1.3323900200673187</v>
      </c>
      <c r="S38" s="331">
        <f t="shared" si="1"/>
        <v>0.65760997993268144</v>
      </c>
    </row>
    <row r="39" spans="1:19" x14ac:dyDescent="0.2">
      <c r="A39" s="329">
        <v>9</v>
      </c>
      <c r="B39" s="329">
        <v>57</v>
      </c>
      <c r="C39" s="330">
        <v>71.992999999999995</v>
      </c>
      <c r="D39" s="330">
        <v>71.7</v>
      </c>
      <c r="E39" s="330">
        <v>2.8519999999999999</v>
      </c>
      <c r="F39" s="330">
        <v>81.3</v>
      </c>
      <c r="G39" s="330">
        <v>65.5</v>
      </c>
      <c r="H39" s="330">
        <f t="shared" si="4"/>
        <v>72.733402991340498</v>
      </c>
      <c r="I39" s="330">
        <f t="shared" si="5"/>
        <v>71.252597008659492</v>
      </c>
      <c r="J39" s="325"/>
      <c r="K39" s="329">
        <v>9</v>
      </c>
      <c r="L39" s="329">
        <v>57</v>
      </c>
      <c r="M39" s="344">
        <v>0.74</v>
      </c>
      <c r="N39" s="344">
        <v>0.7</v>
      </c>
      <c r="O39" s="344">
        <v>0.93500000000000005</v>
      </c>
      <c r="P39" s="344">
        <v>4.3</v>
      </c>
      <c r="Q39" s="344">
        <v>-0.9</v>
      </c>
      <c r="R39" s="344">
        <f t="shared" si="0"/>
        <v>0.98273379975573993</v>
      </c>
      <c r="S39" s="344">
        <f t="shared" si="1"/>
        <v>0.49726620024426005</v>
      </c>
    </row>
    <row r="40" spans="1:19" x14ac:dyDescent="0.2">
      <c r="A40" s="324">
        <v>10</v>
      </c>
      <c r="B40" s="324">
        <v>66</v>
      </c>
      <c r="C40" s="326">
        <v>73.539000000000001</v>
      </c>
      <c r="D40" s="326">
        <v>73.349999999999994</v>
      </c>
      <c r="E40" s="326">
        <v>3.2850000000000001</v>
      </c>
      <c r="F40" s="326">
        <v>80.7</v>
      </c>
      <c r="G40" s="326">
        <v>67.5</v>
      </c>
      <c r="H40" s="326">
        <f t="shared" si="4"/>
        <v>74.33153687381953</v>
      </c>
      <c r="I40" s="326">
        <f t="shared" si="5"/>
        <v>72.746463126180473</v>
      </c>
      <c r="J40" s="325"/>
      <c r="K40" s="324">
        <v>10</v>
      </c>
      <c r="L40" s="324">
        <v>66</v>
      </c>
      <c r="M40" s="331">
        <v>0.85499999999999998</v>
      </c>
      <c r="N40" s="331">
        <v>0.8</v>
      </c>
      <c r="O40" s="331">
        <v>1.032</v>
      </c>
      <c r="P40" s="331">
        <v>4</v>
      </c>
      <c r="Q40" s="331">
        <v>-0.9</v>
      </c>
      <c r="R40" s="331">
        <f t="shared" si="0"/>
        <v>1.1039796206337158</v>
      </c>
      <c r="S40" s="331">
        <f t="shared" si="1"/>
        <v>0.60602037936628406</v>
      </c>
    </row>
    <row r="41" spans="1:19" x14ac:dyDescent="0.2">
      <c r="A41" s="329">
        <v>11</v>
      </c>
      <c r="B41" s="329">
        <v>55</v>
      </c>
      <c r="C41" s="330">
        <v>76.489000000000004</v>
      </c>
      <c r="D41" s="330">
        <v>76.599999999999994</v>
      </c>
      <c r="E41" s="330">
        <v>4.468</v>
      </c>
      <c r="F41" s="330">
        <v>89</v>
      </c>
      <c r="G41" s="330">
        <v>67</v>
      </c>
      <c r="H41" s="330">
        <f t="shared" si="4"/>
        <v>77.669831394310421</v>
      </c>
      <c r="I41" s="330">
        <f t="shared" si="5"/>
        <v>75.308168605689588</v>
      </c>
      <c r="J41" s="325"/>
      <c r="K41" s="329">
        <v>11</v>
      </c>
      <c r="L41" s="329">
        <v>55</v>
      </c>
      <c r="M41" s="344">
        <v>0.83599999999999997</v>
      </c>
      <c r="N41" s="344">
        <v>0.8</v>
      </c>
      <c r="O41" s="344">
        <v>1.0620000000000001</v>
      </c>
      <c r="P41" s="344">
        <v>5.2</v>
      </c>
      <c r="Q41" s="344">
        <v>-1.2</v>
      </c>
      <c r="R41" s="344">
        <f t="shared" si="0"/>
        <v>1.1166720995428976</v>
      </c>
      <c r="S41" s="344">
        <f t="shared" si="1"/>
        <v>0.55532790045710234</v>
      </c>
    </row>
    <row r="42" spans="1:19" x14ac:dyDescent="0.2">
      <c r="A42" s="324">
        <v>12</v>
      </c>
      <c r="B42" s="324">
        <v>35</v>
      </c>
      <c r="C42" s="326">
        <v>79.486000000000004</v>
      </c>
      <c r="D42" s="326">
        <v>78.8</v>
      </c>
      <c r="E42" s="326">
        <v>4.0030000000000001</v>
      </c>
      <c r="F42" s="326">
        <v>89.5</v>
      </c>
      <c r="G42" s="326">
        <v>73</v>
      </c>
      <c r="H42" s="326">
        <f t="shared" si="4"/>
        <v>80.812195772817873</v>
      </c>
      <c r="I42" s="326">
        <f t="shared" si="5"/>
        <v>78.159804227182136</v>
      </c>
      <c r="J42" s="325"/>
      <c r="K42" s="324">
        <v>12</v>
      </c>
      <c r="L42" s="324">
        <v>35</v>
      </c>
      <c r="M42" s="331">
        <v>0.54600000000000004</v>
      </c>
      <c r="N42" s="331">
        <v>0.4</v>
      </c>
      <c r="O42" s="331">
        <v>1.0429999999999999</v>
      </c>
      <c r="P42" s="331">
        <v>4.0999999999999996</v>
      </c>
      <c r="Q42" s="331">
        <v>-1.4</v>
      </c>
      <c r="R42" s="331">
        <f t="shared" si="0"/>
        <v>0.89154638797128238</v>
      </c>
      <c r="S42" s="331">
        <f t="shared" si="1"/>
        <v>0.20045361202871775</v>
      </c>
    </row>
    <row r="43" spans="1:19" x14ac:dyDescent="0.2">
      <c r="A43" s="329">
        <v>13</v>
      </c>
      <c r="B43" s="329">
        <v>64</v>
      </c>
      <c r="C43" s="330">
        <v>84.125</v>
      </c>
      <c r="D43" s="330">
        <v>84.2</v>
      </c>
      <c r="E43" s="330">
        <v>4.8</v>
      </c>
      <c r="F43" s="330">
        <v>96.9</v>
      </c>
      <c r="G43" s="330">
        <v>74</v>
      </c>
      <c r="H43" s="330">
        <f t="shared" si="4"/>
        <v>85.301000000000002</v>
      </c>
      <c r="I43" s="330">
        <f t="shared" si="5"/>
        <v>82.948999999999998</v>
      </c>
      <c r="J43" s="325"/>
      <c r="K43" s="329">
        <v>13</v>
      </c>
      <c r="L43" s="329">
        <v>64</v>
      </c>
      <c r="M43" s="344">
        <v>0.48099999999999998</v>
      </c>
      <c r="N43" s="344">
        <v>0.3</v>
      </c>
      <c r="O43" s="344">
        <v>0.85699999999999998</v>
      </c>
      <c r="P43" s="344">
        <v>3.1</v>
      </c>
      <c r="Q43" s="344">
        <v>-1.3</v>
      </c>
      <c r="R43" s="344">
        <f t="shared" si="0"/>
        <v>0.69096499999999994</v>
      </c>
      <c r="S43" s="344">
        <f t="shared" si="1"/>
        <v>0.27103500000000003</v>
      </c>
    </row>
    <row r="44" spans="1:19" x14ac:dyDescent="0.2">
      <c r="A44" s="324">
        <v>14</v>
      </c>
      <c r="B44" s="324">
        <v>87</v>
      </c>
      <c r="C44" s="326">
        <v>87.043000000000006</v>
      </c>
      <c r="D44" s="326">
        <v>87.5</v>
      </c>
      <c r="E44" s="326">
        <v>4.7709999999999999</v>
      </c>
      <c r="F44" s="326">
        <v>97.1</v>
      </c>
      <c r="G44" s="326">
        <v>72.5</v>
      </c>
      <c r="H44" s="326">
        <f t="shared" si="4"/>
        <v>88.045549585127389</v>
      </c>
      <c r="I44" s="326">
        <f t="shared" si="5"/>
        <v>86.040450414872623</v>
      </c>
      <c r="J44" s="325"/>
      <c r="K44" s="324">
        <v>14</v>
      </c>
      <c r="L44" s="324">
        <v>87</v>
      </c>
      <c r="M44" s="331">
        <v>0.73399999999999999</v>
      </c>
      <c r="N44" s="331">
        <v>0.7</v>
      </c>
      <c r="O44" s="331">
        <v>1.083</v>
      </c>
      <c r="P44" s="331">
        <v>5.0999999999999996</v>
      </c>
      <c r="Q44" s="331">
        <v>-1.9</v>
      </c>
      <c r="R44" s="331">
        <f t="shared" si="0"/>
        <v>0.96157518354494897</v>
      </c>
      <c r="S44" s="331">
        <f t="shared" si="1"/>
        <v>0.506424816455051</v>
      </c>
    </row>
    <row r="45" spans="1:19" x14ac:dyDescent="0.2">
      <c r="A45" s="329">
        <v>15</v>
      </c>
      <c r="B45" s="329">
        <v>70</v>
      </c>
      <c r="C45" s="330">
        <v>89.369</v>
      </c>
      <c r="D45" s="330">
        <v>89.5</v>
      </c>
      <c r="E45" s="330">
        <v>4.2130000000000001</v>
      </c>
      <c r="F45" s="330">
        <v>100.2</v>
      </c>
      <c r="G45" s="330">
        <v>80.5</v>
      </c>
      <c r="H45" s="330">
        <f t="shared" si="4"/>
        <v>90.355957633700655</v>
      </c>
      <c r="I45" s="330">
        <f t="shared" si="5"/>
        <v>88.382042366299345</v>
      </c>
      <c r="J45" s="325"/>
      <c r="K45" s="329">
        <v>15</v>
      </c>
      <c r="L45" s="329">
        <v>70</v>
      </c>
      <c r="M45" s="344">
        <v>0.59</v>
      </c>
      <c r="N45" s="344">
        <v>0.5</v>
      </c>
      <c r="O45" s="344">
        <v>1.024</v>
      </c>
      <c r="P45" s="344">
        <v>5.2</v>
      </c>
      <c r="Q45" s="344">
        <v>-1.5</v>
      </c>
      <c r="R45" s="344">
        <f t="shared" si="0"/>
        <v>0.82988716280785013</v>
      </c>
      <c r="S45" s="344">
        <f t="shared" si="1"/>
        <v>0.35011283719214981</v>
      </c>
    </row>
    <row r="46" spans="1:19" x14ac:dyDescent="0.2">
      <c r="A46" s="324">
        <v>16</v>
      </c>
      <c r="B46" s="324">
        <v>38</v>
      </c>
      <c r="C46" s="326">
        <v>90.233999999999995</v>
      </c>
      <c r="D46" s="326">
        <v>90.05</v>
      </c>
      <c r="E46" s="326">
        <v>3.593</v>
      </c>
      <c r="F46" s="326">
        <v>99.8</v>
      </c>
      <c r="G46" s="326">
        <v>83.2</v>
      </c>
      <c r="H46" s="326">
        <f t="shared" si="4"/>
        <v>91.376408669600735</v>
      </c>
      <c r="I46" s="326">
        <f t="shared" si="5"/>
        <v>89.091591330399254</v>
      </c>
      <c r="J46" s="325"/>
      <c r="K46" s="324">
        <v>16</v>
      </c>
      <c r="L46" s="324">
        <v>38</v>
      </c>
      <c r="M46" s="331">
        <v>0.72099999999999997</v>
      </c>
      <c r="N46" s="331">
        <v>0.5</v>
      </c>
      <c r="O46" s="331">
        <v>1.109</v>
      </c>
      <c r="P46" s="331">
        <v>4</v>
      </c>
      <c r="Q46" s="331">
        <v>-0.6</v>
      </c>
      <c r="R46" s="331">
        <f t="shared" si="0"/>
        <v>1.0736109698266707</v>
      </c>
      <c r="S46" s="331">
        <f t="shared" si="1"/>
        <v>0.3683890301733293</v>
      </c>
    </row>
    <row r="47" spans="1:19" x14ac:dyDescent="0.2">
      <c r="A47" s="329">
        <v>17</v>
      </c>
      <c r="B47" s="329">
        <v>30</v>
      </c>
      <c r="C47" s="330">
        <v>90.56</v>
      </c>
      <c r="D47" s="330">
        <v>90.1</v>
      </c>
      <c r="E47" s="330">
        <v>2.9950000000000001</v>
      </c>
      <c r="F47" s="330">
        <v>97</v>
      </c>
      <c r="G47" s="330">
        <v>84.8</v>
      </c>
      <c r="H47" s="330">
        <f t="shared" si="4"/>
        <v>91.631746985688949</v>
      </c>
      <c r="I47" s="330">
        <f t="shared" si="5"/>
        <v>89.488253014311056</v>
      </c>
      <c r="J47" s="325"/>
      <c r="K47" s="329">
        <v>17</v>
      </c>
      <c r="L47" s="329">
        <v>30</v>
      </c>
      <c r="M47" s="344">
        <v>1.2330000000000001</v>
      </c>
      <c r="N47" s="344">
        <v>1</v>
      </c>
      <c r="O47" s="344">
        <v>1.226</v>
      </c>
      <c r="P47" s="344">
        <v>4.3</v>
      </c>
      <c r="Q47" s="344">
        <v>-1.2</v>
      </c>
      <c r="R47" s="344">
        <f t="shared" si="0"/>
        <v>1.6717184655942048</v>
      </c>
      <c r="S47" s="344">
        <f t="shared" si="1"/>
        <v>0.79428153440579541</v>
      </c>
    </row>
    <row r="48" spans="1:19" x14ac:dyDescent="0.2">
      <c r="A48" s="324">
        <v>18</v>
      </c>
      <c r="B48" s="324">
        <v>21</v>
      </c>
      <c r="C48" s="326">
        <v>91.995000000000005</v>
      </c>
      <c r="D48" s="326">
        <v>92.5</v>
      </c>
      <c r="E48" s="326">
        <v>3.4689999999999999</v>
      </c>
      <c r="F48" s="326">
        <v>99.2</v>
      </c>
      <c r="G48" s="326">
        <v>84.3</v>
      </c>
      <c r="H48" s="326">
        <f t="shared" si="4"/>
        <v>93.478715808008175</v>
      </c>
      <c r="I48" s="326">
        <f t="shared" si="5"/>
        <v>90.511284191991834</v>
      </c>
      <c r="J48" s="325"/>
      <c r="K48" s="324">
        <v>18</v>
      </c>
      <c r="L48" s="324">
        <v>21</v>
      </c>
      <c r="M48" s="331">
        <v>0.58099999999999996</v>
      </c>
      <c r="N48" s="331">
        <v>0.5</v>
      </c>
      <c r="O48" s="331">
        <v>0.86299999999999999</v>
      </c>
      <c r="P48" s="331">
        <v>2.5</v>
      </c>
      <c r="Q48" s="331">
        <v>-0.9</v>
      </c>
      <c r="R48" s="331">
        <f t="shared" si="0"/>
        <v>0.95011119697637636</v>
      </c>
      <c r="S48" s="331">
        <f t="shared" si="1"/>
        <v>0.21188880302362356</v>
      </c>
    </row>
    <row r="49" spans="1:19" x14ac:dyDescent="0.2">
      <c r="A49" s="329">
        <v>19</v>
      </c>
      <c r="B49" s="329">
        <v>7</v>
      </c>
      <c r="C49" s="330">
        <v>91.343000000000004</v>
      </c>
      <c r="D49" s="330">
        <v>93</v>
      </c>
      <c r="E49" s="330">
        <v>2.9550000000000001</v>
      </c>
      <c r="F49" s="330">
        <v>93.6</v>
      </c>
      <c r="G49" s="330">
        <v>86</v>
      </c>
      <c r="H49" s="330">
        <f t="shared" si="4"/>
        <v>93.53209463477485</v>
      </c>
      <c r="I49" s="330">
        <f t="shared" si="5"/>
        <v>89.153905365225157</v>
      </c>
      <c r="J49" s="325"/>
      <c r="K49" s="329">
        <v>19</v>
      </c>
      <c r="L49" s="329">
        <v>7</v>
      </c>
      <c r="M49" s="344">
        <v>2.129</v>
      </c>
      <c r="N49" s="344">
        <v>1.6</v>
      </c>
      <c r="O49" s="344">
        <v>1.9470000000000001</v>
      </c>
      <c r="P49" s="344">
        <v>5.3</v>
      </c>
      <c r="Q49" s="344">
        <v>0.3</v>
      </c>
      <c r="R49" s="344">
        <f t="shared" si="0"/>
        <v>3.5713577847399725</v>
      </c>
      <c r="S49" s="344">
        <f t="shared" si="1"/>
        <v>0.68664221526002778</v>
      </c>
    </row>
    <row r="50" spans="1:19" x14ac:dyDescent="0.2">
      <c r="A50" s="332"/>
      <c r="B50" s="332"/>
      <c r="C50" s="333"/>
      <c r="D50" s="333"/>
      <c r="E50" s="333"/>
      <c r="F50" s="333"/>
      <c r="G50" s="333"/>
      <c r="H50" s="333"/>
      <c r="I50" s="333"/>
      <c r="J50" s="325"/>
      <c r="K50" s="324"/>
      <c r="L50" s="324"/>
      <c r="M50" s="324"/>
      <c r="N50" s="324"/>
      <c r="O50" s="324"/>
      <c r="P50" s="324"/>
      <c r="Q50" s="324"/>
      <c r="R50" s="326"/>
      <c r="S50" s="326"/>
    </row>
    <row r="51" spans="1:19" x14ac:dyDescent="0.2">
      <c r="A51" s="332"/>
      <c r="B51" s="332"/>
      <c r="C51" s="333"/>
      <c r="D51" s="333"/>
      <c r="E51" s="333"/>
      <c r="F51" s="333"/>
      <c r="G51" s="333"/>
      <c r="H51" s="333"/>
      <c r="I51" s="333"/>
      <c r="J51" s="325"/>
      <c r="K51" s="324"/>
      <c r="L51" s="324"/>
      <c r="M51" s="324"/>
      <c r="N51" s="324"/>
      <c r="O51" s="324"/>
      <c r="P51" s="324"/>
      <c r="Q51" s="324"/>
      <c r="R51" s="326"/>
      <c r="S51" s="326"/>
    </row>
    <row r="52" spans="1:19" x14ac:dyDescent="0.2">
      <c r="A52" s="800" t="s">
        <v>653</v>
      </c>
      <c r="B52" s="800"/>
      <c r="C52" s="800"/>
      <c r="D52" s="800"/>
      <c r="E52" s="800"/>
      <c r="F52" s="800"/>
      <c r="G52" s="800"/>
      <c r="H52" s="800"/>
      <c r="I52" s="801"/>
      <c r="J52" s="325"/>
      <c r="K52" s="804" t="s">
        <v>654</v>
      </c>
      <c r="L52" s="802"/>
      <c r="M52" s="802"/>
      <c r="N52" s="802"/>
      <c r="O52" s="802"/>
      <c r="P52" s="802"/>
      <c r="Q52" s="802"/>
      <c r="R52" s="802"/>
      <c r="S52" s="803"/>
    </row>
    <row r="53" spans="1:19" x14ac:dyDescent="0.2">
      <c r="A53" s="324" t="s">
        <v>504</v>
      </c>
      <c r="B53" s="324" t="s">
        <v>641</v>
      </c>
      <c r="C53" s="326" t="s">
        <v>642</v>
      </c>
      <c r="D53" s="326" t="s">
        <v>643</v>
      </c>
      <c r="E53" s="326" t="s">
        <v>644</v>
      </c>
      <c r="F53" s="326" t="s">
        <v>645</v>
      </c>
      <c r="G53" s="326" t="s">
        <v>646</v>
      </c>
      <c r="H53" s="326" t="s">
        <v>647</v>
      </c>
      <c r="I53" s="326" t="s">
        <v>648</v>
      </c>
      <c r="J53" s="325"/>
      <c r="K53" s="802" t="s">
        <v>504</v>
      </c>
      <c r="L53" s="802" t="s">
        <v>641</v>
      </c>
      <c r="M53" s="802" t="s">
        <v>642</v>
      </c>
      <c r="N53" s="802" t="s">
        <v>643</v>
      </c>
      <c r="O53" s="802" t="s">
        <v>644</v>
      </c>
      <c r="P53" s="802" t="s">
        <v>645</v>
      </c>
      <c r="Q53" s="802" t="s">
        <v>646</v>
      </c>
      <c r="R53" s="802" t="s">
        <v>647</v>
      </c>
      <c r="S53" s="803" t="s">
        <v>648</v>
      </c>
    </row>
    <row r="54" spans="1:19" x14ac:dyDescent="0.2">
      <c r="A54" s="329">
        <v>7</v>
      </c>
      <c r="B54" s="329">
        <v>13</v>
      </c>
      <c r="C54" s="330">
        <v>131.50800000000001</v>
      </c>
      <c r="D54" s="330">
        <v>131.19999999999999</v>
      </c>
      <c r="E54" s="330">
        <v>3.6669999999999998</v>
      </c>
      <c r="F54" s="330">
        <v>138.19999999999999</v>
      </c>
      <c r="G54" s="330">
        <v>126.5</v>
      </c>
      <c r="H54" s="330">
        <f t="shared" si="4"/>
        <v>133.50140390716678</v>
      </c>
      <c r="I54" s="330">
        <f t="shared" si="5"/>
        <v>129.51459609283324</v>
      </c>
      <c r="J54" s="325"/>
      <c r="K54" s="327">
        <v>7</v>
      </c>
      <c r="L54" s="327">
        <v>14</v>
      </c>
      <c r="M54" s="328">
        <v>0.2</v>
      </c>
      <c r="N54" s="328">
        <v>0.3</v>
      </c>
      <c r="O54" s="328">
        <v>0.47599999999999998</v>
      </c>
      <c r="P54" s="328">
        <v>1</v>
      </c>
      <c r="Q54" s="328">
        <v>-0.7</v>
      </c>
      <c r="R54" s="328">
        <f t="shared" si="0"/>
        <v>0.44934404825461544</v>
      </c>
      <c r="S54" s="328">
        <f t="shared" si="1"/>
        <v>-4.9344048254615414E-2</v>
      </c>
    </row>
    <row r="55" spans="1:19" x14ac:dyDescent="0.2">
      <c r="A55" s="324">
        <v>8</v>
      </c>
      <c r="B55" s="324">
        <v>39</v>
      </c>
      <c r="C55" s="326">
        <v>130.636</v>
      </c>
      <c r="D55" s="326">
        <v>132.5</v>
      </c>
      <c r="E55" s="326">
        <v>6.4059999999999997</v>
      </c>
      <c r="F55" s="326">
        <v>141.6</v>
      </c>
      <c r="G55" s="326">
        <v>110.9</v>
      </c>
      <c r="H55" s="326">
        <f t="shared" si="4"/>
        <v>132.64653066841976</v>
      </c>
      <c r="I55" s="326">
        <f t="shared" si="5"/>
        <v>128.62546933158023</v>
      </c>
      <c r="J55" s="325"/>
      <c r="K55" s="329">
        <v>8</v>
      </c>
      <c r="L55" s="329">
        <v>39</v>
      </c>
      <c r="M55" s="344">
        <v>0.64900000000000002</v>
      </c>
      <c r="N55" s="344">
        <v>0.5</v>
      </c>
      <c r="O55" s="344">
        <v>0.81799999999999995</v>
      </c>
      <c r="P55" s="344">
        <v>2.6</v>
      </c>
      <c r="Q55" s="344">
        <v>-0.6</v>
      </c>
      <c r="R55" s="344">
        <f t="shared" si="0"/>
        <v>0.90573026643262011</v>
      </c>
      <c r="S55" s="344">
        <f t="shared" si="1"/>
        <v>0.39226973356737993</v>
      </c>
    </row>
    <row r="56" spans="1:19" x14ac:dyDescent="0.2">
      <c r="A56" s="329">
        <v>9</v>
      </c>
      <c r="B56" s="329">
        <v>57</v>
      </c>
      <c r="C56" s="330">
        <v>135.19800000000001</v>
      </c>
      <c r="D56" s="330">
        <v>134.5</v>
      </c>
      <c r="E56" s="330">
        <v>6.4139999999999997</v>
      </c>
      <c r="F56" s="330">
        <v>151.4</v>
      </c>
      <c r="G56" s="330">
        <v>114.2</v>
      </c>
      <c r="H56" s="330">
        <f t="shared" si="4"/>
        <v>136.86312790549019</v>
      </c>
      <c r="I56" s="330">
        <f t="shared" si="5"/>
        <v>133.53287209450983</v>
      </c>
      <c r="J56" s="325"/>
      <c r="K56" s="324">
        <v>9</v>
      </c>
      <c r="L56" s="324">
        <v>57</v>
      </c>
      <c r="M56" s="331">
        <v>0.27500000000000002</v>
      </c>
      <c r="N56" s="331">
        <v>0.2</v>
      </c>
      <c r="O56" s="331">
        <v>0.67200000000000004</v>
      </c>
      <c r="P56" s="331">
        <v>2.8</v>
      </c>
      <c r="Q56" s="331">
        <v>-1</v>
      </c>
      <c r="R56" s="331">
        <f t="shared" si="0"/>
        <v>0.44945680581375108</v>
      </c>
      <c r="S56" s="331">
        <f t="shared" si="1"/>
        <v>0.10054319418624896</v>
      </c>
    </row>
    <row r="57" spans="1:19" x14ac:dyDescent="0.2">
      <c r="A57" s="324">
        <v>10</v>
      </c>
      <c r="B57" s="324">
        <v>66</v>
      </c>
      <c r="C57" s="326">
        <v>139.56399999999999</v>
      </c>
      <c r="D57" s="326">
        <v>139.25</v>
      </c>
      <c r="E57" s="326">
        <v>7.5490000000000004</v>
      </c>
      <c r="F57" s="326">
        <v>160.19999999999999</v>
      </c>
      <c r="G57" s="326">
        <v>127.3</v>
      </c>
      <c r="H57" s="326">
        <f t="shared" si="4"/>
        <v>141.38526662418985</v>
      </c>
      <c r="I57" s="326">
        <f t="shared" si="5"/>
        <v>137.74273337581013</v>
      </c>
      <c r="J57" s="325"/>
      <c r="K57" s="329">
        <v>10</v>
      </c>
      <c r="L57" s="329">
        <v>66</v>
      </c>
      <c r="M57" s="344">
        <v>0.318</v>
      </c>
      <c r="N57" s="344">
        <v>0.2</v>
      </c>
      <c r="O57" s="344">
        <v>0.79100000000000004</v>
      </c>
      <c r="P57" s="344">
        <v>3.3</v>
      </c>
      <c r="Q57" s="344">
        <v>-0.9</v>
      </c>
      <c r="R57" s="344">
        <f t="shared" si="0"/>
        <v>0.50883612395471833</v>
      </c>
      <c r="S57" s="344">
        <f t="shared" si="1"/>
        <v>0.12716387604528173</v>
      </c>
    </row>
    <row r="58" spans="1:19" x14ac:dyDescent="0.2">
      <c r="A58" s="329">
        <v>11</v>
      </c>
      <c r="B58" s="329">
        <v>55</v>
      </c>
      <c r="C58" s="330">
        <v>147.15100000000001</v>
      </c>
      <c r="D58" s="330">
        <v>148.19999999999999</v>
      </c>
      <c r="E58" s="330">
        <v>8.2159999999999993</v>
      </c>
      <c r="F58" s="330">
        <v>169.4</v>
      </c>
      <c r="G58" s="330">
        <v>131.5</v>
      </c>
      <c r="H58" s="330">
        <f t="shared" si="4"/>
        <v>149.32237661943921</v>
      </c>
      <c r="I58" s="330">
        <f t="shared" si="5"/>
        <v>144.97962338056081</v>
      </c>
      <c r="J58" s="325"/>
      <c r="K58" s="324">
        <v>11</v>
      </c>
      <c r="L58" s="324">
        <v>55</v>
      </c>
      <c r="M58" s="331">
        <v>0.32</v>
      </c>
      <c r="N58" s="331">
        <v>0.3</v>
      </c>
      <c r="O58" s="331">
        <v>0.89900000000000002</v>
      </c>
      <c r="P58" s="331">
        <v>3</v>
      </c>
      <c r="Q58" s="331">
        <v>-1.5</v>
      </c>
      <c r="R58" s="331">
        <f t="shared" si="0"/>
        <v>0.55759342513094623</v>
      </c>
      <c r="S58" s="331">
        <f t="shared" si="1"/>
        <v>8.2406574869053784E-2</v>
      </c>
    </row>
    <row r="59" spans="1:19" x14ac:dyDescent="0.2">
      <c r="A59" s="324">
        <v>12</v>
      </c>
      <c r="B59" s="324">
        <v>35</v>
      </c>
      <c r="C59" s="326">
        <v>153.78899999999999</v>
      </c>
      <c r="D59" s="326">
        <v>154.4</v>
      </c>
      <c r="E59" s="326">
        <v>8.9009999999999998</v>
      </c>
      <c r="F59" s="326">
        <v>172</v>
      </c>
      <c r="G59" s="326">
        <v>139.1</v>
      </c>
      <c r="H59" s="326">
        <f t="shared" si="4"/>
        <v>156.7379054643647</v>
      </c>
      <c r="I59" s="326">
        <f t="shared" si="5"/>
        <v>150.84009453563527</v>
      </c>
      <c r="J59" s="325"/>
      <c r="K59" s="329">
        <v>12</v>
      </c>
      <c r="L59" s="329">
        <v>35</v>
      </c>
      <c r="M59" s="344">
        <v>0.13400000000000001</v>
      </c>
      <c r="N59" s="344">
        <v>0</v>
      </c>
      <c r="O59" s="344">
        <v>0.91800000000000004</v>
      </c>
      <c r="P59" s="344">
        <v>3.5</v>
      </c>
      <c r="Q59" s="344">
        <v>-1.2</v>
      </c>
      <c r="R59" s="344">
        <f t="shared" si="0"/>
        <v>0.43813382948958507</v>
      </c>
      <c r="S59" s="344">
        <f t="shared" si="1"/>
        <v>-0.17013382948958505</v>
      </c>
    </row>
    <row r="60" spans="1:19" x14ac:dyDescent="0.2">
      <c r="A60" s="329">
        <v>13</v>
      </c>
      <c r="B60" s="329">
        <v>54</v>
      </c>
      <c r="C60" s="330">
        <v>163.79400000000001</v>
      </c>
      <c r="D60" s="330">
        <v>164.25</v>
      </c>
      <c r="E60" s="330">
        <v>9.1989999999999998</v>
      </c>
      <c r="F60" s="330">
        <v>179</v>
      </c>
      <c r="G60" s="330">
        <v>141.80000000000001</v>
      </c>
      <c r="H60" s="330">
        <f t="shared" si="4"/>
        <v>166.24757766899836</v>
      </c>
      <c r="I60" s="330">
        <f t="shared" si="5"/>
        <v>161.34042233100166</v>
      </c>
      <c r="J60" s="325"/>
      <c r="K60" s="324">
        <v>13</v>
      </c>
      <c r="L60" s="324">
        <v>64</v>
      </c>
      <c r="M60" s="331">
        <v>1.094E-2</v>
      </c>
      <c r="N60" s="331">
        <v>0</v>
      </c>
      <c r="O60" s="331">
        <v>0.54500000000000004</v>
      </c>
      <c r="P60" s="331">
        <v>1.6</v>
      </c>
      <c r="Q60" s="331">
        <v>-1.4</v>
      </c>
      <c r="R60" s="331">
        <f t="shared" si="0"/>
        <v>0.14446500000000001</v>
      </c>
      <c r="S60" s="331">
        <f t="shared" si="1"/>
        <v>-0.122585</v>
      </c>
    </row>
    <row r="61" spans="1:19" x14ac:dyDescent="0.2">
      <c r="A61" s="324">
        <v>14</v>
      </c>
      <c r="B61" s="324">
        <v>67</v>
      </c>
      <c r="C61" s="326">
        <v>168.49100000000001</v>
      </c>
      <c r="D61" s="326">
        <v>169</v>
      </c>
      <c r="E61" s="326">
        <v>9.0289999999999999</v>
      </c>
      <c r="F61" s="326">
        <v>189</v>
      </c>
      <c r="G61" s="326">
        <v>144.4</v>
      </c>
      <c r="H61" s="326">
        <f t="shared" si="4"/>
        <v>170.65301310966245</v>
      </c>
      <c r="I61" s="326">
        <f t="shared" si="5"/>
        <v>166.32898689033757</v>
      </c>
      <c r="J61" s="325"/>
      <c r="K61" s="329">
        <v>14</v>
      </c>
      <c r="L61" s="329">
        <v>87</v>
      </c>
      <c r="M61" s="344">
        <v>-1.379E-2</v>
      </c>
      <c r="N61" s="344">
        <v>0</v>
      </c>
      <c r="O61" s="344">
        <v>0.77400000000000002</v>
      </c>
      <c r="P61" s="344">
        <v>2.5</v>
      </c>
      <c r="Q61" s="344">
        <v>-1.7</v>
      </c>
      <c r="R61" s="344">
        <f t="shared" si="0"/>
        <v>0.14885375998503281</v>
      </c>
      <c r="S61" s="344">
        <f t="shared" si="1"/>
        <v>-0.1764337599850328</v>
      </c>
    </row>
    <row r="62" spans="1:19" x14ac:dyDescent="0.2">
      <c r="A62" s="329">
        <v>15</v>
      </c>
      <c r="B62" s="329">
        <v>54</v>
      </c>
      <c r="C62" s="330">
        <v>173.12</v>
      </c>
      <c r="D62" s="330">
        <v>172.3</v>
      </c>
      <c r="E62" s="330">
        <v>6.9939999999999998</v>
      </c>
      <c r="F62" s="330">
        <v>189.2</v>
      </c>
      <c r="G62" s="330">
        <v>160</v>
      </c>
      <c r="H62" s="330">
        <f t="shared" si="4"/>
        <v>174.98545518175612</v>
      </c>
      <c r="I62" s="330">
        <f t="shared" si="5"/>
        <v>171.25454481824389</v>
      </c>
      <c r="J62" s="325"/>
      <c r="K62" s="324">
        <v>15</v>
      </c>
      <c r="L62" s="324">
        <v>70</v>
      </c>
      <c r="M62" s="331">
        <v>-0.13600000000000001</v>
      </c>
      <c r="N62" s="331">
        <v>-0.1</v>
      </c>
      <c r="O62" s="331">
        <v>0.56799999999999995</v>
      </c>
      <c r="P62" s="331">
        <v>1.6</v>
      </c>
      <c r="Q62" s="331">
        <v>-1.5</v>
      </c>
      <c r="R62" s="331">
        <f t="shared" si="0"/>
        <v>-2.9375893800206443E-3</v>
      </c>
      <c r="S62" s="331">
        <f t="shared" si="1"/>
        <v>-0.26906241061997938</v>
      </c>
    </row>
    <row r="63" spans="1:19" x14ac:dyDescent="0.2">
      <c r="A63" s="329">
        <v>16</v>
      </c>
      <c r="B63" s="329">
        <v>28</v>
      </c>
      <c r="C63" s="330">
        <v>173.30699999999999</v>
      </c>
      <c r="D63" s="330">
        <v>173.8</v>
      </c>
      <c r="E63" s="330">
        <v>7.649</v>
      </c>
      <c r="F63" s="330">
        <v>189.3</v>
      </c>
      <c r="G63" s="330">
        <v>155.4</v>
      </c>
      <c r="H63" s="330">
        <f t="shared" si="4"/>
        <v>176.14022924896662</v>
      </c>
      <c r="I63" s="330">
        <f t="shared" si="5"/>
        <v>170.47377075103336</v>
      </c>
      <c r="J63" s="325"/>
      <c r="K63" s="329">
        <v>16</v>
      </c>
      <c r="L63" s="329">
        <v>38</v>
      </c>
      <c r="M63" s="344">
        <v>2.6319999999999998E-3</v>
      </c>
      <c r="N63" s="344">
        <v>-0.1</v>
      </c>
      <c r="O63" s="344">
        <v>0.77600000000000002</v>
      </c>
      <c r="P63" s="344">
        <v>2.6</v>
      </c>
      <c r="Q63" s="344">
        <v>-1.3</v>
      </c>
      <c r="R63" s="344">
        <f t="shared" si="0"/>
        <v>0.24936429268304461</v>
      </c>
      <c r="S63" s="344">
        <f t="shared" si="1"/>
        <v>-0.24410029268304462</v>
      </c>
    </row>
    <row r="64" spans="1:19" x14ac:dyDescent="0.2">
      <c r="A64" s="324">
        <v>17</v>
      </c>
      <c r="B64" s="324">
        <v>27</v>
      </c>
      <c r="C64" s="326">
        <v>176.322</v>
      </c>
      <c r="D64" s="326">
        <v>176.7</v>
      </c>
      <c r="E64" s="326">
        <v>7.0709999999999997</v>
      </c>
      <c r="F64" s="326">
        <v>189.5</v>
      </c>
      <c r="G64" s="326">
        <v>160.30000000000001</v>
      </c>
      <c r="H64" s="326">
        <f t="shared" si="4"/>
        <v>178.98919658558071</v>
      </c>
      <c r="I64" s="326">
        <f t="shared" si="5"/>
        <v>173.65480341441929</v>
      </c>
      <c r="J64" s="325"/>
      <c r="K64" s="324">
        <v>17</v>
      </c>
      <c r="L64" s="324">
        <v>30</v>
      </c>
      <c r="M64" s="331">
        <v>0.20300000000000001</v>
      </c>
      <c r="N64" s="331">
        <v>0.05</v>
      </c>
      <c r="O64" s="331">
        <v>0.86199999999999999</v>
      </c>
      <c r="P64" s="331">
        <v>2.2999999999999998</v>
      </c>
      <c r="Q64" s="331">
        <v>-1</v>
      </c>
      <c r="R64" s="331">
        <f t="shared" si="0"/>
        <v>0.51146273845204271</v>
      </c>
      <c r="S64" s="331">
        <f t="shared" si="1"/>
        <v>-0.10546273845204274</v>
      </c>
    </row>
    <row r="65" spans="1:19" x14ac:dyDescent="0.2">
      <c r="A65" s="329">
        <v>18</v>
      </c>
      <c r="B65" s="329">
        <v>19</v>
      </c>
      <c r="C65" s="330">
        <v>176.80500000000001</v>
      </c>
      <c r="D65" s="330">
        <v>177.1</v>
      </c>
      <c r="E65" s="330">
        <v>7.4969999999999999</v>
      </c>
      <c r="F65" s="330">
        <v>193.9</v>
      </c>
      <c r="G65" s="330">
        <v>161.30000000000001</v>
      </c>
      <c r="H65" s="330">
        <f t="shared" si="4"/>
        <v>180.1760623233821</v>
      </c>
      <c r="I65" s="330">
        <f t="shared" si="5"/>
        <v>173.43393767661792</v>
      </c>
      <c r="J65" s="325"/>
      <c r="K65" s="329">
        <v>18</v>
      </c>
      <c r="L65" s="329">
        <v>21</v>
      </c>
      <c r="M65" s="344">
        <v>-5.2380000000000003E-2</v>
      </c>
      <c r="N65" s="344">
        <v>-0.1</v>
      </c>
      <c r="O65" s="344">
        <v>0.59</v>
      </c>
      <c r="P65" s="344">
        <v>1.2</v>
      </c>
      <c r="Q65" s="344">
        <v>-1</v>
      </c>
      <c r="R65" s="344">
        <f t="shared" si="0"/>
        <v>0.19996716826890157</v>
      </c>
      <c r="S65" s="344">
        <f t="shared" si="1"/>
        <v>-0.30472716826890156</v>
      </c>
    </row>
    <row r="66" spans="1:19" x14ac:dyDescent="0.2">
      <c r="A66" s="324">
        <v>19</v>
      </c>
      <c r="B66" s="324">
        <v>7</v>
      </c>
      <c r="C66" s="326">
        <v>177.25700000000001</v>
      </c>
      <c r="D66" s="326">
        <v>173.6</v>
      </c>
      <c r="E66" s="326">
        <v>9.6199999999999992</v>
      </c>
      <c r="F66" s="326">
        <v>190.7</v>
      </c>
      <c r="G66" s="326">
        <v>165.3</v>
      </c>
      <c r="H66" s="326">
        <f t="shared" si="4"/>
        <v>184.38359573148358</v>
      </c>
      <c r="I66" s="326">
        <f t="shared" si="5"/>
        <v>170.13040426851643</v>
      </c>
      <c r="J66" s="325"/>
      <c r="K66" s="324">
        <v>19</v>
      </c>
      <c r="L66" s="324">
        <v>7</v>
      </c>
      <c r="M66" s="331">
        <v>1</v>
      </c>
      <c r="N66" s="331">
        <v>0.7</v>
      </c>
      <c r="O66" s="331">
        <v>1.274</v>
      </c>
      <c r="P66" s="331">
        <v>3</v>
      </c>
      <c r="Q66" s="331">
        <v>-0.3</v>
      </c>
      <c r="R66" s="331">
        <f t="shared" si="0"/>
        <v>1.9437924076829609</v>
      </c>
      <c r="S66" s="331">
        <f t="shared" si="1"/>
        <v>5.6207592317039201E-2</v>
      </c>
    </row>
    <row r="67" spans="1:19" x14ac:dyDescent="0.2">
      <c r="A67" s="332"/>
      <c r="B67" s="332"/>
      <c r="C67" s="333"/>
      <c r="D67" s="333"/>
      <c r="E67" s="333"/>
      <c r="F67" s="333"/>
      <c r="G67" s="333"/>
      <c r="H67" s="333"/>
      <c r="I67" s="333"/>
      <c r="J67" s="325"/>
      <c r="K67" s="324"/>
      <c r="L67" s="324"/>
      <c r="M67" s="324"/>
      <c r="N67" s="324"/>
      <c r="O67" s="324"/>
      <c r="P67" s="324"/>
      <c r="Q67" s="324"/>
      <c r="R67" s="326"/>
      <c r="S67" s="326"/>
    </row>
    <row r="68" spans="1:19" x14ac:dyDescent="0.2">
      <c r="A68" s="332"/>
      <c r="B68" s="332"/>
      <c r="C68" s="333"/>
      <c r="D68" s="333"/>
      <c r="E68" s="333"/>
      <c r="F68" s="333"/>
      <c r="G68" s="333"/>
      <c r="H68" s="333"/>
      <c r="I68" s="333"/>
      <c r="J68" s="325"/>
      <c r="K68" s="324"/>
      <c r="L68" s="324"/>
      <c r="M68" s="324"/>
      <c r="N68" s="324"/>
      <c r="O68" s="324"/>
      <c r="P68" s="324"/>
      <c r="Q68" s="324"/>
      <c r="R68" s="326"/>
      <c r="S68" s="326"/>
    </row>
    <row r="69" spans="1:19" x14ac:dyDescent="0.2">
      <c r="A69" s="800" t="s">
        <v>655</v>
      </c>
      <c r="B69" s="800"/>
      <c r="C69" s="800"/>
      <c r="D69" s="800"/>
      <c r="E69" s="800"/>
      <c r="F69" s="800"/>
      <c r="G69" s="800"/>
      <c r="H69" s="800"/>
      <c r="I69" s="801"/>
      <c r="J69" s="325"/>
      <c r="K69" s="800" t="s">
        <v>656</v>
      </c>
      <c r="L69" s="800"/>
      <c r="M69" s="800"/>
      <c r="N69" s="800"/>
      <c r="O69" s="800"/>
      <c r="P69" s="800"/>
      <c r="Q69" s="800"/>
      <c r="R69" s="800"/>
      <c r="S69" s="801"/>
    </row>
    <row r="70" spans="1:19" x14ac:dyDescent="0.2">
      <c r="A70" s="332" t="s">
        <v>504</v>
      </c>
      <c r="B70" s="332" t="s">
        <v>641</v>
      </c>
      <c r="C70" s="333" t="s">
        <v>642</v>
      </c>
      <c r="D70" s="333" t="s">
        <v>643</v>
      </c>
      <c r="E70" s="333" t="s">
        <v>644</v>
      </c>
      <c r="F70" s="333" t="s">
        <v>645</v>
      </c>
      <c r="G70" s="333" t="s">
        <v>646</v>
      </c>
      <c r="H70" s="333" t="s">
        <v>647</v>
      </c>
      <c r="I70" s="333" t="s">
        <v>648</v>
      </c>
      <c r="J70" s="325"/>
      <c r="K70" s="332" t="s">
        <v>504</v>
      </c>
      <c r="L70" s="332" t="s">
        <v>641</v>
      </c>
      <c r="M70" s="333" t="s">
        <v>642</v>
      </c>
      <c r="N70" s="333" t="s">
        <v>643</v>
      </c>
      <c r="O70" s="333" t="s">
        <v>644</v>
      </c>
      <c r="P70" s="333" t="s">
        <v>645</v>
      </c>
      <c r="Q70" s="333" t="s">
        <v>646</v>
      </c>
      <c r="R70" s="333" t="s">
        <v>647</v>
      </c>
      <c r="S70" s="333" t="s">
        <v>648</v>
      </c>
    </row>
    <row r="71" spans="1:19" x14ac:dyDescent="0.2">
      <c r="A71" s="324">
        <v>7</v>
      </c>
      <c r="B71" s="324">
        <v>14</v>
      </c>
      <c r="C71" s="326">
        <v>24.742999999999999</v>
      </c>
      <c r="D71" s="326">
        <v>24.6</v>
      </c>
      <c r="E71" s="326">
        <v>1.345</v>
      </c>
      <c r="F71" s="326">
        <v>27.4</v>
      </c>
      <c r="G71" s="326">
        <v>22.8</v>
      </c>
      <c r="H71" s="326">
        <f t="shared" si="4"/>
        <v>25.447554085929532</v>
      </c>
      <c r="I71" s="326">
        <f t="shared" si="5"/>
        <v>24.038445914070465</v>
      </c>
      <c r="J71" s="325"/>
      <c r="K71" s="324">
        <v>7</v>
      </c>
      <c r="L71" s="324">
        <v>14</v>
      </c>
      <c r="M71" s="326">
        <v>-0.4</v>
      </c>
      <c r="N71" s="326">
        <v>-0.25</v>
      </c>
      <c r="O71" s="326">
        <v>1.41</v>
      </c>
      <c r="P71" s="326">
        <v>1.9</v>
      </c>
      <c r="Q71" s="326">
        <v>-3.2</v>
      </c>
      <c r="R71" s="326">
        <f t="shared" ref="R71:R134" si="6">M71+(1.96*O71)/(L71)^0.5</f>
        <v>0.33860316814917601</v>
      </c>
      <c r="S71" s="326">
        <f t="shared" ref="S71:S134" si="7">M71-(1.96*O71)/(L71)^0.5</f>
        <v>-1.1386031681491762</v>
      </c>
    </row>
    <row r="72" spans="1:19" x14ac:dyDescent="0.2">
      <c r="A72" s="329">
        <v>8</v>
      </c>
      <c r="B72" s="329">
        <v>39</v>
      </c>
      <c r="C72" s="330">
        <v>24.667000000000002</v>
      </c>
      <c r="D72" s="330">
        <v>24.9</v>
      </c>
      <c r="E72" s="330">
        <v>1.5569999999999999</v>
      </c>
      <c r="F72" s="330">
        <v>27.8</v>
      </c>
      <c r="G72" s="330">
        <v>21.3</v>
      </c>
      <c r="H72" s="330">
        <f t="shared" si="4"/>
        <v>25.15566628953006</v>
      </c>
      <c r="I72" s="330">
        <f t="shared" si="5"/>
        <v>24.178333710469943</v>
      </c>
      <c r="J72" s="325"/>
      <c r="K72" s="329">
        <v>8</v>
      </c>
      <c r="L72" s="329">
        <v>39</v>
      </c>
      <c r="M72" s="330">
        <v>0.77400000000000002</v>
      </c>
      <c r="N72" s="330">
        <v>-0.1</v>
      </c>
      <c r="O72" s="330">
        <v>2.069</v>
      </c>
      <c r="P72" s="330">
        <v>5.4</v>
      </c>
      <c r="Q72" s="330">
        <v>-1.7</v>
      </c>
      <c r="R72" s="330">
        <f t="shared" si="6"/>
        <v>1.4233580944365416</v>
      </c>
      <c r="S72" s="330">
        <f t="shared" si="7"/>
        <v>0.12464190556345855</v>
      </c>
    </row>
    <row r="73" spans="1:19" x14ac:dyDescent="0.2">
      <c r="A73" s="324">
        <v>9</v>
      </c>
      <c r="B73" s="324">
        <v>57</v>
      </c>
      <c r="C73" s="326">
        <v>25.638999999999999</v>
      </c>
      <c r="D73" s="326">
        <v>25.7</v>
      </c>
      <c r="E73" s="326">
        <v>1.383</v>
      </c>
      <c r="F73" s="326">
        <v>29</v>
      </c>
      <c r="G73" s="326">
        <v>20</v>
      </c>
      <c r="H73" s="326">
        <f t="shared" si="4"/>
        <v>25.998038336964907</v>
      </c>
      <c r="I73" s="326">
        <f t="shared" si="5"/>
        <v>25.279961663035092</v>
      </c>
      <c r="J73" s="325"/>
      <c r="K73" s="324">
        <v>9</v>
      </c>
      <c r="L73" s="324">
        <v>57</v>
      </c>
      <c r="M73" s="326">
        <v>0.45600000000000002</v>
      </c>
      <c r="N73" s="326">
        <v>0</v>
      </c>
      <c r="O73" s="326">
        <v>2.169</v>
      </c>
      <c r="P73" s="326">
        <v>7.3</v>
      </c>
      <c r="Q73" s="326">
        <v>-2.6</v>
      </c>
      <c r="R73" s="326">
        <f t="shared" si="6"/>
        <v>1.0190904937649197</v>
      </c>
      <c r="S73" s="326">
        <f t="shared" si="7"/>
        <v>-0.10709049376491969</v>
      </c>
    </row>
    <row r="74" spans="1:19" x14ac:dyDescent="0.2">
      <c r="A74" s="329">
        <v>10</v>
      </c>
      <c r="B74" s="329">
        <v>66</v>
      </c>
      <c r="C74" s="330">
        <v>26.308</v>
      </c>
      <c r="D74" s="330">
        <v>26.35</v>
      </c>
      <c r="E74" s="330">
        <v>1.74</v>
      </c>
      <c r="F74" s="330">
        <v>31.3</v>
      </c>
      <c r="G74" s="330">
        <v>22.1</v>
      </c>
      <c r="H74" s="330">
        <f t="shared" si="4"/>
        <v>26.727791220835915</v>
      </c>
      <c r="I74" s="330">
        <f t="shared" si="5"/>
        <v>25.888208779164085</v>
      </c>
      <c r="J74" s="325"/>
      <c r="K74" s="329">
        <v>10</v>
      </c>
      <c r="L74" s="329">
        <v>66</v>
      </c>
      <c r="M74" s="330">
        <v>0.86499999999999999</v>
      </c>
      <c r="N74" s="330">
        <v>0.6</v>
      </c>
      <c r="O74" s="330">
        <v>2.5760000000000001</v>
      </c>
      <c r="P74" s="330">
        <v>9.3000000000000007</v>
      </c>
      <c r="Q74" s="330">
        <v>-6.4</v>
      </c>
      <c r="R74" s="330">
        <f t="shared" si="6"/>
        <v>1.4864840142950118</v>
      </c>
      <c r="S74" s="330">
        <f t="shared" si="7"/>
        <v>0.24351598570498822</v>
      </c>
    </row>
    <row r="75" spans="1:19" x14ac:dyDescent="0.2">
      <c r="A75" s="324">
        <v>11</v>
      </c>
      <c r="B75" s="324">
        <v>55</v>
      </c>
      <c r="C75" s="326">
        <v>27.844000000000001</v>
      </c>
      <c r="D75" s="326">
        <v>28.1</v>
      </c>
      <c r="E75" s="326">
        <v>1.468</v>
      </c>
      <c r="F75" s="326">
        <v>31.1</v>
      </c>
      <c r="G75" s="326">
        <v>24</v>
      </c>
      <c r="H75" s="326">
        <f t="shared" si="4"/>
        <v>28.23197235605365</v>
      </c>
      <c r="I75" s="326">
        <f t="shared" si="5"/>
        <v>27.456027643946353</v>
      </c>
      <c r="J75" s="325"/>
      <c r="K75" s="324">
        <v>11</v>
      </c>
      <c r="L75" s="324">
        <v>55</v>
      </c>
      <c r="M75" s="326">
        <v>0.88200000000000001</v>
      </c>
      <c r="N75" s="326">
        <v>0.1</v>
      </c>
      <c r="O75" s="326">
        <v>3.2080000000000002</v>
      </c>
      <c r="P75" s="326">
        <v>10.3</v>
      </c>
      <c r="Q75" s="326">
        <v>-4.5999999999999996</v>
      </c>
      <c r="R75" s="326">
        <f t="shared" si="6"/>
        <v>1.7298305982425757</v>
      </c>
      <c r="S75" s="326">
        <f t="shared" si="7"/>
        <v>3.4169401757424445E-2</v>
      </c>
    </row>
    <row r="76" spans="1:19" x14ac:dyDescent="0.2">
      <c r="A76" s="329">
        <v>12</v>
      </c>
      <c r="B76" s="329">
        <v>35</v>
      </c>
      <c r="C76" s="330">
        <v>29.206</v>
      </c>
      <c r="D76" s="330">
        <v>29.2</v>
      </c>
      <c r="E76" s="330">
        <v>1.724</v>
      </c>
      <c r="F76" s="330">
        <v>33.200000000000003</v>
      </c>
      <c r="G76" s="330">
        <v>25.4</v>
      </c>
      <c r="H76" s="330">
        <f t="shared" si="4"/>
        <v>29.777162006579569</v>
      </c>
      <c r="I76" s="330">
        <f t="shared" si="5"/>
        <v>28.63483799342043</v>
      </c>
      <c r="J76" s="325"/>
      <c r="K76" s="329">
        <v>12</v>
      </c>
      <c r="L76" s="329">
        <v>35</v>
      </c>
      <c r="M76" s="330">
        <v>1.583</v>
      </c>
      <c r="N76" s="330">
        <v>1</v>
      </c>
      <c r="O76" s="330">
        <v>3.0960000000000001</v>
      </c>
      <c r="P76" s="330">
        <v>7.9</v>
      </c>
      <c r="Q76" s="330">
        <v>-3.5</v>
      </c>
      <c r="R76" s="330">
        <f t="shared" si="6"/>
        <v>2.6087062484746788</v>
      </c>
      <c r="S76" s="330">
        <f t="shared" si="7"/>
        <v>0.5572937515253209</v>
      </c>
    </row>
    <row r="77" spans="1:19" x14ac:dyDescent="0.2">
      <c r="A77" s="324">
        <v>13</v>
      </c>
      <c r="B77" s="324">
        <v>64</v>
      </c>
      <c r="C77" s="326">
        <v>30.988</v>
      </c>
      <c r="D77" s="326">
        <v>30.85</v>
      </c>
      <c r="E77" s="326">
        <v>1.9370000000000001</v>
      </c>
      <c r="F77" s="326">
        <v>36.1</v>
      </c>
      <c r="G77" s="326">
        <v>26.6</v>
      </c>
      <c r="H77" s="326">
        <f t="shared" si="4"/>
        <v>31.462564999999998</v>
      </c>
      <c r="I77" s="326">
        <f t="shared" si="5"/>
        <v>30.513435000000001</v>
      </c>
      <c r="J77" s="325"/>
      <c r="K77" s="324">
        <v>13</v>
      </c>
      <c r="L77" s="324">
        <v>64</v>
      </c>
      <c r="M77" s="326">
        <v>0.20599999999999999</v>
      </c>
      <c r="N77" s="326">
        <v>-0.1</v>
      </c>
      <c r="O77" s="326">
        <v>2.698</v>
      </c>
      <c r="P77" s="326">
        <v>8.3000000000000007</v>
      </c>
      <c r="Q77" s="326">
        <v>-4.7</v>
      </c>
      <c r="R77" s="326">
        <f t="shared" si="6"/>
        <v>0.86700999999999995</v>
      </c>
      <c r="S77" s="326">
        <f t="shared" si="7"/>
        <v>-0.45501000000000003</v>
      </c>
    </row>
    <row r="78" spans="1:19" x14ac:dyDescent="0.2">
      <c r="A78" s="329">
        <v>14</v>
      </c>
      <c r="B78" s="329">
        <v>87</v>
      </c>
      <c r="C78" s="330">
        <v>31.771999999999998</v>
      </c>
      <c r="D78" s="330">
        <v>31.8</v>
      </c>
      <c r="E78" s="330">
        <v>1.831</v>
      </c>
      <c r="F78" s="330">
        <v>36.9</v>
      </c>
      <c r="G78" s="330">
        <v>26.3</v>
      </c>
      <c r="H78" s="330">
        <f t="shared" si="4"/>
        <v>32.156755458052444</v>
      </c>
      <c r="I78" s="330">
        <f t="shared" si="5"/>
        <v>31.387244541947549</v>
      </c>
      <c r="J78" s="325"/>
      <c r="K78" s="329">
        <v>14</v>
      </c>
      <c r="L78" s="329">
        <v>87</v>
      </c>
      <c r="M78" s="330">
        <v>0.309</v>
      </c>
      <c r="N78" s="330">
        <v>-0.3</v>
      </c>
      <c r="O78" s="330">
        <v>3.899</v>
      </c>
      <c r="P78" s="330">
        <v>17</v>
      </c>
      <c r="Q78" s="330">
        <v>-6.5</v>
      </c>
      <c r="R78" s="330">
        <f t="shared" si="6"/>
        <v>1.1283126875731821</v>
      </c>
      <c r="S78" s="330">
        <f t="shared" si="7"/>
        <v>-0.51031268757318204</v>
      </c>
    </row>
    <row r="79" spans="1:19" x14ac:dyDescent="0.2">
      <c r="A79" s="324">
        <v>15</v>
      </c>
      <c r="B79" s="324">
        <v>70</v>
      </c>
      <c r="C79" s="326">
        <v>32.58</v>
      </c>
      <c r="D79" s="326">
        <v>32.5</v>
      </c>
      <c r="E79" s="326">
        <v>1.577</v>
      </c>
      <c r="F79" s="326">
        <v>36.5</v>
      </c>
      <c r="G79" s="326">
        <v>29.1</v>
      </c>
      <c r="H79" s="326">
        <f t="shared" si="4"/>
        <v>32.949435601316388</v>
      </c>
      <c r="I79" s="326">
        <f t="shared" si="5"/>
        <v>32.210564398683609</v>
      </c>
      <c r="J79" s="325"/>
      <c r="K79" s="324">
        <v>15</v>
      </c>
      <c r="L79" s="324">
        <v>70</v>
      </c>
      <c r="M79" s="326">
        <v>3.857E-2</v>
      </c>
      <c r="N79" s="326">
        <v>-0.45</v>
      </c>
      <c r="O79" s="326">
        <v>3.32</v>
      </c>
      <c r="P79" s="326">
        <v>13.1</v>
      </c>
      <c r="Q79" s="326">
        <v>-4.8</v>
      </c>
      <c r="R79" s="326">
        <f t="shared" si="6"/>
        <v>0.81632916066607653</v>
      </c>
      <c r="S79" s="326">
        <f t="shared" si="7"/>
        <v>-0.73918916066607654</v>
      </c>
    </row>
    <row r="80" spans="1:19" x14ac:dyDescent="0.2">
      <c r="A80" s="329">
        <v>16</v>
      </c>
      <c r="B80" s="329">
        <v>38</v>
      </c>
      <c r="C80" s="330">
        <v>32.529000000000003</v>
      </c>
      <c r="D80" s="330">
        <v>32.65</v>
      </c>
      <c r="E80" s="330">
        <v>1.484</v>
      </c>
      <c r="F80" s="330">
        <v>35.799999999999997</v>
      </c>
      <c r="G80" s="330">
        <v>29.8</v>
      </c>
      <c r="H80" s="330">
        <f t="shared" si="4"/>
        <v>33.000843714357785</v>
      </c>
      <c r="I80" s="330">
        <f t="shared" si="5"/>
        <v>32.057156285642222</v>
      </c>
      <c r="J80" s="325"/>
      <c r="K80" s="329">
        <v>16</v>
      </c>
      <c r="L80" s="329">
        <v>38</v>
      </c>
      <c r="M80" s="330">
        <v>0.57899999999999996</v>
      </c>
      <c r="N80" s="330">
        <v>-0.1</v>
      </c>
      <c r="O80" s="330">
        <v>3.641</v>
      </c>
      <c r="P80" s="330">
        <v>9.1999999999999993</v>
      </c>
      <c r="Q80" s="330">
        <v>-6.1</v>
      </c>
      <c r="R80" s="330">
        <f t="shared" si="6"/>
        <v>1.7366704609007286</v>
      </c>
      <c r="S80" s="330">
        <f t="shared" si="7"/>
        <v>-0.57867046090072871</v>
      </c>
    </row>
    <row r="81" spans="1:19" x14ac:dyDescent="0.2">
      <c r="A81" s="324">
        <v>17</v>
      </c>
      <c r="B81" s="324">
        <v>30</v>
      </c>
      <c r="C81" s="326">
        <v>33.167000000000002</v>
      </c>
      <c r="D81" s="326">
        <v>33.200000000000003</v>
      </c>
      <c r="E81" s="326">
        <v>1.6859999999999999</v>
      </c>
      <c r="F81" s="326">
        <v>37.299999999999997</v>
      </c>
      <c r="G81" s="326">
        <v>30</v>
      </c>
      <c r="H81" s="326">
        <f t="shared" si="4"/>
        <v>33.770327351543095</v>
      </c>
      <c r="I81" s="326">
        <f t="shared" si="5"/>
        <v>32.563672648456908</v>
      </c>
      <c r="J81" s="325"/>
      <c r="K81" s="324">
        <v>17</v>
      </c>
      <c r="L81" s="324">
        <v>30</v>
      </c>
      <c r="M81" s="326">
        <v>0.95</v>
      </c>
      <c r="N81" s="326">
        <v>-0.4</v>
      </c>
      <c r="O81" s="326">
        <v>3.855</v>
      </c>
      <c r="P81" s="326">
        <v>11.1</v>
      </c>
      <c r="Q81" s="326">
        <v>-3.9</v>
      </c>
      <c r="R81" s="326">
        <f t="shared" si="6"/>
        <v>2.3294940333325114</v>
      </c>
      <c r="S81" s="326">
        <f t="shared" si="7"/>
        <v>-0.42949403333251124</v>
      </c>
    </row>
    <row r="82" spans="1:19" x14ac:dyDescent="0.2">
      <c r="A82" s="329">
        <v>18</v>
      </c>
      <c r="B82" s="329">
        <v>21</v>
      </c>
      <c r="C82" s="330">
        <v>33.429000000000002</v>
      </c>
      <c r="D82" s="330">
        <v>33.4</v>
      </c>
      <c r="E82" s="330">
        <v>1.59</v>
      </c>
      <c r="F82" s="330">
        <v>36.9</v>
      </c>
      <c r="G82" s="330">
        <v>30.4</v>
      </c>
      <c r="H82" s="330">
        <f t="shared" si="4"/>
        <v>34.109054233131445</v>
      </c>
      <c r="I82" s="330">
        <f t="shared" si="5"/>
        <v>32.748945766868559</v>
      </c>
      <c r="J82" s="325"/>
      <c r="K82" s="329">
        <v>18</v>
      </c>
      <c r="L82" s="329">
        <v>21</v>
      </c>
      <c r="M82" s="330">
        <v>0.4</v>
      </c>
      <c r="N82" s="330">
        <v>-0.4</v>
      </c>
      <c r="O82" s="330">
        <v>3.4569999999999999</v>
      </c>
      <c r="P82" s="330">
        <v>8.6999999999999993</v>
      </c>
      <c r="Q82" s="330">
        <v>-6.1</v>
      </c>
      <c r="R82" s="330">
        <f t="shared" si="6"/>
        <v>1.8785833232298184</v>
      </c>
      <c r="S82" s="330">
        <f t="shared" si="7"/>
        <v>-1.0785833232298181</v>
      </c>
    </row>
    <row r="83" spans="1:19" x14ac:dyDescent="0.2">
      <c r="A83" s="332">
        <v>19</v>
      </c>
      <c r="B83" s="332">
        <v>7</v>
      </c>
      <c r="C83" s="333">
        <v>32.670999999999999</v>
      </c>
      <c r="D83" s="333">
        <v>32.799999999999997</v>
      </c>
      <c r="E83" s="333">
        <v>2.1560000000000001</v>
      </c>
      <c r="F83" s="333">
        <v>35.5</v>
      </c>
      <c r="G83" s="333">
        <v>30</v>
      </c>
      <c r="H83" s="333">
        <f t="shared" si="4"/>
        <v>34.268187151463472</v>
      </c>
      <c r="I83" s="333">
        <f t="shared" si="5"/>
        <v>31.073812848536527</v>
      </c>
      <c r="J83" s="325"/>
      <c r="K83" s="332">
        <v>19</v>
      </c>
      <c r="L83" s="332">
        <v>7</v>
      </c>
      <c r="M83" s="333">
        <v>2.5430000000000001</v>
      </c>
      <c r="N83" s="333">
        <v>2.2000000000000002</v>
      </c>
      <c r="O83" s="333">
        <v>4.0140000000000002</v>
      </c>
      <c r="P83" s="333">
        <v>6.8</v>
      </c>
      <c r="Q83" s="333">
        <v>-4.3</v>
      </c>
      <c r="R83" s="333">
        <f t="shared" si="6"/>
        <v>5.5166128135317152</v>
      </c>
      <c r="S83" s="333">
        <f t="shared" si="7"/>
        <v>-0.43061281353171443</v>
      </c>
    </row>
    <row r="84" spans="1:19" x14ac:dyDescent="0.2">
      <c r="A84" s="332"/>
      <c r="B84" s="332"/>
      <c r="C84" s="333"/>
      <c r="D84" s="333"/>
      <c r="E84" s="333"/>
      <c r="F84" s="333"/>
      <c r="G84" s="333"/>
      <c r="H84" s="333"/>
      <c r="I84" s="333"/>
      <c r="J84" s="325"/>
      <c r="K84" s="324"/>
      <c r="L84" s="324"/>
      <c r="M84" s="324"/>
      <c r="N84" s="324"/>
      <c r="O84" s="324"/>
      <c r="P84" s="324"/>
      <c r="Q84" s="324"/>
      <c r="R84" s="326"/>
      <c r="S84" s="326"/>
    </row>
    <row r="85" spans="1:19" x14ac:dyDescent="0.2">
      <c r="A85" s="332"/>
      <c r="B85" s="332"/>
      <c r="C85" s="333"/>
      <c r="D85" s="333"/>
      <c r="E85" s="333"/>
      <c r="F85" s="333"/>
      <c r="G85" s="333"/>
      <c r="H85" s="333"/>
      <c r="I85" s="333"/>
      <c r="J85" s="325"/>
      <c r="K85" s="324"/>
      <c r="L85" s="324"/>
      <c r="M85" s="324"/>
      <c r="N85" s="324"/>
      <c r="O85" s="324"/>
      <c r="P85" s="324"/>
      <c r="Q85" s="324"/>
      <c r="R85" s="326"/>
      <c r="S85" s="326"/>
    </row>
    <row r="86" spans="1:19" x14ac:dyDescent="0.2">
      <c r="A86" s="800" t="s">
        <v>657</v>
      </c>
      <c r="B86" s="800"/>
      <c r="C86" s="800"/>
      <c r="D86" s="800"/>
      <c r="E86" s="800"/>
      <c r="F86" s="800"/>
      <c r="G86" s="800"/>
      <c r="H86" s="800"/>
      <c r="I86" s="801"/>
      <c r="J86" s="325"/>
      <c r="K86" s="800" t="s">
        <v>658</v>
      </c>
      <c r="L86" s="800"/>
      <c r="M86" s="800"/>
      <c r="N86" s="800"/>
      <c r="O86" s="800"/>
      <c r="P86" s="800"/>
      <c r="Q86" s="800"/>
      <c r="R86" s="800"/>
      <c r="S86" s="801"/>
    </row>
    <row r="87" spans="1:19" x14ac:dyDescent="0.2">
      <c r="A87" s="332" t="s">
        <v>504</v>
      </c>
      <c r="B87" s="332" t="s">
        <v>641</v>
      </c>
      <c r="C87" s="333" t="s">
        <v>642</v>
      </c>
      <c r="D87" s="333" t="s">
        <v>643</v>
      </c>
      <c r="E87" s="333" t="s">
        <v>644</v>
      </c>
      <c r="F87" s="333" t="s">
        <v>645</v>
      </c>
      <c r="G87" s="333" t="s">
        <v>646</v>
      </c>
      <c r="H87" s="333" t="s">
        <v>647</v>
      </c>
      <c r="I87" s="333" t="s">
        <v>648</v>
      </c>
      <c r="J87" s="325"/>
      <c r="K87" s="332" t="s">
        <v>504</v>
      </c>
      <c r="L87" s="332" t="s">
        <v>641</v>
      </c>
      <c r="M87" s="333" t="s">
        <v>642</v>
      </c>
      <c r="N87" s="333" t="s">
        <v>643</v>
      </c>
      <c r="O87" s="333" t="s">
        <v>644</v>
      </c>
      <c r="P87" s="333" t="s">
        <v>645</v>
      </c>
      <c r="Q87" s="333" t="s">
        <v>646</v>
      </c>
      <c r="R87" s="333" t="s">
        <v>647</v>
      </c>
      <c r="S87" s="333" t="s">
        <v>648</v>
      </c>
    </row>
    <row r="88" spans="1:19" x14ac:dyDescent="0.2">
      <c r="A88" s="324">
        <v>7</v>
      </c>
      <c r="B88" s="324">
        <v>14</v>
      </c>
      <c r="C88" s="326">
        <v>19.193000000000001</v>
      </c>
      <c r="D88" s="326">
        <v>18.95</v>
      </c>
      <c r="E88" s="326">
        <v>0.92</v>
      </c>
      <c r="F88" s="326">
        <v>20.8</v>
      </c>
      <c r="G88" s="326">
        <v>18</v>
      </c>
      <c r="H88" s="326">
        <f t="shared" ref="H88:H134" si="8">C88+(1.96*E88)/(B88)^0.5</f>
        <v>19.674925471416486</v>
      </c>
      <c r="I88" s="326">
        <f t="shared" ref="I88:I134" si="9">C88-(1.96*E88)/(B88)^0.5</f>
        <v>18.711074528583516</v>
      </c>
      <c r="J88" s="325"/>
      <c r="K88" s="324">
        <v>7</v>
      </c>
      <c r="L88" s="324">
        <v>14</v>
      </c>
      <c r="M88" s="326">
        <v>-1.9286000000000001E-2</v>
      </c>
      <c r="N88" s="326">
        <v>-0.01</v>
      </c>
      <c r="O88" s="326">
        <v>5.2249999999999998E-2</v>
      </c>
      <c r="P88" s="326">
        <v>0.05</v>
      </c>
      <c r="Q88" s="326">
        <v>-0.13</v>
      </c>
      <c r="R88" s="326">
        <f t="shared" si="6"/>
        <v>8.0842237842513771E-3</v>
      </c>
      <c r="S88" s="326">
        <f t="shared" si="7"/>
        <v>-4.6656223784251383E-2</v>
      </c>
    </row>
    <row r="89" spans="1:19" x14ac:dyDescent="0.2">
      <c r="A89" s="329">
        <v>8</v>
      </c>
      <c r="B89" s="329">
        <v>39</v>
      </c>
      <c r="C89" s="330">
        <v>18.917999999999999</v>
      </c>
      <c r="D89" s="330">
        <v>19.2</v>
      </c>
      <c r="E89" s="330">
        <v>1.137</v>
      </c>
      <c r="F89" s="330">
        <v>21.3</v>
      </c>
      <c r="G89" s="330">
        <v>15.6</v>
      </c>
      <c r="H89" s="330">
        <f t="shared" si="8"/>
        <v>19.274848793317712</v>
      </c>
      <c r="I89" s="330">
        <f t="shared" si="9"/>
        <v>18.561151206682286</v>
      </c>
      <c r="J89" s="325"/>
      <c r="K89" s="329">
        <v>8</v>
      </c>
      <c r="L89" s="329">
        <v>39</v>
      </c>
      <c r="M89" s="330">
        <v>1.41E-2</v>
      </c>
      <c r="N89" s="330">
        <v>0</v>
      </c>
      <c r="O89" s="330">
        <v>5.3539999999999997E-2</v>
      </c>
      <c r="P89" s="330">
        <v>0.13</v>
      </c>
      <c r="Q89" s="330">
        <v>-0.08</v>
      </c>
      <c r="R89" s="330">
        <f t="shared" si="6"/>
        <v>3.0903592255259751E-2</v>
      </c>
      <c r="S89" s="330">
        <f t="shared" si="7"/>
        <v>-2.7035922552597538E-3</v>
      </c>
    </row>
    <row r="90" spans="1:19" x14ac:dyDescent="0.2">
      <c r="A90" s="324">
        <v>9</v>
      </c>
      <c r="B90" s="324">
        <v>57</v>
      </c>
      <c r="C90" s="326">
        <v>19.780999999999999</v>
      </c>
      <c r="D90" s="326">
        <v>19.8</v>
      </c>
      <c r="E90" s="326">
        <v>1.306</v>
      </c>
      <c r="F90" s="326">
        <v>23.4</v>
      </c>
      <c r="G90" s="326">
        <v>16.5</v>
      </c>
      <c r="H90" s="326">
        <f t="shared" si="8"/>
        <v>20.12004849463208</v>
      </c>
      <c r="I90" s="326">
        <f t="shared" si="9"/>
        <v>19.441951505367918</v>
      </c>
      <c r="J90" s="325"/>
      <c r="K90" s="324">
        <v>9</v>
      </c>
      <c r="L90" s="324">
        <v>57</v>
      </c>
      <c r="M90" s="326">
        <v>4.9119999999999997E-3</v>
      </c>
      <c r="N90" s="326">
        <v>0</v>
      </c>
      <c r="O90" s="326">
        <v>5.6860000000000001E-2</v>
      </c>
      <c r="P90" s="326">
        <v>0.14000000000000001</v>
      </c>
      <c r="Q90" s="326">
        <v>-0.1</v>
      </c>
      <c r="R90" s="326">
        <f t="shared" si="6"/>
        <v>1.9673330325252807E-2</v>
      </c>
      <c r="S90" s="326">
        <f t="shared" si="7"/>
        <v>-9.8493303252528055E-3</v>
      </c>
    </row>
    <row r="91" spans="1:19" x14ac:dyDescent="0.2">
      <c r="A91" s="329">
        <v>10</v>
      </c>
      <c r="B91" s="329">
        <v>66</v>
      </c>
      <c r="C91" s="330">
        <v>20.231999999999999</v>
      </c>
      <c r="D91" s="330">
        <v>20.05</v>
      </c>
      <c r="E91" s="330">
        <v>1.2350000000000001</v>
      </c>
      <c r="F91" s="330">
        <v>23.4</v>
      </c>
      <c r="G91" s="330">
        <v>17.899999999999999</v>
      </c>
      <c r="H91" s="330">
        <f t="shared" si="8"/>
        <v>20.529955263064572</v>
      </c>
      <c r="I91" s="330">
        <f t="shared" si="9"/>
        <v>19.934044736935427</v>
      </c>
      <c r="J91" s="325"/>
      <c r="K91" s="329">
        <v>10</v>
      </c>
      <c r="L91" s="329">
        <v>66</v>
      </c>
      <c r="M91" s="330">
        <v>1.485E-2</v>
      </c>
      <c r="N91" s="330">
        <v>0.02</v>
      </c>
      <c r="O91" s="330">
        <v>5.9540000000000003E-2</v>
      </c>
      <c r="P91" s="330">
        <v>0.15</v>
      </c>
      <c r="Q91" s="330">
        <v>-0.18</v>
      </c>
      <c r="R91" s="330">
        <f t="shared" si="6"/>
        <v>2.9214580050902564E-2</v>
      </c>
      <c r="S91" s="330">
        <f t="shared" si="7"/>
        <v>4.8541994909743688E-4</v>
      </c>
    </row>
    <row r="92" spans="1:19" x14ac:dyDescent="0.2">
      <c r="A92" s="324">
        <v>11</v>
      </c>
      <c r="B92" s="324">
        <v>55</v>
      </c>
      <c r="C92" s="326">
        <v>21.521999999999998</v>
      </c>
      <c r="D92" s="326">
        <v>21.6</v>
      </c>
      <c r="E92" s="326">
        <v>1.3360000000000001</v>
      </c>
      <c r="F92" s="326">
        <v>25.1</v>
      </c>
      <c r="G92" s="326">
        <v>18.8</v>
      </c>
      <c r="H92" s="326">
        <f t="shared" si="8"/>
        <v>21.875086558370349</v>
      </c>
      <c r="I92" s="326">
        <f t="shared" si="9"/>
        <v>21.168913441629648</v>
      </c>
      <c r="J92" s="325"/>
      <c r="K92" s="324">
        <v>11</v>
      </c>
      <c r="L92" s="324">
        <v>55</v>
      </c>
      <c r="M92" s="326">
        <v>1.091E-2</v>
      </c>
      <c r="N92" s="326">
        <v>0</v>
      </c>
      <c r="O92" s="326">
        <v>6.5530000000000005E-2</v>
      </c>
      <c r="P92" s="326">
        <v>0.18</v>
      </c>
      <c r="Q92" s="326">
        <v>-0.13</v>
      </c>
      <c r="R92" s="326">
        <f t="shared" si="6"/>
        <v>2.8228684258988775E-2</v>
      </c>
      <c r="S92" s="326">
        <f t="shared" si="7"/>
        <v>-6.4086842589887762E-3</v>
      </c>
    </row>
    <row r="93" spans="1:19" x14ac:dyDescent="0.2">
      <c r="A93" s="329">
        <v>12</v>
      </c>
      <c r="B93" s="329">
        <v>35</v>
      </c>
      <c r="C93" s="330">
        <v>22.629000000000001</v>
      </c>
      <c r="D93" s="330">
        <v>22.5</v>
      </c>
      <c r="E93" s="330">
        <v>1.5469999999999999</v>
      </c>
      <c r="F93" s="330">
        <v>26.1</v>
      </c>
      <c r="G93" s="330">
        <v>20</v>
      </c>
      <c r="H93" s="330">
        <f t="shared" si="8"/>
        <v>23.141521823769487</v>
      </c>
      <c r="I93" s="330">
        <f t="shared" si="9"/>
        <v>22.116478176230515</v>
      </c>
      <c r="J93" s="325"/>
      <c r="K93" s="329">
        <v>12</v>
      </c>
      <c r="L93" s="329">
        <v>35</v>
      </c>
      <c r="M93" s="330">
        <v>2.486E-2</v>
      </c>
      <c r="N93" s="330">
        <v>0.03</v>
      </c>
      <c r="O93" s="330">
        <v>6.0650000000000003E-2</v>
      </c>
      <c r="P93" s="330">
        <v>0.16</v>
      </c>
      <c r="Q93" s="330">
        <v>-0.08</v>
      </c>
      <c r="R93" s="330">
        <f t="shared" si="6"/>
        <v>4.4953373375319537E-2</v>
      </c>
      <c r="S93" s="330">
        <f t="shared" si="7"/>
        <v>4.7666266246804631E-3</v>
      </c>
    </row>
    <row r="94" spans="1:19" x14ac:dyDescent="0.2">
      <c r="A94" s="324">
        <v>13</v>
      </c>
      <c r="B94" s="324">
        <v>64</v>
      </c>
      <c r="C94" s="326">
        <v>23.827000000000002</v>
      </c>
      <c r="D94" s="326">
        <v>24</v>
      </c>
      <c r="E94" s="326">
        <v>1.4450000000000001</v>
      </c>
      <c r="F94" s="326">
        <v>26.2</v>
      </c>
      <c r="G94" s="326">
        <v>20.399999999999999</v>
      </c>
      <c r="H94" s="326">
        <f t="shared" si="8"/>
        <v>24.181025000000002</v>
      </c>
      <c r="I94" s="326">
        <f t="shared" si="9"/>
        <v>23.472975000000002</v>
      </c>
      <c r="J94" s="325"/>
      <c r="K94" s="324">
        <v>13</v>
      </c>
      <c r="L94" s="324">
        <v>64</v>
      </c>
      <c r="M94" s="326">
        <v>-6.2500000000000001E-4</v>
      </c>
      <c r="N94" s="326">
        <v>0</v>
      </c>
      <c r="O94" s="326">
        <v>4.9079999999999999E-2</v>
      </c>
      <c r="P94" s="326">
        <v>0.12</v>
      </c>
      <c r="Q94" s="326">
        <v>-0.1</v>
      </c>
      <c r="R94" s="326">
        <f t="shared" si="6"/>
        <v>1.1399599999999999E-2</v>
      </c>
      <c r="S94" s="326">
        <f t="shared" si="7"/>
        <v>-1.26496E-2</v>
      </c>
    </row>
    <row r="95" spans="1:19" x14ac:dyDescent="0.2">
      <c r="A95" s="329">
        <v>14</v>
      </c>
      <c r="B95" s="329">
        <v>87</v>
      </c>
      <c r="C95" s="330">
        <v>24.652000000000001</v>
      </c>
      <c r="D95" s="330">
        <v>24.6</v>
      </c>
      <c r="E95" s="330">
        <v>1.617</v>
      </c>
      <c r="F95" s="330">
        <v>28.8</v>
      </c>
      <c r="G95" s="330">
        <v>20.2</v>
      </c>
      <c r="H95" s="330">
        <f t="shared" si="8"/>
        <v>24.991786769891213</v>
      </c>
      <c r="I95" s="330">
        <f t="shared" si="9"/>
        <v>24.312213230108789</v>
      </c>
      <c r="J95" s="325"/>
      <c r="K95" s="329">
        <v>14</v>
      </c>
      <c r="L95" s="329">
        <v>87</v>
      </c>
      <c r="M95" s="330">
        <v>-2.7585999999999999E-3</v>
      </c>
      <c r="N95" s="330">
        <v>-0.01</v>
      </c>
      <c r="O95" s="330">
        <v>5.8880000000000002E-2</v>
      </c>
      <c r="P95" s="330">
        <v>0.17</v>
      </c>
      <c r="Q95" s="330">
        <v>-0.13</v>
      </c>
      <c r="R95" s="330">
        <f t="shared" si="6"/>
        <v>9.6140932660448743E-3</v>
      </c>
      <c r="S95" s="330">
        <f t="shared" si="7"/>
        <v>-1.5131293266044874E-2</v>
      </c>
    </row>
    <row r="96" spans="1:19" x14ac:dyDescent="0.2">
      <c r="A96" s="324">
        <v>15</v>
      </c>
      <c r="B96" s="324">
        <v>70</v>
      </c>
      <c r="C96" s="326">
        <v>25.183</v>
      </c>
      <c r="D96" s="326">
        <v>25.3</v>
      </c>
      <c r="E96" s="326">
        <v>1.143</v>
      </c>
      <c r="F96" s="326">
        <v>28.3</v>
      </c>
      <c r="G96" s="326">
        <v>22.6</v>
      </c>
      <c r="H96" s="326">
        <f t="shared" si="8"/>
        <v>25.450764674891964</v>
      </c>
      <c r="I96" s="326">
        <f t="shared" si="9"/>
        <v>24.915235325108036</v>
      </c>
      <c r="J96" s="325"/>
      <c r="K96" s="324">
        <v>15</v>
      </c>
      <c r="L96" s="324">
        <v>70</v>
      </c>
      <c r="M96" s="326">
        <v>-5.1428999999999997E-3</v>
      </c>
      <c r="N96" s="326">
        <v>-0.01</v>
      </c>
      <c r="O96" s="326">
        <v>4.5420000000000002E-2</v>
      </c>
      <c r="P96" s="326">
        <v>0.11</v>
      </c>
      <c r="Q96" s="326">
        <v>-0.08</v>
      </c>
      <c r="R96" s="326">
        <f t="shared" si="6"/>
        <v>5.4974075534497584E-3</v>
      </c>
      <c r="S96" s="326">
        <f t="shared" si="7"/>
        <v>-1.5783207553449759E-2</v>
      </c>
    </row>
    <row r="97" spans="1:19" x14ac:dyDescent="0.2">
      <c r="A97" s="329">
        <v>16</v>
      </c>
      <c r="B97" s="329">
        <v>38</v>
      </c>
      <c r="C97" s="330">
        <v>25.068000000000001</v>
      </c>
      <c r="D97" s="330">
        <v>25.4</v>
      </c>
      <c r="E97" s="330">
        <v>1.24</v>
      </c>
      <c r="F97" s="330">
        <v>27.4</v>
      </c>
      <c r="G97" s="330">
        <v>21.7</v>
      </c>
      <c r="H97" s="330">
        <f t="shared" si="8"/>
        <v>25.462262941916208</v>
      </c>
      <c r="I97" s="330">
        <f t="shared" si="9"/>
        <v>24.673737058083795</v>
      </c>
      <c r="J97" s="325"/>
      <c r="K97" s="329">
        <v>16</v>
      </c>
      <c r="L97" s="329">
        <v>38</v>
      </c>
      <c r="M97" s="330">
        <v>1.0529999999999999E-3</v>
      </c>
      <c r="N97" s="330">
        <v>-5.0000000000000001E-3</v>
      </c>
      <c r="O97" s="330">
        <v>4.7690000000000003E-2</v>
      </c>
      <c r="P97" s="330">
        <v>0.1</v>
      </c>
      <c r="Q97" s="330">
        <v>-0.1</v>
      </c>
      <c r="R97" s="330">
        <f t="shared" si="6"/>
        <v>1.6216225564503091E-2</v>
      </c>
      <c r="S97" s="330">
        <f t="shared" si="7"/>
        <v>-1.4110225564503091E-2</v>
      </c>
    </row>
    <row r="98" spans="1:19" x14ac:dyDescent="0.2">
      <c r="A98" s="324">
        <v>17</v>
      </c>
      <c r="B98" s="324">
        <v>30</v>
      </c>
      <c r="C98" s="326">
        <v>25.663</v>
      </c>
      <c r="D98" s="326">
        <v>25.75</v>
      </c>
      <c r="E98" s="326">
        <v>1.1599999999999999</v>
      </c>
      <c r="F98" s="326">
        <v>27.6</v>
      </c>
      <c r="G98" s="326">
        <v>22.4</v>
      </c>
      <c r="H98" s="326">
        <f t="shared" si="8"/>
        <v>26.078100668914583</v>
      </c>
      <c r="I98" s="326">
        <f t="shared" si="9"/>
        <v>25.247899331085417</v>
      </c>
      <c r="J98" s="325"/>
      <c r="K98" s="324">
        <v>17</v>
      </c>
      <c r="L98" s="324">
        <v>30</v>
      </c>
      <c r="M98" s="326">
        <v>7.3330000000000001E-3</v>
      </c>
      <c r="N98" s="326">
        <v>-0.01</v>
      </c>
      <c r="O98" s="326">
        <v>4.82E-2</v>
      </c>
      <c r="P98" s="326">
        <v>0.14000000000000001</v>
      </c>
      <c r="Q98" s="326">
        <v>-7.0000000000000007E-2</v>
      </c>
      <c r="R98" s="326">
        <f t="shared" si="6"/>
        <v>2.458114848420935E-2</v>
      </c>
      <c r="S98" s="326">
        <f t="shared" si="7"/>
        <v>-9.9151484842093518E-3</v>
      </c>
    </row>
    <row r="99" spans="1:19" x14ac:dyDescent="0.2">
      <c r="A99" s="329">
        <v>18</v>
      </c>
      <c r="B99" s="329">
        <v>21</v>
      </c>
      <c r="C99" s="330">
        <v>25.71</v>
      </c>
      <c r="D99" s="330">
        <v>25.7</v>
      </c>
      <c r="E99" s="330">
        <v>1.36</v>
      </c>
      <c r="F99" s="330">
        <v>28.1</v>
      </c>
      <c r="G99" s="330">
        <v>22.8</v>
      </c>
      <c r="H99" s="330">
        <f t="shared" si="8"/>
        <v>26.291681608213061</v>
      </c>
      <c r="I99" s="330">
        <f t="shared" si="9"/>
        <v>25.128318391786941</v>
      </c>
      <c r="J99" s="325"/>
      <c r="K99" s="329">
        <v>18</v>
      </c>
      <c r="L99" s="329">
        <v>21</v>
      </c>
      <c r="M99" s="330">
        <v>3.333E-3</v>
      </c>
      <c r="N99" s="330">
        <v>-0.01</v>
      </c>
      <c r="O99" s="330">
        <v>4.8820000000000002E-2</v>
      </c>
      <c r="P99" s="330">
        <v>0.12</v>
      </c>
      <c r="Q99" s="330">
        <v>-0.1</v>
      </c>
      <c r="R99" s="330">
        <f t="shared" si="6"/>
        <v>2.4213658906589452E-2</v>
      </c>
      <c r="S99" s="330">
        <f t="shared" si="7"/>
        <v>-1.7547658906589454E-2</v>
      </c>
    </row>
    <row r="100" spans="1:19" x14ac:dyDescent="0.2">
      <c r="A100" s="332">
        <v>19</v>
      </c>
      <c r="B100" s="332">
        <v>7</v>
      </c>
      <c r="C100" s="333">
        <v>25.657</v>
      </c>
      <c r="D100" s="333">
        <v>25.7</v>
      </c>
      <c r="E100" s="333">
        <v>1.8959999999999999</v>
      </c>
      <c r="F100" s="333">
        <v>28.3</v>
      </c>
      <c r="G100" s="333">
        <v>22.3</v>
      </c>
      <c r="H100" s="333">
        <f t="shared" si="8"/>
        <v>27.061576456017971</v>
      </c>
      <c r="I100" s="333">
        <f t="shared" si="9"/>
        <v>24.252423543982029</v>
      </c>
      <c r="J100" s="325"/>
      <c r="K100" s="332">
        <v>19</v>
      </c>
      <c r="L100" s="332">
        <v>7</v>
      </c>
      <c r="M100" s="333">
        <v>2.571E-2</v>
      </c>
      <c r="N100" s="333">
        <v>0.03</v>
      </c>
      <c r="O100" s="333">
        <v>4.5769999999999998E-2</v>
      </c>
      <c r="P100" s="333">
        <v>7.0000000000000007E-2</v>
      </c>
      <c r="Q100" s="333">
        <v>-0.06</v>
      </c>
      <c r="R100" s="333">
        <f t="shared" si="6"/>
        <v>5.9616890502079356E-2</v>
      </c>
      <c r="S100" s="333">
        <f t="shared" si="7"/>
        <v>-8.1968905020793591E-3</v>
      </c>
    </row>
    <row r="101" spans="1:19" x14ac:dyDescent="0.2">
      <c r="A101" s="332"/>
      <c r="B101" s="332"/>
      <c r="C101" s="333"/>
      <c r="D101" s="333"/>
      <c r="E101" s="333"/>
      <c r="F101" s="333"/>
      <c r="G101" s="333"/>
      <c r="H101" s="333"/>
      <c r="I101" s="333"/>
      <c r="J101" s="325"/>
      <c r="K101" s="324"/>
      <c r="L101" s="324"/>
      <c r="M101" s="334"/>
      <c r="N101" s="324"/>
      <c r="O101" s="334"/>
      <c r="P101" s="324"/>
      <c r="Q101" s="324"/>
      <c r="R101" s="326"/>
      <c r="S101" s="326"/>
    </row>
    <row r="102" spans="1:19" x14ac:dyDescent="0.2">
      <c r="A102" s="332"/>
      <c r="B102" s="332"/>
      <c r="C102" s="333"/>
      <c r="D102" s="333"/>
      <c r="E102" s="333"/>
      <c r="F102" s="333"/>
      <c r="G102" s="333"/>
      <c r="H102" s="333"/>
      <c r="I102" s="333"/>
      <c r="J102" s="325"/>
      <c r="K102" s="324"/>
      <c r="L102" s="324"/>
      <c r="M102" s="324"/>
      <c r="N102" s="324"/>
      <c r="O102" s="324"/>
      <c r="P102" s="324"/>
      <c r="Q102" s="324"/>
      <c r="R102" s="326"/>
      <c r="S102" s="326"/>
    </row>
    <row r="103" spans="1:19" x14ac:dyDescent="0.2">
      <c r="A103" s="800" t="s">
        <v>659</v>
      </c>
      <c r="B103" s="800"/>
      <c r="C103" s="800"/>
      <c r="D103" s="800"/>
      <c r="E103" s="800"/>
      <c r="F103" s="800"/>
      <c r="G103" s="800"/>
      <c r="H103" s="800"/>
      <c r="I103" s="801"/>
      <c r="J103" s="325"/>
      <c r="K103" s="800" t="s">
        <v>660</v>
      </c>
      <c r="L103" s="800"/>
      <c r="M103" s="800"/>
      <c r="N103" s="800"/>
      <c r="O103" s="800"/>
      <c r="P103" s="800"/>
      <c r="Q103" s="800"/>
      <c r="R103" s="800"/>
      <c r="S103" s="801"/>
    </row>
    <row r="104" spans="1:19" x14ac:dyDescent="0.2">
      <c r="A104" s="332" t="s">
        <v>504</v>
      </c>
      <c r="B104" s="332" t="s">
        <v>641</v>
      </c>
      <c r="C104" s="333" t="s">
        <v>642</v>
      </c>
      <c r="D104" s="333" t="s">
        <v>643</v>
      </c>
      <c r="E104" s="333" t="s">
        <v>644</v>
      </c>
      <c r="F104" s="333" t="s">
        <v>645</v>
      </c>
      <c r="G104" s="333" t="s">
        <v>646</v>
      </c>
      <c r="H104" s="333" t="s">
        <v>647</v>
      </c>
      <c r="I104" s="333" t="s">
        <v>648</v>
      </c>
      <c r="J104" s="325"/>
      <c r="K104" s="332" t="s">
        <v>504</v>
      </c>
      <c r="L104" s="332" t="s">
        <v>641</v>
      </c>
      <c r="M104" s="333" t="s">
        <v>642</v>
      </c>
      <c r="N104" s="333" t="s">
        <v>643</v>
      </c>
      <c r="O104" s="333" t="s">
        <v>644</v>
      </c>
      <c r="P104" s="333" t="s">
        <v>645</v>
      </c>
      <c r="Q104" s="333" t="s">
        <v>646</v>
      </c>
      <c r="R104" s="333" t="s">
        <v>647</v>
      </c>
      <c r="S104" s="333" t="s">
        <v>648</v>
      </c>
    </row>
    <row r="105" spans="1:19" x14ac:dyDescent="0.2">
      <c r="A105" s="324">
        <v>7</v>
      </c>
      <c r="B105" s="324">
        <v>13</v>
      </c>
      <c r="C105" s="326">
        <v>15.215</v>
      </c>
      <c r="D105" s="326">
        <v>15.1</v>
      </c>
      <c r="E105" s="326">
        <v>0.54600000000000004</v>
      </c>
      <c r="F105" s="326">
        <v>16</v>
      </c>
      <c r="G105" s="326">
        <v>14.4</v>
      </c>
      <c r="H105" s="326">
        <f t="shared" si="8"/>
        <v>15.511808980996195</v>
      </c>
      <c r="I105" s="326">
        <f t="shared" si="9"/>
        <v>14.918191019003805</v>
      </c>
      <c r="J105" s="325"/>
      <c r="K105" s="324">
        <v>7</v>
      </c>
      <c r="L105" s="324">
        <v>14</v>
      </c>
      <c r="M105" s="326">
        <v>0.29859999999999998</v>
      </c>
      <c r="N105" s="326">
        <v>0.28999999999999998</v>
      </c>
      <c r="O105" s="326">
        <v>4.555E-2</v>
      </c>
      <c r="P105" s="326">
        <v>0.38</v>
      </c>
      <c r="Q105" s="326">
        <v>0.25</v>
      </c>
      <c r="R105" s="326">
        <f t="shared" si="6"/>
        <v>0.32246054915545741</v>
      </c>
      <c r="S105" s="326">
        <f t="shared" si="7"/>
        <v>0.27473945084454254</v>
      </c>
    </row>
    <row r="106" spans="1:19" x14ac:dyDescent="0.2">
      <c r="A106" s="329">
        <v>8</v>
      </c>
      <c r="B106" s="329">
        <v>39</v>
      </c>
      <c r="C106" s="330">
        <v>15.337999999999999</v>
      </c>
      <c r="D106" s="330">
        <v>15.3</v>
      </c>
      <c r="E106" s="330">
        <v>0.73799999999999999</v>
      </c>
      <c r="F106" s="330">
        <v>17.3</v>
      </c>
      <c r="G106" s="330">
        <v>13.7</v>
      </c>
      <c r="H106" s="330">
        <f t="shared" si="8"/>
        <v>15.569622171915981</v>
      </c>
      <c r="I106" s="330">
        <f t="shared" si="9"/>
        <v>15.106377828084018</v>
      </c>
      <c r="J106" s="325"/>
      <c r="K106" s="329">
        <v>8</v>
      </c>
      <c r="L106" s="329">
        <v>39</v>
      </c>
      <c r="M106" s="330">
        <v>0.30640000000000001</v>
      </c>
      <c r="N106" s="330">
        <v>0.3</v>
      </c>
      <c r="O106" s="330">
        <v>5.4170000000000003E-2</v>
      </c>
      <c r="P106" s="330">
        <v>0.42</v>
      </c>
      <c r="Q106" s="330">
        <v>0.22</v>
      </c>
      <c r="R106" s="330">
        <f t="shared" si="6"/>
        <v>0.32340131849957826</v>
      </c>
      <c r="S106" s="330">
        <f t="shared" si="7"/>
        <v>0.28939868150042175</v>
      </c>
    </row>
    <row r="107" spans="1:19" x14ac:dyDescent="0.2">
      <c r="A107" s="324">
        <v>9</v>
      </c>
      <c r="B107" s="324">
        <v>57</v>
      </c>
      <c r="C107" s="326">
        <v>15.760999999999999</v>
      </c>
      <c r="D107" s="326">
        <v>15.7</v>
      </c>
      <c r="E107" s="326">
        <v>0.61099999999999999</v>
      </c>
      <c r="F107" s="326">
        <v>17.100000000000001</v>
      </c>
      <c r="G107" s="326">
        <v>14.5</v>
      </c>
      <c r="H107" s="326">
        <f t="shared" si="8"/>
        <v>15.919620696952681</v>
      </c>
      <c r="I107" s="326">
        <f t="shared" si="9"/>
        <v>15.602379303047318</v>
      </c>
      <c r="J107" s="325"/>
      <c r="K107" s="324">
        <v>9</v>
      </c>
      <c r="L107" s="324">
        <v>57</v>
      </c>
      <c r="M107" s="326">
        <v>0.2944</v>
      </c>
      <c r="N107" s="326">
        <v>0.28000000000000003</v>
      </c>
      <c r="O107" s="326">
        <v>4.8619999999999997E-2</v>
      </c>
      <c r="P107" s="326">
        <v>0.45</v>
      </c>
      <c r="Q107" s="326">
        <v>0.22</v>
      </c>
      <c r="R107" s="326">
        <f t="shared" si="6"/>
        <v>0.30702215758729845</v>
      </c>
      <c r="S107" s="326">
        <f t="shared" si="7"/>
        <v>0.28177784241270154</v>
      </c>
    </row>
    <row r="108" spans="1:19" x14ac:dyDescent="0.2">
      <c r="A108" s="329">
        <v>10</v>
      </c>
      <c r="B108" s="329">
        <v>66</v>
      </c>
      <c r="C108" s="330">
        <v>16.210999999999999</v>
      </c>
      <c r="D108" s="330">
        <v>16.2</v>
      </c>
      <c r="E108" s="330">
        <v>0.92700000000000005</v>
      </c>
      <c r="F108" s="330">
        <v>18.100000000000001</v>
      </c>
      <c r="G108" s="330">
        <v>14.2</v>
      </c>
      <c r="H108" s="330">
        <f t="shared" si="8"/>
        <v>16.434647391790168</v>
      </c>
      <c r="I108" s="330">
        <f t="shared" si="9"/>
        <v>15.987352608209829</v>
      </c>
      <c r="J108" s="325"/>
      <c r="K108" s="329">
        <v>10</v>
      </c>
      <c r="L108" s="329">
        <v>66</v>
      </c>
      <c r="M108" s="330">
        <v>0.31859999999999999</v>
      </c>
      <c r="N108" s="330">
        <v>0.31</v>
      </c>
      <c r="O108" s="330">
        <v>5.6939999999999998E-2</v>
      </c>
      <c r="P108" s="330">
        <v>0.47</v>
      </c>
      <c r="Q108" s="330">
        <v>0.22</v>
      </c>
      <c r="R108" s="330">
        <f t="shared" si="6"/>
        <v>0.33233730581287185</v>
      </c>
      <c r="S108" s="330">
        <f t="shared" si="7"/>
        <v>0.30486269418712814</v>
      </c>
    </row>
    <row r="109" spans="1:19" x14ac:dyDescent="0.2">
      <c r="A109" s="324">
        <v>11</v>
      </c>
      <c r="B109" s="324">
        <v>55</v>
      </c>
      <c r="C109" s="326">
        <v>17.096</v>
      </c>
      <c r="D109" s="326">
        <v>17.100000000000001</v>
      </c>
      <c r="E109" s="326">
        <v>1.1299999999999999</v>
      </c>
      <c r="F109" s="326">
        <v>19.7</v>
      </c>
      <c r="G109" s="326">
        <v>14.8</v>
      </c>
      <c r="H109" s="326">
        <f t="shared" si="8"/>
        <v>17.394643571076717</v>
      </c>
      <c r="I109" s="326">
        <f t="shared" si="9"/>
        <v>16.797356428923283</v>
      </c>
      <c r="J109" s="325"/>
      <c r="K109" s="324">
        <v>11</v>
      </c>
      <c r="L109" s="324">
        <v>55</v>
      </c>
      <c r="M109" s="326">
        <v>0.31180000000000002</v>
      </c>
      <c r="N109" s="326">
        <v>0.3</v>
      </c>
      <c r="O109" s="326">
        <v>5.6180000000000001E-2</v>
      </c>
      <c r="P109" s="326">
        <v>0.46</v>
      </c>
      <c r="Q109" s="326">
        <v>0.23</v>
      </c>
      <c r="R109" s="326">
        <f t="shared" si="6"/>
        <v>0.32664760692308853</v>
      </c>
      <c r="S109" s="326">
        <f t="shared" si="7"/>
        <v>0.29695239307691151</v>
      </c>
    </row>
    <row r="110" spans="1:19" x14ac:dyDescent="0.2">
      <c r="A110" s="329">
        <v>12</v>
      </c>
      <c r="B110" s="329">
        <v>35</v>
      </c>
      <c r="C110" s="330">
        <v>17.934000000000001</v>
      </c>
      <c r="D110" s="330">
        <v>17.7</v>
      </c>
      <c r="E110" s="330">
        <v>1.1399999999999999</v>
      </c>
      <c r="F110" s="330">
        <v>20.3</v>
      </c>
      <c r="G110" s="330">
        <v>16</v>
      </c>
      <c r="H110" s="330">
        <f t="shared" si="8"/>
        <v>18.311682533353082</v>
      </c>
      <c r="I110" s="330">
        <f t="shared" si="9"/>
        <v>17.55631746664692</v>
      </c>
      <c r="J110" s="325"/>
      <c r="K110" s="329">
        <v>12</v>
      </c>
      <c r="L110" s="329">
        <v>35</v>
      </c>
      <c r="M110" s="330">
        <v>0.33229999999999998</v>
      </c>
      <c r="N110" s="330">
        <v>0.33</v>
      </c>
      <c r="O110" s="330">
        <v>5.2859999999999997E-2</v>
      </c>
      <c r="P110" s="330">
        <v>0.44</v>
      </c>
      <c r="Q110" s="330">
        <v>0.24</v>
      </c>
      <c r="R110" s="330">
        <f t="shared" si="6"/>
        <v>0.34981254273074014</v>
      </c>
      <c r="S110" s="330">
        <f t="shared" si="7"/>
        <v>0.31478745726925983</v>
      </c>
    </row>
    <row r="111" spans="1:19" x14ac:dyDescent="0.2">
      <c r="A111" s="324">
        <v>13</v>
      </c>
      <c r="B111" s="324">
        <v>64</v>
      </c>
      <c r="C111" s="326">
        <v>18.878</v>
      </c>
      <c r="D111" s="326">
        <v>18.899999999999999</v>
      </c>
      <c r="E111" s="326">
        <v>1.0429999999999999</v>
      </c>
      <c r="F111" s="326">
        <v>20.8</v>
      </c>
      <c r="G111" s="326">
        <v>16.3</v>
      </c>
      <c r="H111" s="326">
        <f t="shared" si="8"/>
        <v>19.133534999999998</v>
      </c>
      <c r="I111" s="326">
        <f t="shared" si="9"/>
        <v>18.622465000000002</v>
      </c>
      <c r="J111" s="325"/>
      <c r="K111" s="324">
        <v>13</v>
      </c>
      <c r="L111" s="324">
        <v>64</v>
      </c>
      <c r="M111" s="326">
        <v>0.29559999999999997</v>
      </c>
      <c r="N111" s="326">
        <v>0.28999999999999998</v>
      </c>
      <c r="O111" s="326">
        <v>4.2200000000000001E-2</v>
      </c>
      <c r="P111" s="326">
        <v>0.42</v>
      </c>
      <c r="Q111" s="326">
        <v>0.23</v>
      </c>
      <c r="R111" s="326">
        <f t="shared" si="6"/>
        <v>0.30593899999999996</v>
      </c>
      <c r="S111" s="326">
        <f t="shared" si="7"/>
        <v>0.28526099999999999</v>
      </c>
    </row>
    <row r="112" spans="1:19" x14ac:dyDescent="0.2">
      <c r="A112" s="329">
        <v>14</v>
      </c>
      <c r="B112" s="329">
        <v>87</v>
      </c>
      <c r="C112" s="330">
        <v>19.062000000000001</v>
      </c>
      <c r="D112" s="330">
        <v>19</v>
      </c>
      <c r="E112" s="330">
        <v>1.117</v>
      </c>
      <c r="F112" s="330">
        <v>21.2</v>
      </c>
      <c r="G112" s="330">
        <v>15</v>
      </c>
      <c r="H112" s="330">
        <f t="shared" si="8"/>
        <v>19.296719741477109</v>
      </c>
      <c r="I112" s="330">
        <f t="shared" si="9"/>
        <v>18.827280258522894</v>
      </c>
      <c r="J112" s="325"/>
      <c r="K112" s="329">
        <v>14</v>
      </c>
      <c r="L112" s="329">
        <v>87</v>
      </c>
      <c r="M112" s="330">
        <v>0.28670000000000001</v>
      </c>
      <c r="N112" s="330">
        <v>0.28000000000000003</v>
      </c>
      <c r="O112" s="330">
        <v>4.6449999999999998E-2</v>
      </c>
      <c r="P112" s="330">
        <v>0.43</v>
      </c>
      <c r="Q112" s="330">
        <v>0.2</v>
      </c>
      <c r="R112" s="330">
        <f t="shared" si="6"/>
        <v>0.29646072693967024</v>
      </c>
      <c r="S112" s="330">
        <f t="shared" si="7"/>
        <v>0.27693927306032978</v>
      </c>
    </row>
    <row r="113" spans="1:19" x14ac:dyDescent="0.2">
      <c r="A113" s="324">
        <v>15</v>
      </c>
      <c r="B113" s="324">
        <v>70</v>
      </c>
      <c r="C113" s="326">
        <v>19.545999999999999</v>
      </c>
      <c r="D113" s="326">
        <v>19.55</v>
      </c>
      <c r="E113" s="326">
        <v>0.98099999999999998</v>
      </c>
      <c r="F113" s="326">
        <v>21.9</v>
      </c>
      <c r="G113" s="326">
        <v>17.5</v>
      </c>
      <c r="H113" s="326">
        <f t="shared" si="8"/>
        <v>19.775813776088381</v>
      </c>
      <c r="I113" s="326">
        <f t="shared" si="9"/>
        <v>19.316186223911618</v>
      </c>
      <c r="J113" s="325"/>
      <c r="K113" s="324">
        <v>15</v>
      </c>
      <c r="L113" s="324">
        <v>70</v>
      </c>
      <c r="M113" s="326">
        <v>0.28439999999999999</v>
      </c>
      <c r="N113" s="326">
        <v>0.27</v>
      </c>
      <c r="O113" s="326">
        <v>4.8680000000000001E-2</v>
      </c>
      <c r="P113" s="326">
        <v>0.4</v>
      </c>
      <c r="Q113" s="326">
        <v>0.21</v>
      </c>
      <c r="R113" s="326">
        <f t="shared" si="6"/>
        <v>0.29580401082567004</v>
      </c>
      <c r="S113" s="326">
        <f t="shared" si="7"/>
        <v>0.27299598917432993</v>
      </c>
    </row>
    <row r="114" spans="1:19" x14ac:dyDescent="0.2">
      <c r="A114" s="329">
        <v>16</v>
      </c>
      <c r="B114" s="329">
        <v>38</v>
      </c>
      <c r="C114" s="330">
        <v>19.736999999999998</v>
      </c>
      <c r="D114" s="330">
        <v>19.8</v>
      </c>
      <c r="E114" s="330">
        <v>0.79500000000000004</v>
      </c>
      <c r="F114" s="330">
        <v>21.5</v>
      </c>
      <c r="G114" s="330">
        <v>17.600000000000001</v>
      </c>
      <c r="H114" s="330">
        <f t="shared" si="8"/>
        <v>19.989773418405953</v>
      </c>
      <c r="I114" s="330">
        <f t="shared" si="9"/>
        <v>19.484226581594044</v>
      </c>
      <c r="J114" s="325"/>
      <c r="K114" s="329">
        <v>16</v>
      </c>
      <c r="L114" s="329">
        <v>38</v>
      </c>
      <c r="M114" s="330">
        <v>0.27710000000000001</v>
      </c>
      <c r="N114" s="330">
        <v>0.27</v>
      </c>
      <c r="O114" s="330">
        <v>4.5440000000000001E-2</v>
      </c>
      <c r="P114" s="330">
        <v>0.38</v>
      </c>
      <c r="Q114" s="330">
        <v>0.2</v>
      </c>
      <c r="R114" s="330">
        <f t="shared" si="6"/>
        <v>0.29154782909731641</v>
      </c>
      <c r="S114" s="330">
        <f t="shared" si="7"/>
        <v>0.26265217090268361</v>
      </c>
    </row>
    <row r="115" spans="1:19" x14ac:dyDescent="0.2">
      <c r="A115" s="324">
        <v>17</v>
      </c>
      <c r="B115" s="324">
        <v>30</v>
      </c>
      <c r="C115" s="326">
        <v>20.053000000000001</v>
      </c>
      <c r="D115" s="326">
        <v>19.899999999999999</v>
      </c>
      <c r="E115" s="326">
        <v>0.872</v>
      </c>
      <c r="F115" s="326">
        <v>21.6</v>
      </c>
      <c r="G115" s="326">
        <v>18.399999999999999</v>
      </c>
      <c r="H115" s="326">
        <f t="shared" si="8"/>
        <v>20.365041192494409</v>
      </c>
      <c r="I115" s="326">
        <f t="shared" si="9"/>
        <v>19.740958807505592</v>
      </c>
      <c r="J115" s="325"/>
      <c r="K115" s="324">
        <v>17</v>
      </c>
      <c r="L115" s="324">
        <v>30</v>
      </c>
      <c r="M115" s="326">
        <v>0.27400000000000002</v>
      </c>
      <c r="N115" s="326">
        <v>0.27</v>
      </c>
      <c r="O115" s="326">
        <v>4.36E-2</v>
      </c>
      <c r="P115" s="326">
        <v>0.38</v>
      </c>
      <c r="Q115" s="326">
        <v>0.21</v>
      </c>
      <c r="R115" s="326">
        <f t="shared" si="6"/>
        <v>0.28960205962472052</v>
      </c>
      <c r="S115" s="326">
        <f t="shared" si="7"/>
        <v>0.25839794037527952</v>
      </c>
    </row>
    <row r="116" spans="1:19" x14ac:dyDescent="0.2">
      <c r="A116" s="329">
        <v>18</v>
      </c>
      <c r="B116" s="329">
        <v>21</v>
      </c>
      <c r="C116" s="330">
        <v>20.224</v>
      </c>
      <c r="D116" s="330">
        <v>20.2</v>
      </c>
      <c r="E116" s="330">
        <v>0.68100000000000005</v>
      </c>
      <c r="F116" s="330">
        <v>21.5</v>
      </c>
      <c r="G116" s="330">
        <v>18.899999999999999</v>
      </c>
      <c r="H116" s="330">
        <f t="shared" si="8"/>
        <v>20.515268511171392</v>
      </c>
      <c r="I116" s="330">
        <f t="shared" si="9"/>
        <v>19.932731488828608</v>
      </c>
      <c r="J116" s="325"/>
      <c r="K116" s="329">
        <v>18</v>
      </c>
      <c r="L116" s="329">
        <v>21</v>
      </c>
      <c r="M116" s="330">
        <v>0.2576</v>
      </c>
      <c r="N116" s="330">
        <v>0.25</v>
      </c>
      <c r="O116" s="330">
        <v>3.7539999999999997E-2</v>
      </c>
      <c r="P116" s="330">
        <v>0.34</v>
      </c>
      <c r="Q116" s="330">
        <v>0.2</v>
      </c>
      <c r="R116" s="330">
        <f t="shared" si="6"/>
        <v>0.27365612321493993</v>
      </c>
      <c r="S116" s="330">
        <f t="shared" si="7"/>
        <v>0.24154387678506006</v>
      </c>
    </row>
    <row r="117" spans="1:19" x14ac:dyDescent="0.2">
      <c r="A117" s="332">
        <v>19</v>
      </c>
      <c r="B117" s="332">
        <v>7</v>
      </c>
      <c r="C117" s="333">
        <v>20.585999999999999</v>
      </c>
      <c r="D117" s="333">
        <v>20.399999999999999</v>
      </c>
      <c r="E117" s="333">
        <v>0.85299999999999998</v>
      </c>
      <c r="F117" s="333">
        <v>22.4</v>
      </c>
      <c r="G117" s="333">
        <v>19.8</v>
      </c>
      <c r="H117" s="333">
        <f t="shared" si="8"/>
        <v>21.217911243134665</v>
      </c>
      <c r="I117" s="333">
        <f t="shared" si="9"/>
        <v>19.954088756865332</v>
      </c>
      <c r="J117" s="325"/>
      <c r="K117" s="332">
        <v>19</v>
      </c>
      <c r="L117" s="332">
        <v>7</v>
      </c>
      <c r="M117" s="333">
        <v>0.26860000000000001</v>
      </c>
      <c r="N117" s="333">
        <v>0.28000000000000003</v>
      </c>
      <c r="O117" s="333">
        <v>5.398E-2</v>
      </c>
      <c r="P117" s="333">
        <v>0.35</v>
      </c>
      <c r="Q117" s="333">
        <v>0.19</v>
      </c>
      <c r="R117" s="333">
        <f t="shared" si="6"/>
        <v>0.30858894361595468</v>
      </c>
      <c r="S117" s="333">
        <f t="shared" si="7"/>
        <v>0.22861105638404536</v>
      </c>
    </row>
    <row r="118" spans="1:19" x14ac:dyDescent="0.2">
      <c r="A118" s="324"/>
      <c r="B118" s="324"/>
      <c r="C118" s="326"/>
      <c r="D118" s="326"/>
      <c r="E118" s="326"/>
      <c r="F118" s="326"/>
      <c r="G118" s="326"/>
      <c r="H118" s="326"/>
      <c r="I118" s="326"/>
      <c r="J118" s="325"/>
      <c r="K118" s="324"/>
      <c r="L118" s="324"/>
      <c r="M118" s="324"/>
      <c r="N118" s="324"/>
      <c r="O118" s="334"/>
      <c r="P118" s="324"/>
      <c r="Q118" s="324"/>
      <c r="R118" s="326"/>
      <c r="S118" s="326"/>
    </row>
    <row r="119" spans="1:19" x14ac:dyDescent="0.2">
      <c r="A119" s="332"/>
      <c r="B119" s="332"/>
      <c r="C119" s="333"/>
      <c r="D119" s="333"/>
      <c r="E119" s="333"/>
      <c r="F119" s="333"/>
      <c r="G119" s="333"/>
      <c r="H119" s="333"/>
      <c r="I119" s="333"/>
      <c r="J119" s="325"/>
      <c r="K119" s="324"/>
      <c r="L119" s="324"/>
      <c r="M119" s="324"/>
      <c r="N119" s="324"/>
      <c r="O119" s="324"/>
      <c r="P119" s="324"/>
      <c r="Q119" s="324"/>
      <c r="R119" s="326"/>
      <c r="S119" s="326"/>
    </row>
    <row r="120" spans="1:19" x14ac:dyDescent="0.2">
      <c r="A120" s="800"/>
      <c r="B120" s="800" t="s">
        <v>661</v>
      </c>
      <c r="C120" s="800"/>
      <c r="D120" s="800"/>
      <c r="E120" s="800"/>
      <c r="F120" s="800"/>
      <c r="G120" s="800"/>
      <c r="H120" s="800"/>
      <c r="I120" s="801"/>
      <c r="J120" s="325"/>
      <c r="K120" s="800" t="s">
        <v>662</v>
      </c>
      <c r="L120" s="800"/>
      <c r="M120" s="800"/>
      <c r="N120" s="800"/>
      <c r="O120" s="800"/>
      <c r="P120" s="800"/>
      <c r="Q120" s="800"/>
      <c r="R120" s="800"/>
      <c r="S120" s="801"/>
    </row>
    <row r="121" spans="1:19" x14ac:dyDescent="0.2">
      <c r="A121" s="332" t="s">
        <v>504</v>
      </c>
      <c r="B121" s="332" t="s">
        <v>641</v>
      </c>
      <c r="C121" s="333" t="s">
        <v>642</v>
      </c>
      <c r="D121" s="333" t="s">
        <v>643</v>
      </c>
      <c r="E121" s="333" t="s">
        <v>644</v>
      </c>
      <c r="F121" s="333" t="s">
        <v>645</v>
      </c>
      <c r="G121" s="333" t="s">
        <v>646</v>
      </c>
      <c r="H121" s="333" t="s">
        <v>647</v>
      </c>
      <c r="I121" s="333" t="s">
        <v>648</v>
      </c>
      <c r="J121" s="325"/>
      <c r="K121" s="332" t="s">
        <v>504</v>
      </c>
      <c r="L121" s="332" t="s">
        <v>641</v>
      </c>
      <c r="M121" s="333" t="s">
        <v>642</v>
      </c>
      <c r="N121" s="333" t="s">
        <v>643</v>
      </c>
      <c r="O121" s="333" t="s">
        <v>644</v>
      </c>
      <c r="P121" s="333" t="s">
        <v>645</v>
      </c>
      <c r="Q121" s="333" t="s">
        <v>646</v>
      </c>
      <c r="R121" s="333" t="s">
        <v>647</v>
      </c>
      <c r="S121" s="333" t="s">
        <v>648</v>
      </c>
    </row>
    <row r="122" spans="1:19" x14ac:dyDescent="0.2">
      <c r="A122" s="324">
        <v>7</v>
      </c>
      <c r="B122" s="324">
        <v>14</v>
      </c>
      <c r="C122" s="326">
        <v>71.614000000000004</v>
      </c>
      <c r="D122" s="326">
        <v>71.650000000000006</v>
      </c>
      <c r="E122" s="326">
        <v>2.827</v>
      </c>
      <c r="F122" s="326">
        <v>77.400000000000006</v>
      </c>
      <c r="G122" s="326">
        <v>67</v>
      </c>
      <c r="H122" s="326">
        <f t="shared" si="8"/>
        <v>73.094873160537389</v>
      </c>
      <c r="I122" s="326">
        <f t="shared" si="9"/>
        <v>70.133126839462619</v>
      </c>
      <c r="J122" s="325"/>
      <c r="K122" s="324">
        <v>7</v>
      </c>
      <c r="L122" s="324">
        <v>14</v>
      </c>
      <c r="M122" s="326">
        <v>0.36430000000000001</v>
      </c>
      <c r="N122" s="326">
        <v>0.36</v>
      </c>
      <c r="O122" s="326">
        <v>2.7380000000000002E-2</v>
      </c>
      <c r="P122" s="326">
        <v>0.41</v>
      </c>
      <c r="Q122" s="326">
        <v>0.32</v>
      </c>
      <c r="R122" s="326">
        <f t="shared" si="6"/>
        <v>0.37864252109498187</v>
      </c>
      <c r="S122" s="326">
        <f t="shared" si="7"/>
        <v>0.34995747890501816</v>
      </c>
    </row>
    <row r="123" spans="1:19" x14ac:dyDescent="0.2">
      <c r="A123" s="329">
        <v>8</v>
      </c>
      <c r="B123" s="329">
        <v>39</v>
      </c>
      <c r="C123" s="330">
        <v>70.641000000000005</v>
      </c>
      <c r="D123" s="330">
        <v>71.2</v>
      </c>
      <c r="E123" s="330">
        <v>3.3069999999999999</v>
      </c>
      <c r="F123" s="330">
        <v>77.099999999999994</v>
      </c>
      <c r="G123" s="330">
        <v>60.4</v>
      </c>
      <c r="H123" s="330">
        <f t="shared" si="8"/>
        <v>71.678905857081517</v>
      </c>
      <c r="I123" s="330">
        <f t="shared" si="9"/>
        <v>69.603094142918494</v>
      </c>
      <c r="J123" s="325"/>
      <c r="K123" s="329">
        <v>8</v>
      </c>
      <c r="L123" s="329">
        <v>39</v>
      </c>
      <c r="M123" s="330">
        <v>0.3715</v>
      </c>
      <c r="N123" s="330">
        <v>0.37</v>
      </c>
      <c r="O123" s="330">
        <v>2.9430000000000001E-2</v>
      </c>
      <c r="P123" s="330">
        <v>0.44</v>
      </c>
      <c r="Q123" s="330">
        <v>0.3</v>
      </c>
      <c r="R123" s="330">
        <f t="shared" si="6"/>
        <v>0.38073664027030807</v>
      </c>
      <c r="S123" s="330">
        <f t="shared" si="7"/>
        <v>0.36226335972969193</v>
      </c>
    </row>
    <row r="124" spans="1:19" x14ac:dyDescent="0.2">
      <c r="A124" s="324">
        <v>9</v>
      </c>
      <c r="B124" s="324">
        <v>56</v>
      </c>
      <c r="C124" s="326">
        <v>74.135999999999996</v>
      </c>
      <c r="D124" s="326">
        <v>75.25</v>
      </c>
      <c r="E124" s="326">
        <v>3.8279999999999998</v>
      </c>
      <c r="F124" s="326">
        <v>80.7</v>
      </c>
      <c r="G124" s="326">
        <v>60.5</v>
      </c>
      <c r="H124" s="326">
        <f t="shared" si="8"/>
        <v>75.13861451335994</v>
      </c>
      <c r="I124" s="326">
        <f t="shared" si="9"/>
        <v>73.133385486640051</v>
      </c>
      <c r="J124" s="325"/>
      <c r="K124" s="324">
        <v>9</v>
      </c>
      <c r="L124" s="324">
        <v>57</v>
      </c>
      <c r="M124" s="326">
        <v>0.37909999999999999</v>
      </c>
      <c r="N124" s="326">
        <v>0.37</v>
      </c>
      <c r="O124" s="326">
        <v>3.1809999999999998E-2</v>
      </c>
      <c r="P124" s="326">
        <v>0.45</v>
      </c>
      <c r="Q124" s="326">
        <v>0.3</v>
      </c>
      <c r="R124" s="326">
        <f t="shared" si="6"/>
        <v>0.38735814135853486</v>
      </c>
      <c r="S124" s="326">
        <f t="shared" si="7"/>
        <v>0.37084185864146513</v>
      </c>
    </row>
    <row r="125" spans="1:19" x14ac:dyDescent="0.2">
      <c r="A125" s="329">
        <v>10</v>
      </c>
      <c r="B125" s="329">
        <v>66</v>
      </c>
      <c r="C125" s="330">
        <v>76.454999999999998</v>
      </c>
      <c r="D125" s="330">
        <v>76</v>
      </c>
      <c r="E125" s="330">
        <v>4.6459999999999999</v>
      </c>
      <c r="F125" s="330">
        <v>90.1</v>
      </c>
      <c r="G125" s="330">
        <v>66.599999999999994</v>
      </c>
      <c r="H125" s="330">
        <f t="shared" si="8"/>
        <v>77.575890811496365</v>
      </c>
      <c r="I125" s="330">
        <f t="shared" si="9"/>
        <v>75.334109188503632</v>
      </c>
      <c r="J125" s="325"/>
      <c r="K125" s="329">
        <v>10</v>
      </c>
      <c r="L125" s="329">
        <v>66</v>
      </c>
      <c r="M125" s="330">
        <v>0.36770000000000003</v>
      </c>
      <c r="N125" s="330">
        <v>0.37</v>
      </c>
      <c r="O125" s="330">
        <v>3.4450000000000001E-2</v>
      </c>
      <c r="P125" s="330">
        <v>0.44</v>
      </c>
      <c r="Q125" s="330">
        <v>0.28000000000000003</v>
      </c>
      <c r="R125" s="330">
        <f t="shared" si="6"/>
        <v>0.37601138365390652</v>
      </c>
      <c r="S125" s="330">
        <f t="shared" si="7"/>
        <v>0.35938861634609354</v>
      </c>
    </row>
    <row r="126" spans="1:19" x14ac:dyDescent="0.2">
      <c r="A126" s="324">
        <v>11</v>
      </c>
      <c r="B126" s="324">
        <v>55</v>
      </c>
      <c r="C126" s="326">
        <v>80.769000000000005</v>
      </c>
      <c r="D126" s="326">
        <v>80.8</v>
      </c>
      <c r="E126" s="326">
        <v>4.6539999999999999</v>
      </c>
      <c r="F126" s="326">
        <v>93.6</v>
      </c>
      <c r="G126" s="326">
        <v>71.3</v>
      </c>
      <c r="H126" s="326">
        <f t="shared" si="8"/>
        <v>81.99898865468235</v>
      </c>
      <c r="I126" s="326">
        <f t="shared" si="9"/>
        <v>79.539011345317661</v>
      </c>
      <c r="J126" s="325"/>
      <c r="K126" s="324">
        <v>11</v>
      </c>
      <c r="L126" s="324">
        <v>55</v>
      </c>
      <c r="M126" s="326">
        <v>0.37469999999999998</v>
      </c>
      <c r="N126" s="326">
        <v>0.38</v>
      </c>
      <c r="O126" s="326">
        <v>3.569E-2</v>
      </c>
      <c r="P126" s="326">
        <v>0.45</v>
      </c>
      <c r="Q126" s="326">
        <v>0.28999999999999998</v>
      </c>
      <c r="R126" s="326">
        <f t="shared" si="6"/>
        <v>0.3841323796917947</v>
      </c>
      <c r="S126" s="326">
        <f t="shared" si="7"/>
        <v>0.36526762030820525</v>
      </c>
    </row>
    <row r="127" spans="1:19" x14ac:dyDescent="0.2">
      <c r="A127" s="329">
        <v>12</v>
      </c>
      <c r="B127" s="329">
        <v>35</v>
      </c>
      <c r="C127" s="330">
        <v>85.049000000000007</v>
      </c>
      <c r="D127" s="330">
        <v>84.5</v>
      </c>
      <c r="E127" s="330">
        <v>4.4690000000000003</v>
      </c>
      <c r="F127" s="330">
        <v>95.7</v>
      </c>
      <c r="G127" s="330">
        <v>77.2</v>
      </c>
      <c r="H127" s="330">
        <f t="shared" si="8"/>
        <v>86.529581790837653</v>
      </c>
      <c r="I127" s="330">
        <f t="shared" si="9"/>
        <v>83.56841820916236</v>
      </c>
      <c r="J127" s="325"/>
      <c r="K127" s="329">
        <v>12</v>
      </c>
      <c r="L127" s="329">
        <v>35</v>
      </c>
      <c r="M127" s="330">
        <v>0.378</v>
      </c>
      <c r="N127" s="330">
        <v>0.37</v>
      </c>
      <c r="O127" s="330">
        <v>3.2070000000000001E-2</v>
      </c>
      <c r="P127" s="330">
        <v>0.44</v>
      </c>
      <c r="Q127" s="330">
        <v>0.32</v>
      </c>
      <c r="R127" s="330">
        <f t="shared" si="6"/>
        <v>0.38862480600406424</v>
      </c>
      <c r="S127" s="330">
        <f t="shared" si="7"/>
        <v>0.36737519399593577</v>
      </c>
    </row>
    <row r="128" spans="1:19" x14ac:dyDescent="0.2">
      <c r="A128" s="324">
        <v>13</v>
      </c>
      <c r="B128" s="324">
        <v>64</v>
      </c>
      <c r="C128" s="326">
        <v>90.344999999999999</v>
      </c>
      <c r="D128" s="326">
        <v>90</v>
      </c>
      <c r="E128" s="326">
        <v>5.0350000000000001</v>
      </c>
      <c r="F128" s="326">
        <v>102</v>
      </c>
      <c r="G128" s="326">
        <v>77.599999999999994</v>
      </c>
      <c r="H128" s="326">
        <f t="shared" si="8"/>
        <v>91.578575000000001</v>
      </c>
      <c r="I128" s="326">
        <f t="shared" si="9"/>
        <v>89.111424999999997</v>
      </c>
      <c r="J128" s="325"/>
      <c r="K128" s="324">
        <v>13</v>
      </c>
      <c r="L128" s="324">
        <v>64</v>
      </c>
      <c r="M128" s="326">
        <v>0.40300000000000002</v>
      </c>
      <c r="N128" s="326">
        <v>0.40500000000000003</v>
      </c>
      <c r="O128" s="326">
        <v>3.2980000000000002E-2</v>
      </c>
      <c r="P128" s="326">
        <v>0.48</v>
      </c>
      <c r="Q128" s="326">
        <v>0.33</v>
      </c>
      <c r="R128" s="326">
        <f t="shared" si="6"/>
        <v>0.4110801</v>
      </c>
      <c r="S128" s="326">
        <f t="shared" si="7"/>
        <v>0.39491990000000005</v>
      </c>
    </row>
    <row r="129" spans="1:19" x14ac:dyDescent="0.2">
      <c r="A129" s="329">
        <v>14</v>
      </c>
      <c r="B129" s="329">
        <v>85</v>
      </c>
      <c r="C129" s="330">
        <v>92.119</v>
      </c>
      <c r="D129" s="330">
        <v>92</v>
      </c>
      <c r="E129" s="330">
        <v>4.952</v>
      </c>
      <c r="F129" s="330">
        <v>105</v>
      </c>
      <c r="G129" s="330">
        <v>80</v>
      </c>
      <c r="H129" s="330">
        <f t="shared" si="8"/>
        <v>93.171754834575623</v>
      </c>
      <c r="I129" s="330">
        <f t="shared" si="9"/>
        <v>91.066245165424377</v>
      </c>
      <c r="J129" s="325"/>
      <c r="K129" s="329">
        <v>14</v>
      </c>
      <c r="L129" s="329">
        <v>87</v>
      </c>
      <c r="M129" s="330">
        <v>0.41689999999999999</v>
      </c>
      <c r="N129" s="330">
        <v>0.42</v>
      </c>
      <c r="O129" s="330">
        <v>3.7609999999999998E-2</v>
      </c>
      <c r="P129" s="330">
        <v>0.51</v>
      </c>
      <c r="Q129" s="330">
        <v>0.33</v>
      </c>
      <c r="R129" s="330">
        <f t="shared" si="6"/>
        <v>0.42480314187730889</v>
      </c>
      <c r="S129" s="330">
        <f t="shared" si="7"/>
        <v>0.4089968581226911</v>
      </c>
    </row>
    <row r="130" spans="1:19" x14ac:dyDescent="0.2">
      <c r="A130" s="324">
        <v>15</v>
      </c>
      <c r="B130" s="324">
        <v>70</v>
      </c>
      <c r="C130" s="326">
        <v>94.528999999999996</v>
      </c>
      <c r="D130" s="326">
        <v>93.5</v>
      </c>
      <c r="E130" s="326">
        <v>4.4269999999999996</v>
      </c>
      <c r="F130" s="326">
        <v>106.7</v>
      </c>
      <c r="G130" s="326">
        <v>86.4</v>
      </c>
      <c r="H130" s="326">
        <f t="shared" si="8"/>
        <v>95.566090302490579</v>
      </c>
      <c r="I130" s="326">
        <f t="shared" si="9"/>
        <v>93.491909697509413</v>
      </c>
      <c r="J130" s="325"/>
      <c r="K130" s="324">
        <v>15</v>
      </c>
      <c r="L130" s="324">
        <v>70</v>
      </c>
      <c r="M130" s="326">
        <v>0.4264</v>
      </c>
      <c r="N130" s="326">
        <v>0.43</v>
      </c>
      <c r="O130" s="326">
        <v>3.6749999999999998E-2</v>
      </c>
      <c r="P130" s="326">
        <v>0.49</v>
      </c>
      <c r="Q130" s="326">
        <v>0.31</v>
      </c>
      <c r="R130" s="326">
        <f t="shared" si="6"/>
        <v>0.43500923167303562</v>
      </c>
      <c r="S130" s="326">
        <f t="shared" si="7"/>
        <v>0.41779076832696438</v>
      </c>
    </row>
    <row r="131" spans="1:19" x14ac:dyDescent="0.2">
      <c r="A131" s="329">
        <v>16</v>
      </c>
      <c r="B131" s="329">
        <v>37</v>
      </c>
      <c r="C131" s="330">
        <v>93.497</v>
      </c>
      <c r="D131" s="330">
        <v>93.5</v>
      </c>
      <c r="E131" s="330">
        <v>3.5630000000000002</v>
      </c>
      <c r="F131" s="330">
        <v>102.5</v>
      </c>
      <c r="G131" s="330">
        <v>86.4</v>
      </c>
      <c r="H131" s="330">
        <f t="shared" si="8"/>
        <v>94.645077039867218</v>
      </c>
      <c r="I131" s="330">
        <f t="shared" si="9"/>
        <v>92.348922960132782</v>
      </c>
      <c r="J131" s="325"/>
      <c r="K131" s="329">
        <v>16</v>
      </c>
      <c r="L131" s="329">
        <v>38</v>
      </c>
      <c r="M131" s="330">
        <v>0.43740000000000001</v>
      </c>
      <c r="N131" s="330">
        <v>0.44</v>
      </c>
      <c r="O131" s="330">
        <v>3.2439999999999997E-2</v>
      </c>
      <c r="P131" s="330">
        <v>0.5</v>
      </c>
      <c r="Q131" s="330">
        <v>0.35</v>
      </c>
      <c r="R131" s="330">
        <f t="shared" si="6"/>
        <v>0.44771442728690458</v>
      </c>
      <c r="S131" s="330">
        <f t="shared" si="7"/>
        <v>0.42708557271309544</v>
      </c>
    </row>
    <row r="132" spans="1:19" x14ac:dyDescent="0.2">
      <c r="A132" s="324">
        <v>17</v>
      </c>
      <c r="B132" s="324">
        <v>30</v>
      </c>
      <c r="C132" s="326">
        <v>95.7</v>
      </c>
      <c r="D132" s="326">
        <v>96</v>
      </c>
      <c r="E132" s="326">
        <v>5.0999999999999996</v>
      </c>
      <c r="F132" s="326">
        <v>106.3</v>
      </c>
      <c r="G132" s="326">
        <v>84</v>
      </c>
      <c r="H132" s="326">
        <f t="shared" si="8"/>
        <v>97.525011561607215</v>
      </c>
      <c r="I132" s="326">
        <f t="shared" si="9"/>
        <v>93.874988438392791</v>
      </c>
      <c r="J132" s="325"/>
      <c r="K132" s="324">
        <v>17</v>
      </c>
      <c r="L132" s="324">
        <v>30</v>
      </c>
      <c r="M132" s="326">
        <v>0.44230000000000003</v>
      </c>
      <c r="N132" s="326">
        <v>0.44</v>
      </c>
      <c r="O132" s="326">
        <v>2.9319999999999999E-2</v>
      </c>
      <c r="P132" s="326">
        <v>0.5</v>
      </c>
      <c r="Q132" s="326">
        <v>0.38</v>
      </c>
      <c r="R132" s="326">
        <f t="shared" si="6"/>
        <v>0.45279202725222034</v>
      </c>
      <c r="S132" s="326">
        <f t="shared" si="7"/>
        <v>0.43180797274777971</v>
      </c>
    </row>
    <row r="133" spans="1:19" x14ac:dyDescent="0.2">
      <c r="A133" s="329">
        <v>18</v>
      </c>
      <c r="B133" s="329">
        <v>21</v>
      </c>
      <c r="C133" s="330">
        <v>95.762</v>
      </c>
      <c r="D133" s="330">
        <v>95.5</v>
      </c>
      <c r="E133" s="330">
        <v>3.552</v>
      </c>
      <c r="F133" s="330">
        <v>104.1</v>
      </c>
      <c r="G133" s="330">
        <v>88.3</v>
      </c>
      <c r="H133" s="330">
        <f t="shared" si="8"/>
        <v>97.281215494391759</v>
      </c>
      <c r="I133" s="330">
        <f t="shared" si="9"/>
        <v>94.242784505608242</v>
      </c>
      <c r="J133" s="325"/>
      <c r="K133" s="329">
        <v>18</v>
      </c>
      <c r="L133" s="329">
        <v>21</v>
      </c>
      <c r="M133" s="330">
        <v>0.46139999999999998</v>
      </c>
      <c r="N133" s="330">
        <v>0.47</v>
      </c>
      <c r="O133" s="330">
        <v>3.5400000000000001E-2</v>
      </c>
      <c r="P133" s="330">
        <v>0.52</v>
      </c>
      <c r="Q133" s="330">
        <v>0.4</v>
      </c>
      <c r="R133" s="330">
        <f t="shared" si="6"/>
        <v>0.47654083009613407</v>
      </c>
      <c r="S133" s="330">
        <f t="shared" si="7"/>
        <v>0.44625916990386588</v>
      </c>
    </row>
    <row r="134" spans="1:19" x14ac:dyDescent="0.2">
      <c r="A134" s="332">
        <v>19</v>
      </c>
      <c r="B134" s="332">
        <v>7</v>
      </c>
      <c r="C134" s="333">
        <v>94.414000000000001</v>
      </c>
      <c r="D134" s="333">
        <v>93.1</v>
      </c>
      <c r="E134" s="333">
        <v>5.4610000000000003</v>
      </c>
      <c r="F134" s="333">
        <v>102.8</v>
      </c>
      <c r="G134" s="333">
        <v>89</v>
      </c>
      <c r="H134" s="333">
        <f t="shared" si="8"/>
        <v>98.459565414722647</v>
      </c>
      <c r="I134" s="333">
        <f t="shared" si="9"/>
        <v>90.368434585277356</v>
      </c>
      <c r="J134" s="325"/>
      <c r="K134" s="332">
        <v>19</v>
      </c>
      <c r="L134" s="332">
        <v>7</v>
      </c>
      <c r="M134" s="333">
        <v>0.44429999999999997</v>
      </c>
      <c r="N134" s="333">
        <v>0.45</v>
      </c>
      <c r="O134" s="333">
        <v>4.2759999999999999E-2</v>
      </c>
      <c r="P134" s="333">
        <v>0.51</v>
      </c>
      <c r="Q134" s="333">
        <v>0.38</v>
      </c>
      <c r="R134" s="333">
        <f t="shared" si="6"/>
        <v>0.4759770512971141</v>
      </c>
      <c r="S134" s="333">
        <f t="shared" si="7"/>
        <v>0.41262294870288585</v>
      </c>
    </row>
    <row r="135" spans="1:19" x14ac:dyDescent="0.2">
      <c r="A135" s="324"/>
      <c r="B135" s="324"/>
      <c r="C135" s="326"/>
      <c r="D135" s="326"/>
      <c r="E135" s="326"/>
      <c r="F135" s="326"/>
      <c r="G135" s="326"/>
      <c r="H135" s="326"/>
      <c r="I135" s="326"/>
      <c r="J135" s="325"/>
      <c r="K135" s="324"/>
      <c r="L135" s="324"/>
      <c r="M135" s="324"/>
      <c r="N135" s="324"/>
      <c r="O135" s="334"/>
      <c r="P135" s="324"/>
      <c r="Q135" s="324"/>
      <c r="R135" s="326"/>
      <c r="S135" s="326"/>
    </row>
    <row r="136" spans="1:19" x14ac:dyDescent="0.2">
      <c r="A136" s="332"/>
      <c r="B136" s="332"/>
      <c r="C136" s="333"/>
      <c r="D136" s="333"/>
      <c r="E136" s="333"/>
      <c r="F136" s="333"/>
      <c r="G136" s="333"/>
      <c r="H136" s="333"/>
      <c r="I136" s="333"/>
      <c r="J136" s="325"/>
      <c r="K136" s="324"/>
      <c r="L136" s="324"/>
      <c r="M136" s="324"/>
      <c r="N136" s="324"/>
      <c r="O136" s="324"/>
      <c r="P136" s="324"/>
      <c r="Q136" s="324"/>
      <c r="R136" s="326"/>
      <c r="S136" s="326"/>
    </row>
    <row r="137" spans="1:19" x14ac:dyDescent="0.2">
      <c r="A137" s="800"/>
      <c r="B137" s="800" t="s">
        <v>663</v>
      </c>
      <c r="C137" s="800"/>
      <c r="D137" s="800"/>
      <c r="E137" s="800"/>
      <c r="F137" s="800"/>
      <c r="G137" s="800"/>
      <c r="H137" s="800"/>
      <c r="I137" s="801"/>
      <c r="J137" s="325"/>
      <c r="K137" s="800" t="s">
        <v>664</v>
      </c>
      <c r="L137" s="800"/>
      <c r="M137" s="800"/>
      <c r="N137" s="800"/>
      <c r="O137" s="800"/>
      <c r="P137" s="800"/>
      <c r="Q137" s="800"/>
      <c r="R137" s="800"/>
      <c r="S137" s="801"/>
    </row>
    <row r="138" spans="1:19" x14ac:dyDescent="0.2">
      <c r="A138" s="332" t="s">
        <v>504</v>
      </c>
      <c r="B138" s="332" t="s">
        <v>641</v>
      </c>
      <c r="C138" s="333" t="s">
        <v>642</v>
      </c>
      <c r="D138" s="333" t="s">
        <v>643</v>
      </c>
      <c r="E138" s="333" t="s">
        <v>644</v>
      </c>
      <c r="F138" s="333" t="s">
        <v>645</v>
      </c>
      <c r="G138" s="333" t="s">
        <v>646</v>
      </c>
      <c r="H138" s="333" t="s">
        <v>647</v>
      </c>
      <c r="I138" s="333" t="s">
        <v>648</v>
      </c>
      <c r="J138" s="325"/>
      <c r="K138" s="332" t="s">
        <v>504</v>
      </c>
      <c r="L138" s="332" t="s">
        <v>641</v>
      </c>
      <c r="M138" s="333" t="s">
        <v>642</v>
      </c>
      <c r="N138" s="333" t="s">
        <v>643</v>
      </c>
      <c r="O138" s="333" t="s">
        <v>644</v>
      </c>
      <c r="P138" s="333" t="s">
        <v>645</v>
      </c>
      <c r="Q138" s="333" t="s">
        <v>646</v>
      </c>
      <c r="R138" s="333" t="s">
        <v>647</v>
      </c>
      <c r="S138" s="333" t="s">
        <v>648</v>
      </c>
    </row>
    <row r="139" spans="1:19" x14ac:dyDescent="0.2">
      <c r="A139" s="324">
        <v>7</v>
      </c>
      <c r="B139" s="324">
        <v>14</v>
      </c>
      <c r="C139" s="326">
        <v>67.171000000000006</v>
      </c>
      <c r="D139" s="326">
        <v>66.599999999999994</v>
      </c>
      <c r="E139" s="326">
        <v>3.8359999999999999</v>
      </c>
      <c r="F139" s="326">
        <v>74.2</v>
      </c>
      <c r="G139" s="326">
        <v>60.5</v>
      </c>
      <c r="H139" s="326">
        <f t="shared" ref="H139:H202" si="10">C139+(1.96*E139)/(B139)^0.5</f>
        <v>69.18041968299309</v>
      </c>
      <c r="I139" s="326">
        <f t="shared" ref="I139:I202" si="11">C139-(1.96*E139)/(B139)^0.5</f>
        <v>65.161580317006923</v>
      </c>
      <c r="J139" s="325"/>
      <c r="K139" s="324">
        <v>7</v>
      </c>
      <c r="L139" s="324">
        <v>14</v>
      </c>
      <c r="M139" s="326">
        <v>0.1164</v>
      </c>
      <c r="N139" s="326">
        <v>0.12</v>
      </c>
      <c r="O139" s="326">
        <v>1.393E-2</v>
      </c>
      <c r="P139" s="326">
        <v>0.13</v>
      </c>
      <c r="Q139" s="326">
        <v>0.09</v>
      </c>
      <c r="R139" s="326">
        <f t="shared" ref="R139:R202" si="12">M139+(1.96*O139)/(L139)^0.5</f>
        <v>0.12369698023568654</v>
      </c>
      <c r="S139" s="326">
        <f t="shared" ref="S139:S202" si="13">M139-(1.96*O139)/(L139)^0.5</f>
        <v>0.10910301976431347</v>
      </c>
    </row>
    <row r="140" spans="1:19" x14ac:dyDescent="0.2">
      <c r="A140" s="329">
        <v>8</v>
      </c>
      <c r="B140" s="329">
        <v>39</v>
      </c>
      <c r="C140" s="330">
        <v>66.664000000000001</v>
      </c>
      <c r="D140" s="330">
        <v>66.5</v>
      </c>
      <c r="E140" s="330">
        <v>3.3929999999999998</v>
      </c>
      <c r="F140" s="330">
        <v>73.3</v>
      </c>
      <c r="G140" s="330">
        <v>57.6</v>
      </c>
      <c r="H140" s="330">
        <f t="shared" si="10"/>
        <v>67.728897058686897</v>
      </c>
      <c r="I140" s="330">
        <f t="shared" si="11"/>
        <v>65.599102941313106</v>
      </c>
      <c r="J140" s="325"/>
      <c r="K140" s="329">
        <v>8</v>
      </c>
      <c r="L140" s="329">
        <v>39</v>
      </c>
      <c r="M140" s="330">
        <v>0.1144</v>
      </c>
      <c r="N140" s="330">
        <v>0.12</v>
      </c>
      <c r="O140" s="330">
        <v>1.119E-2</v>
      </c>
      <c r="P140" s="330">
        <v>0.13</v>
      </c>
      <c r="Q140" s="330">
        <v>0.09</v>
      </c>
      <c r="R140" s="330">
        <f t="shared" si="12"/>
        <v>0.1179119947205147</v>
      </c>
      <c r="S140" s="330">
        <f t="shared" si="13"/>
        <v>0.11088800527948531</v>
      </c>
    </row>
    <row r="141" spans="1:19" x14ac:dyDescent="0.2">
      <c r="A141" s="324">
        <v>9</v>
      </c>
      <c r="B141" s="324">
        <v>56</v>
      </c>
      <c r="C141" s="326">
        <v>69.495999999999995</v>
      </c>
      <c r="D141" s="326">
        <v>70.5</v>
      </c>
      <c r="E141" s="326">
        <v>3.867</v>
      </c>
      <c r="F141" s="326">
        <v>75.099999999999994</v>
      </c>
      <c r="G141" s="326">
        <v>55.5</v>
      </c>
      <c r="H141" s="326">
        <f t="shared" si="10"/>
        <v>70.508829238025839</v>
      </c>
      <c r="I141" s="326">
        <f t="shared" si="11"/>
        <v>68.483170761974151</v>
      </c>
      <c r="J141" s="325"/>
      <c r="K141" s="324">
        <v>9</v>
      </c>
      <c r="L141" s="324">
        <v>57</v>
      </c>
      <c r="M141" s="326">
        <v>0.1137</v>
      </c>
      <c r="N141" s="326">
        <v>0.11</v>
      </c>
      <c r="O141" s="326">
        <v>1.234E-2</v>
      </c>
      <c r="P141" s="326">
        <v>0.14000000000000001</v>
      </c>
      <c r="Q141" s="326">
        <v>0.08</v>
      </c>
      <c r="R141" s="326">
        <f t="shared" si="12"/>
        <v>0.1169035669400918</v>
      </c>
      <c r="S141" s="326">
        <f t="shared" si="13"/>
        <v>0.11049643305990819</v>
      </c>
    </row>
    <row r="142" spans="1:19" x14ac:dyDescent="0.2">
      <c r="A142" s="329">
        <v>10</v>
      </c>
      <c r="B142" s="329">
        <v>66</v>
      </c>
      <c r="C142" s="330">
        <v>71.978999999999999</v>
      </c>
      <c r="D142" s="330">
        <v>72.05</v>
      </c>
      <c r="E142" s="330">
        <v>4.5069999999999997</v>
      </c>
      <c r="F142" s="330">
        <v>85</v>
      </c>
      <c r="G142" s="330">
        <v>62.4</v>
      </c>
      <c r="H142" s="330">
        <f t="shared" si="10"/>
        <v>73.066355765693956</v>
      </c>
      <c r="I142" s="330">
        <f t="shared" si="11"/>
        <v>70.891644234306042</v>
      </c>
      <c r="J142" s="325"/>
      <c r="K142" s="329">
        <v>10</v>
      </c>
      <c r="L142" s="329">
        <v>66</v>
      </c>
      <c r="M142" s="330">
        <v>0.1095</v>
      </c>
      <c r="N142" s="330">
        <v>0.11</v>
      </c>
      <c r="O142" s="330">
        <v>1.3180000000000001E-2</v>
      </c>
      <c r="P142" s="330">
        <v>0.15</v>
      </c>
      <c r="Q142" s="330">
        <v>0.09</v>
      </c>
      <c r="R142" s="330">
        <f t="shared" si="12"/>
        <v>0.11267979786817091</v>
      </c>
      <c r="S142" s="330">
        <f t="shared" si="13"/>
        <v>0.10632020213182909</v>
      </c>
    </row>
    <row r="143" spans="1:19" x14ac:dyDescent="0.2">
      <c r="A143" s="324">
        <v>11</v>
      </c>
      <c r="B143" s="324">
        <v>55</v>
      </c>
      <c r="C143" s="326">
        <v>75.935000000000002</v>
      </c>
      <c r="D143" s="326">
        <v>76.2</v>
      </c>
      <c r="E143" s="326">
        <v>4.3460000000000001</v>
      </c>
      <c r="F143" s="326">
        <v>84.7</v>
      </c>
      <c r="G143" s="326">
        <v>66.099999999999994</v>
      </c>
      <c r="H143" s="326">
        <f t="shared" si="10"/>
        <v>77.083588460087981</v>
      </c>
      <c r="I143" s="326">
        <f t="shared" si="11"/>
        <v>74.786411539912024</v>
      </c>
      <c r="J143" s="325"/>
      <c r="K143" s="324">
        <v>11</v>
      </c>
      <c r="L143" s="324">
        <v>55</v>
      </c>
      <c r="M143" s="326">
        <v>0.11</v>
      </c>
      <c r="N143" s="326">
        <v>0.11</v>
      </c>
      <c r="O143" s="326">
        <v>1.171E-2</v>
      </c>
      <c r="P143" s="326">
        <v>0.13</v>
      </c>
      <c r="Q143" s="326">
        <v>0.08</v>
      </c>
      <c r="R143" s="326">
        <f t="shared" si="12"/>
        <v>0.11309479311266227</v>
      </c>
      <c r="S143" s="326">
        <f t="shared" si="13"/>
        <v>0.10690520688733773</v>
      </c>
    </row>
    <row r="144" spans="1:19" x14ac:dyDescent="0.2">
      <c r="A144" s="329">
        <v>12</v>
      </c>
      <c r="B144" s="329">
        <v>35</v>
      </c>
      <c r="C144" s="330">
        <v>79.869</v>
      </c>
      <c r="D144" s="330">
        <v>78.900000000000006</v>
      </c>
      <c r="E144" s="330">
        <v>4.2709999999999999</v>
      </c>
      <c r="F144" s="330">
        <v>89</v>
      </c>
      <c r="G144" s="330">
        <v>73.2</v>
      </c>
      <c r="H144" s="330">
        <f t="shared" si="10"/>
        <v>81.28398429820264</v>
      </c>
      <c r="I144" s="330">
        <f t="shared" si="11"/>
        <v>78.45401570179736</v>
      </c>
      <c r="J144" s="325"/>
      <c r="K144" s="329">
        <v>12</v>
      </c>
      <c r="L144" s="329">
        <v>35</v>
      </c>
      <c r="M144" s="330">
        <v>0.10059999999999999</v>
      </c>
      <c r="N144" s="330">
        <v>0.1</v>
      </c>
      <c r="O144" s="330">
        <v>1.056E-2</v>
      </c>
      <c r="P144" s="330">
        <v>0.13</v>
      </c>
      <c r="Q144" s="330">
        <v>0.08</v>
      </c>
      <c r="R144" s="330">
        <f t="shared" si="12"/>
        <v>0.10409853294053378</v>
      </c>
      <c r="S144" s="330">
        <f t="shared" si="13"/>
        <v>9.7101467059466207E-2</v>
      </c>
    </row>
    <row r="145" spans="1:19" x14ac:dyDescent="0.2">
      <c r="A145" s="324">
        <v>13</v>
      </c>
      <c r="B145" s="324">
        <v>64</v>
      </c>
      <c r="C145" s="326">
        <v>84.947000000000003</v>
      </c>
      <c r="D145" s="326">
        <v>85.25</v>
      </c>
      <c r="E145" s="326">
        <v>4.4390000000000001</v>
      </c>
      <c r="F145" s="326">
        <v>95.6</v>
      </c>
      <c r="G145" s="326">
        <v>73.5</v>
      </c>
      <c r="H145" s="326">
        <f t="shared" si="10"/>
        <v>86.034554999999997</v>
      </c>
      <c r="I145" s="326">
        <f t="shared" si="11"/>
        <v>83.859445000000008</v>
      </c>
      <c r="J145" s="325"/>
      <c r="K145" s="324">
        <v>13</v>
      </c>
      <c r="L145" s="324">
        <v>64</v>
      </c>
      <c r="M145" s="326">
        <v>0.1072</v>
      </c>
      <c r="N145" s="326">
        <v>0.11</v>
      </c>
      <c r="O145" s="326">
        <v>1.0460000000000001E-2</v>
      </c>
      <c r="P145" s="326">
        <v>0.13</v>
      </c>
      <c r="Q145" s="326">
        <v>0.08</v>
      </c>
      <c r="R145" s="326">
        <f t="shared" si="12"/>
        <v>0.1097627</v>
      </c>
      <c r="S145" s="326">
        <f t="shared" si="13"/>
        <v>0.1046373</v>
      </c>
    </row>
    <row r="146" spans="1:19" x14ac:dyDescent="0.2">
      <c r="A146" s="329">
        <v>14</v>
      </c>
      <c r="B146" s="329">
        <v>86</v>
      </c>
      <c r="C146" s="330">
        <v>86.977000000000004</v>
      </c>
      <c r="D146" s="330">
        <v>86.9</v>
      </c>
      <c r="E146" s="330">
        <v>4.7699999999999996</v>
      </c>
      <c r="F146" s="330">
        <v>100.5</v>
      </c>
      <c r="G146" s="330">
        <v>76.099999999999994</v>
      </c>
      <c r="H146" s="330">
        <f t="shared" si="10"/>
        <v>87.985150163233584</v>
      </c>
      <c r="I146" s="330">
        <f t="shared" si="11"/>
        <v>85.968849836766424</v>
      </c>
      <c r="J146" s="325"/>
      <c r="K146" s="329">
        <v>14</v>
      </c>
      <c r="L146" s="329">
        <v>87</v>
      </c>
      <c r="M146" s="330">
        <v>0.1091</v>
      </c>
      <c r="N146" s="330">
        <v>0.11</v>
      </c>
      <c r="O146" s="330">
        <v>1.085E-2</v>
      </c>
      <c r="P146" s="330">
        <v>0.13</v>
      </c>
      <c r="Q146" s="330">
        <v>0.08</v>
      </c>
      <c r="R146" s="330">
        <f t="shared" si="12"/>
        <v>0.11137995451658605</v>
      </c>
      <c r="S146" s="330">
        <f t="shared" si="13"/>
        <v>0.10682004548341395</v>
      </c>
    </row>
    <row r="147" spans="1:19" x14ac:dyDescent="0.2">
      <c r="A147" s="324">
        <v>15</v>
      </c>
      <c r="B147" s="324">
        <v>70</v>
      </c>
      <c r="C147" s="326">
        <v>88.259</v>
      </c>
      <c r="D147" s="326">
        <v>88.4</v>
      </c>
      <c r="E147" s="326">
        <v>5.0380000000000003</v>
      </c>
      <c r="F147" s="326">
        <v>99.1</v>
      </c>
      <c r="G147" s="326">
        <v>64.5</v>
      </c>
      <c r="H147" s="326">
        <f t="shared" si="10"/>
        <v>89.439226099830023</v>
      </c>
      <c r="I147" s="326">
        <f t="shared" si="11"/>
        <v>87.078773900169978</v>
      </c>
      <c r="J147" s="325"/>
      <c r="K147" s="324">
        <v>15</v>
      </c>
      <c r="L147" s="324">
        <v>70</v>
      </c>
      <c r="M147" s="326">
        <v>0.1076</v>
      </c>
      <c r="N147" s="326">
        <v>0.11</v>
      </c>
      <c r="O147" s="326">
        <v>1.1089999999999999E-2</v>
      </c>
      <c r="P147" s="326">
        <v>0.14000000000000001</v>
      </c>
      <c r="Q147" s="326">
        <v>0.08</v>
      </c>
      <c r="R147" s="326">
        <f t="shared" si="12"/>
        <v>0.11019799671439361</v>
      </c>
      <c r="S147" s="326">
        <f t="shared" si="13"/>
        <v>0.1050020032856064</v>
      </c>
    </row>
    <row r="148" spans="1:19" x14ac:dyDescent="0.2">
      <c r="A148" s="329">
        <v>16</v>
      </c>
      <c r="B148" s="329">
        <v>37</v>
      </c>
      <c r="C148" s="330">
        <v>88.003</v>
      </c>
      <c r="D148" s="330">
        <v>87.8</v>
      </c>
      <c r="E148" s="330">
        <v>3.339</v>
      </c>
      <c r="F148" s="330">
        <v>94.6</v>
      </c>
      <c r="G148" s="330">
        <v>81.599999999999994</v>
      </c>
      <c r="H148" s="330">
        <f t="shared" si="10"/>
        <v>89.078899308480672</v>
      </c>
      <c r="I148" s="330">
        <f t="shared" si="11"/>
        <v>86.927100691519328</v>
      </c>
      <c r="J148" s="325"/>
      <c r="K148" s="329">
        <v>16</v>
      </c>
      <c r="L148" s="329">
        <v>38</v>
      </c>
      <c r="M148" s="330">
        <v>0.10630000000000001</v>
      </c>
      <c r="N148" s="330">
        <v>0.11</v>
      </c>
      <c r="O148" s="330">
        <v>9.1299999999999992E-3</v>
      </c>
      <c r="P148" s="330">
        <v>0.13</v>
      </c>
      <c r="Q148" s="330">
        <v>0.09</v>
      </c>
      <c r="R148" s="330">
        <f t="shared" si="12"/>
        <v>0.10920291988685077</v>
      </c>
      <c r="S148" s="330">
        <f t="shared" si="13"/>
        <v>0.10339708011314924</v>
      </c>
    </row>
    <row r="149" spans="1:19" x14ac:dyDescent="0.2">
      <c r="A149" s="324">
        <v>17</v>
      </c>
      <c r="B149" s="324">
        <v>30</v>
      </c>
      <c r="C149" s="326">
        <v>90.05</v>
      </c>
      <c r="D149" s="326">
        <v>90</v>
      </c>
      <c r="E149" s="326">
        <v>4.258</v>
      </c>
      <c r="F149" s="326">
        <v>98</v>
      </c>
      <c r="G149" s="326">
        <v>80.400000000000006</v>
      </c>
      <c r="H149" s="326">
        <f t="shared" si="10"/>
        <v>91.573705731239897</v>
      </c>
      <c r="I149" s="326">
        <f t="shared" si="11"/>
        <v>88.526294268760097</v>
      </c>
      <c r="J149" s="325"/>
      <c r="K149" s="324">
        <v>17</v>
      </c>
      <c r="L149" s="324">
        <v>30</v>
      </c>
      <c r="M149" s="326">
        <v>0.11</v>
      </c>
      <c r="N149" s="326">
        <v>0.11</v>
      </c>
      <c r="O149" s="326">
        <v>1.0500000000000001E-2</v>
      </c>
      <c r="P149" s="326">
        <v>0.13</v>
      </c>
      <c r="Q149" s="326">
        <v>0.09</v>
      </c>
      <c r="R149" s="326">
        <f t="shared" si="12"/>
        <v>0.11375737674448544</v>
      </c>
      <c r="S149" s="326">
        <f t="shared" si="13"/>
        <v>0.10624262325551456</v>
      </c>
    </row>
    <row r="150" spans="1:19" x14ac:dyDescent="0.2">
      <c r="A150" s="329">
        <v>18</v>
      </c>
      <c r="B150" s="329">
        <v>21</v>
      </c>
      <c r="C150" s="330">
        <v>90.081000000000003</v>
      </c>
      <c r="D150" s="330">
        <v>89.5</v>
      </c>
      <c r="E150" s="330">
        <v>3.6120000000000001</v>
      </c>
      <c r="F150" s="330">
        <v>96.4</v>
      </c>
      <c r="G150" s="330">
        <v>82.9</v>
      </c>
      <c r="H150" s="330">
        <f t="shared" si="10"/>
        <v>91.625877918283521</v>
      </c>
      <c r="I150" s="330">
        <f t="shared" si="11"/>
        <v>88.536122081716485</v>
      </c>
      <c r="J150" s="325"/>
      <c r="K150" s="329">
        <v>18</v>
      </c>
      <c r="L150" s="329">
        <v>21</v>
      </c>
      <c r="M150" s="330">
        <v>0.1062</v>
      </c>
      <c r="N150" s="330">
        <v>0.11</v>
      </c>
      <c r="O150" s="330">
        <v>7.4000000000000003E-3</v>
      </c>
      <c r="P150" s="330">
        <v>0.12</v>
      </c>
      <c r="Q150" s="330">
        <v>0.09</v>
      </c>
      <c r="R150" s="330">
        <f t="shared" si="12"/>
        <v>0.10936503227998284</v>
      </c>
      <c r="S150" s="330">
        <f t="shared" si="13"/>
        <v>0.10303496772001716</v>
      </c>
    </row>
    <row r="151" spans="1:19" x14ac:dyDescent="0.2">
      <c r="A151" s="332">
        <v>19</v>
      </c>
      <c r="B151" s="332">
        <v>7</v>
      </c>
      <c r="C151" s="333">
        <v>89.385999999999996</v>
      </c>
      <c r="D151" s="333">
        <v>88</v>
      </c>
      <c r="E151" s="333">
        <v>4.3460000000000001</v>
      </c>
      <c r="F151" s="333">
        <v>95.7</v>
      </c>
      <c r="G151" s="333">
        <v>84.8</v>
      </c>
      <c r="H151" s="333">
        <f t="shared" si="10"/>
        <v>92.605561855408268</v>
      </c>
      <c r="I151" s="333">
        <f t="shared" si="11"/>
        <v>86.166438144591723</v>
      </c>
      <c r="J151" s="325"/>
      <c r="K151" s="332">
        <v>19</v>
      </c>
      <c r="L151" s="332">
        <v>7</v>
      </c>
      <c r="M151" s="333">
        <v>0.1143</v>
      </c>
      <c r="N151" s="333">
        <v>0.12</v>
      </c>
      <c r="O151" s="333">
        <v>7.868E-3</v>
      </c>
      <c r="P151" s="333">
        <v>0.12</v>
      </c>
      <c r="Q151" s="333">
        <v>0.1</v>
      </c>
      <c r="R151" s="333">
        <f t="shared" si="12"/>
        <v>0.12012869596832773</v>
      </c>
      <c r="S151" s="333">
        <f t="shared" si="13"/>
        <v>0.10847130403167227</v>
      </c>
    </row>
    <row r="152" spans="1:19" x14ac:dyDescent="0.2">
      <c r="A152" s="332"/>
      <c r="B152" s="332"/>
      <c r="C152" s="333"/>
      <c r="D152" s="333"/>
      <c r="E152" s="333"/>
      <c r="F152" s="333"/>
      <c r="G152" s="333"/>
      <c r="H152" s="333"/>
      <c r="I152" s="333"/>
      <c r="J152" s="325"/>
      <c r="K152" s="324"/>
      <c r="L152" s="324"/>
      <c r="M152" s="324"/>
      <c r="N152" s="324"/>
      <c r="O152" s="334"/>
      <c r="P152" s="324"/>
      <c r="Q152" s="324"/>
      <c r="R152" s="326"/>
      <c r="S152" s="326"/>
    </row>
    <row r="153" spans="1:19" x14ac:dyDescent="0.2">
      <c r="A153" s="332"/>
      <c r="B153" s="332"/>
      <c r="C153" s="333"/>
      <c r="D153" s="333"/>
      <c r="E153" s="333"/>
      <c r="F153" s="333"/>
      <c r="G153" s="333"/>
      <c r="H153" s="333"/>
      <c r="I153" s="333"/>
      <c r="J153" s="325"/>
      <c r="K153" s="324"/>
      <c r="L153" s="324"/>
      <c r="M153" s="324"/>
      <c r="N153" s="324"/>
      <c r="O153" s="324"/>
      <c r="P153" s="324"/>
      <c r="Q153" s="324"/>
      <c r="R153" s="326"/>
      <c r="S153" s="326"/>
    </row>
    <row r="154" spans="1:19" x14ac:dyDescent="0.2">
      <c r="A154" s="800"/>
      <c r="B154" s="800"/>
      <c r="C154" s="800" t="s">
        <v>665</v>
      </c>
      <c r="D154" s="800"/>
      <c r="E154" s="800"/>
      <c r="F154" s="800"/>
      <c r="G154" s="800"/>
      <c r="H154" s="800"/>
      <c r="I154" s="801"/>
      <c r="J154" s="325"/>
      <c r="K154" s="800" t="s">
        <v>666</v>
      </c>
      <c r="L154" s="800"/>
      <c r="M154" s="800"/>
      <c r="N154" s="800"/>
      <c r="O154" s="800"/>
      <c r="P154" s="800"/>
      <c r="Q154" s="800"/>
      <c r="R154" s="800"/>
      <c r="S154" s="801"/>
    </row>
    <row r="155" spans="1:19" x14ac:dyDescent="0.2">
      <c r="A155" s="332" t="s">
        <v>504</v>
      </c>
      <c r="B155" s="332" t="s">
        <v>641</v>
      </c>
      <c r="C155" s="333" t="s">
        <v>642</v>
      </c>
      <c r="D155" s="333" t="s">
        <v>643</v>
      </c>
      <c r="E155" s="333" t="s">
        <v>644</v>
      </c>
      <c r="F155" s="333" t="s">
        <v>645</v>
      </c>
      <c r="G155" s="333" t="s">
        <v>646</v>
      </c>
      <c r="H155" s="333" t="s">
        <v>647</v>
      </c>
      <c r="I155" s="333" t="s">
        <v>648</v>
      </c>
      <c r="J155" s="325"/>
      <c r="K155" s="332" t="s">
        <v>504</v>
      </c>
      <c r="L155" s="332" t="s">
        <v>641</v>
      </c>
      <c r="M155" s="333" t="s">
        <v>642</v>
      </c>
      <c r="N155" s="333" t="s">
        <v>643</v>
      </c>
      <c r="O155" s="333" t="s">
        <v>644</v>
      </c>
      <c r="P155" s="333" t="s">
        <v>645</v>
      </c>
      <c r="Q155" s="333" t="s">
        <v>646</v>
      </c>
      <c r="R155" s="333" t="s">
        <v>647</v>
      </c>
      <c r="S155" s="333" t="s">
        <v>648</v>
      </c>
    </row>
    <row r="156" spans="1:19" x14ac:dyDescent="0.2">
      <c r="A156" s="324">
        <v>7</v>
      </c>
      <c r="B156" s="324">
        <v>12</v>
      </c>
      <c r="C156" s="326">
        <v>32.457999999999998</v>
      </c>
      <c r="D156" s="326">
        <v>32.299999999999997</v>
      </c>
      <c r="E156" s="326">
        <v>2.5089999999999999</v>
      </c>
      <c r="F156" s="326">
        <v>36.6</v>
      </c>
      <c r="G156" s="326">
        <v>28</v>
      </c>
      <c r="H156" s="326">
        <f t="shared" si="10"/>
        <v>33.877600388888837</v>
      </c>
      <c r="I156" s="326">
        <f t="shared" si="11"/>
        <v>31.038399611111164</v>
      </c>
      <c r="J156" s="325"/>
      <c r="K156" s="324">
        <v>7</v>
      </c>
      <c r="L156" s="324">
        <v>14</v>
      </c>
      <c r="M156" s="326">
        <v>0.1414</v>
      </c>
      <c r="N156" s="326">
        <v>0.14000000000000001</v>
      </c>
      <c r="O156" s="326">
        <v>1.406E-2</v>
      </c>
      <c r="P156" s="326">
        <v>0.17</v>
      </c>
      <c r="Q156" s="326">
        <v>0.12</v>
      </c>
      <c r="R156" s="326">
        <f t="shared" si="12"/>
        <v>0.14876507840012582</v>
      </c>
      <c r="S156" s="326">
        <f t="shared" si="13"/>
        <v>0.13403492159987418</v>
      </c>
    </row>
    <row r="157" spans="1:19" x14ac:dyDescent="0.2">
      <c r="A157" s="329">
        <v>8</v>
      </c>
      <c r="B157" s="329">
        <v>39</v>
      </c>
      <c r="C157" s="330">
        <v>32.392000000000003</v>
      </c>
      <c r="D157" s="330">
        <v>32.1</v>
      </c>
      <c r="E157" s="330">
        <v>2.1819999999999999</v>
      </c>
      <c r="F157" s="330">
        <v>36.799999999999997</v>
      </c>
      <c r="G157" s="330">
        <v>27.1</v>
      </c>
      <c r="H157" s="330">
        <f t="shared" si="10"/>
        <v>33.076823277941294</v>
      </c>
      <c r="I157" s="330">
        <f t="shared" si="11"/>
        <v>31.707176722058712</v>
      </c>
      <c r="J157" s="335"/>
      <c r="K157" s="329">
        <v>8</v>
      </c>
      <c r="L157" s="329">
        <v>39</v>
      </c>
      <c r="M157" s="330">
        <v>0.13539999999999999</v>
      </c>
      <c r="N157" s="330">
        <v>0.14000000000000001</v>
      </c>
      <c r="O157" s="330">
        <v>1.636E-2</v>
      </c>
      <c r="P157" s="330">
        <v>0.16</v>
      </c>
      <c r="Q157" s="330">
        <v>0.1</v>
      </c>
      <c r="R157" s="330">
        <f t="shared" si="12"/>
        <v>0.14053460532865239</v>
      </c>
      <c r="S157" s="330">
        <f t="shared" si="13"/>
        <v>0.1302653946713476</v>
      </c>
    </row>
    <row r="158" spans="1:19" x14ac:dyDescent="0.2">
      <c r="A158" s="324">
        <v>9</v>
      </c>
      <c r="B158" s="324">
        <v>57</v>
      </c>
      <c r="C158" s="326">
        <v>33.033000000000001</v>
      </c>
      <c r="D158" s="326">
        <v>33.200000000000003</v>
      </c>
      <c r="E158" s="326">
        <v>2.452</v>
      </c>
      <c r="F158" s="326">
        <v>37.700000000000003</v>
      </c>
      <c r="G158" s="326">
        <v>26.3</v>
      </c>
      <c r="H158" s="326">
        <f t="shared" si="10"/>
        <v>33.669559654546603</v>
      </c>
      <c r="I158" s="326">
        <f t="shared" si="11"/>
        <v>32.396440345453399</v>
      </c>
      <c r="J158" s="335"/>
      <c r="K158" s="324">
        <v>9</v>
      </c>
      <c r="L158" s="324">
        <v>57</v>
      </c>
      <c r="M158" s="326">
        <v>0.1384</v>
      </c>
      <c r="N158" s="326">
        <v>0.14000000000000001</v>
      </c>
      <c r="O158" s="326">
        <v>1.7809999999999999E-2</v>
      </c>
      <c r="P158" s="326">
        <v>0.18</v>
      </c>
      <c r="Q158" s="326">
        <v>0.1</v>
      </c>
      <c r="R158" s="326">
        <f t="shared" si="12"/>
        <v>0.14302362457074835</v>
      </c>
      <c r="S158" s="326">
        <f t="shared" si="13"/>
        <v>0.13377637542925164</v>
      </c>
    </row>
    <row r="159" spans="1:19" x14ac:dyDescent="0.2">
      <c r="A159" s="329">
        <v>10</v>
      </c>
      <c r="B159" s="329">
        <v>66</v>
      </c>
      <c r="C159" s="330">
        <v>34.567999999999998</v>
      </c>
      <c r="D159" s="330">
        <v>34.950000000000003</v>
      </c>
      <c r="E159" s="330">
        <v>2.69</v>
      </c>
      <c r="F159" s="330">
        <v>41.5</v>
      </c>
      <c r="G159" s="330">
        <v>28.6</v>
      </c>
      <c r="H159" s="330">
        <f t="shared" si="10"/>
        <v>35.216987577039433</v>
      </c>
      <c r="I159" s="330">
        <f t="shared" si="11"/>
        <v>33.919012422960563</v>
      </c>
      <c r="J159" s="335"/>
      <c r="K159" s="329">
        <v>10</v>
      </c>
      <c r="L159" s="329">
        <v>66</v>
      </c>
      <c r="M159" s="330">
        <v>0.1321</v>
      </c>
      <c r="N159" s="330">
        <v>0.13500000000000001</v>
      </c>
      <c r="O159" s="330">
        <v>1.8769999999999998E-2</v>
      </c>
      <c r="P159" s="330">
        <v>0.17</v>
      </c>
      <c r="Q159" s="330">
        <v>0.09</v>
      </c>
      <c r="R159" s="330">
        <f t="shared" si="12"/>
        <v>0.13662843747993686</v>
      </c>
      <c r="S159" s="330">
        <f t="shared" si="13"/>
        <v>0.12757156252006313</v>
      </c>
    </row>
    <row r="160" spans="1:19" x14ac:dyDescent="0.2">
      <c r="A160" s="324">
        <v>11</v>
      </c>
      <c r="B160" s="324">
        <v>54</v>
      </c>
      <c r="C160" s="326">
        <v>36.710999999999999</v>
      </c>
      <c r="D160" s="326">
        <v>36.75</v>
      </c>
      <c r="E160" s="326">
        <v>2.6120000000000001</v>
      </c>
      <c r="F160" s="326">
        <v>42.2</v>
      </c>
      <c r="G160" s="326">
        <v>31.7</v>
      </c>
      <c r="H160" s="326">
        <f t="shared" si="10"/>
        <v>37.407678429331852</v>
      </c>
      <c r="I160" s="326">
        <f t="shared" si="11"/>
        <v>36.014321570668145</v>
      </c>
      <c r="J160" s="335"/>
      <c r="K160" s="324">
        <v>11</v>
      </c>
      <c r="L160" s="324">
        <v>55</v>
      </c>
      <c r="M160" s="326">
        <v>0.13420000000000001</v>
      </c>
      <c r="N160" s="326">
        <v>0.14000000000000001</v>
      </c>
      <c r="O160" s="326">
        <v>1.8120000000000001E-2</v>
      </c>
      <c r="P160" s="326">
        <v>0.17</v>
      </c>
      <c r="Q160" s="326">
        <v>0.09</v>
      </c>
      <c r="R160" s="326">
        <f t="shared" si="12"/>
        <v>0.13898886859107093</v>
      </c>
      <c r="S160" s="326">
        <f t="shared" si="13"/>
        <v>0.1294111314089291</v>
      </c>
    </row>
    <row r="161" spans="1:19" x14ac:dyDescent="0.2">
      <c r="A161" s="329">
        <v>12</v>
      </c>
      <c r="B161" s="329">
        <v>34</v>
      </c>
      <c r="C161" s="330">
        <v>38.552999999999997</v>
      </c>
      <c r="D161" s="330">
        <v>38.299999999999997</v>
      </c>
      <c r="E161" s="330">
        <v>2.3849999999999998</v>
      </c>
      <c r="F161" s="330">
        <v>43.5</v>
      </c>
      <c r="G161" s="330">
        <v>34.5</v>
      </c>
      <c r="H161" s="330">
        <f t="shared" si="10"/>
        <v>39.354687286107172</v>
      </c>
      <c r="I161" s="330">
        <f t="shared" si="11"/>
        <v>37.751312713892823</v>
      </c>
      <c r="J161" s="335"/>
      <c r="K161" s="329">
        <v>12</v>
      </c>
      <c r="L161" s="329">
        <v>35</v>
      </c>
      <c r="M161" s="330">
        <v>0.1263</v>
      </c>
      <c r="N161" s="330">
        <v>0.13</v>
      </c>
      <c r="O161" s="330">
        <v>1.7670000000000002E-2</v>
      </c>
      <c r="P161" s="330">
        <v>0.15</v>
      </c>
      <c r="Q161" s="330">
        <v>0.09</v>
      </c>
      <c r="R161" s="330">
        <f t="shared" si="12"/>
        <v>0.13215407926697273</v>
      </c>
      <c r="S161" s="330">
        <f t="shared" si="13"/>
        <v>0.12044592073302726</v>
      </c>
    </row>
    <row r="162" spans="1:19" x14ac:dyDescent="0.2">
      <c r="A162" s="324">
        <v>13</v>
      </c>
      <c r="B162" s="324">
        <v>64</v>
      </c>
      <c r="C162" s="326">
        <v>41.110999999999997</v>
      </c>
      <c r="D162" s="326">
        <v>41.45</v>
      </c>
      <c r="E162" s="326">
        <v>2.6629999999999998</v>
      </c>
      <c r="F162" s="326">
        <v>47.2</v>
      </c>
      <c r="G162" s="326">
        <v>34.6</v>
      </c>
      <c r="H162" s="326">
        <f t="shared" si="10"/>
        <v>41.763434999999994</v>
      </c>
      <c r="I162" s="326">
        <f t="shared" si="11"/>
        <v>40.458565</v>
      </c>
      <c r="J162" s="335"/>
      <c r="K162" s="324">
        <v>13</v>
      </c>
      <c r="L162" s="324">
        <v>64</v>
      </c>
      <c r="M162" s="326">
        <v>0.1328</v>
      </c>
      <c r="N162" s="326">
        <v>0.13500000000000001</v>
      </c>
      <c r="O162" s="326">
        <v>1.485E-2</v>
      </c>
      <c r="P162" s="326">
        <v>0.17</v>
      </c>
      <c r="Q162" s="326">
        <v>0.1</v>
      </c>
      <c r="R162" s="326">
        <f t="shared" si="12"/>
        <v>0.13643825000000001</v>
      </c>
      <c r="S162" s="326">
        <f t="shared" si="13"/>
        <v>0.12916174999999999</v>
      </c>
    </row>
    <row r="163" spans="1:19" x14ac:dyDescent="0.2">
      <c r="A163" s="329">
        <v>14</v>
      </c>
      <c r="B163" s="329">
        <v>86</v>
      </c>
      <c r="C163" s="330">
        <v>42.823999999999998</v>
      </c>
      <c r="D163" s="330">
        <v>43.1</v>
      </c>
      <c r="E163" s="330">
        <v>2.9590000000000001</v>
      </c>
      <c r="F163" s="330">
        <v>50.3</v>
      </c>
      <c r="G163" s="330">
        <v>34.4</v>
      </c>
      <c r="H163" s="330">
        <f t="shared" si="10"/>
        <v>43.449391264781589</v>
      </c>
      <c r="I163" s="330">
        <f t="shared" si="11"/>
        <v>42.198608735218407</v>
      </c>
      <c r="J163" s="335"/>
      <c r="K163" s="329">
        <v>14</v>
      </c>
      <c r="L163" s="329">
        <v>87</v>
      </c>
      <c r="M163" s="330">
        <v>0.12709999999999999</v>
      </c>
      <c r="N163" s="330">
        <v>0.13</v>
      </c>
      <c r="O163" s="330">
        <v>1.7780000000000001E-2</v>
      </c>
      <c r="P163" s="330">
        <v>0.16</v>
      </c>
      <c r="Q163" s="330">
        <v>0.09</v>
      </c>
      <c r="R163" s="330">
        <f t="shared" si="12"/>
        <v>0.13083618353040552</v>
      </c>
      <c r="S163" s="330">
        <f t="shared" si="13"/>
        <v>0.12336381646959446</v>
      </c>
    </row>
    <row r="164" spans="1:19" x14ac:dyDescent="0.2">
      <c r="A164" s="324">
        <v>15</v>
      </c>
      <c r="B164" s="324">
        <v>70</v>
      </c>
      <c r="C164" s="326">
        <v>43.945999999999998</v>
      </c>
      <c r="D164" s="326">
        <v>43.8</v>
      </c>
      <c r="E164" s="326">
        <v>2.6680000000000001</v>
      </c>
      <c r="F164" s="326">
        <v>51.9</v>
      </c>
      <c r="G164" s="326">
        <v>39.1</v>
      </c>
      <c r="H164" s="326">
        <f t="shared" si="10"/>
        <v>44.571018506222011</v>
      </c>
      <c r="I164" s="326">
        <f t="shared" si="11"/>
        <v>43.320981493777985</v>
      </c>
      <c r="J164" s="335"/>
      <c r="K164" s="324">
        <v>15</v>
      </c>
      <c r="L164" s="324">
        <v>70</v>
      </c>
      <c r="M164" s="326">
        <v>0.1241</v>
      </c>
      <c r="N164" s="326">
        <v>0.12</v>
      </c>
      <c r="O164" s="326">
        <v>1.537E-2</v>
      </c>
      <c r="P164" s="326">
        <v>0.16</v>
      </c>
      <c r="Q164" s="326">
        <v>0.09</v>
      </c>
      <c r="R164" s="326">
        <f t="shared" si="12"/>
        <v>0.12770065009019205</v>
      </c>
      <c r="S164" s="326">
        <f t="shared" si="13"/>
        <v>0.12049934990980796</v>
      </c>
    </row>
    <row r="165" spans="1:19" x14ac:dyDescent="0.2">
      <c r="A165" s="329">
        <v>16</v>
      </c>
      <c r="B165" s="329">
        <v>38</v>
      </c>
      <c r="C165" s="330">
        <v>43.258000000000003</v>
      </c>
      <c r="D165" s="330">
        <v>43.3</v>
      </c>
      <c r="E165" s="330">
        <v>2.4140000000000001</v>
      </c>
      <c r="F165" s="330">
        <v>48.4</v>
      </c>
      <c r="G165" s="330">
        <v>38.700000000000003</v>
      </c>
      <c r="H165" s="330">
        <f t="shared" si="10"/>
        <v>44.025540920794938</v>
      </c>
      <c r="I165" s="330">
        <f t="shared" si="11"/>
        <v>42.490459079205067</v>
      </c>
      <c r="J165" s="335"/>
      <c r="K165" s="329">
        <v>16</v>
      </c>
      <c r="L165" s="329">
        <v>38</v>
      </c>
      <c r="M165" s="330">
        <v>0.1208</v>
      </c>
      <c r="N165" s="330">
        <v>0.12</v>
      </c>
      <c r="O165" s="330">
        <v>1.4959999999999999E-2</v>
      </c>
      <c r="P165" s="330">
        <v>0.15</v>
      </c>
      <c r="Q165" s="330">
        <v>0.09</v>
      </c>
      <c r="R165" s="330">
        <f t="shared" si="12"/>
        <v>0.12555659162182778</v>
      </c>
      <c r="S165" s="330">
        <f t="shared" si="13"/>
        <v>0.11604340837817223</v>
      </c>
    </row>
    <row r="166" spans="1:19" x14ac:dyDescent="0.2">
      <c r="A166" s="324">
        <v>17</v>
      </c>
      <c r="B166" s="324">
        <v>30</v>
      </c>
      <c r="C166" s="326">
        <v>43.917000000000002</v>
      </c>
      <c r="D166" s="326">
        <v>44.15</v>
      </c>
      <c r="E166" s="326">
        <v>2.6859999999999999</v>
      </c>
      <c r="F166" s="326">
        <v>50.5</v>
      </c>
      <c r="G166" s="326">
        <v>39</v>
      </c>
      <c r="H166" s="326">
        <f t="shared" si="10"/>
        <v>44.878172755779801</v>
      </c>
      <c r="I166" s="326">
        <f t="shared" si="11"/>
        <v>42.955827244220202</v>
      </c>
      <c r="J166" s="335"/>
      <c r="K166" s="324">
        <v>17</v>
      </c>
      <c r="L166" s="324">
        <v>30</v>
      </c>
      <c r="M166" s="326">
        <v>0.11899999999999999</v>
      </c>
      <c r="N166" s="326">
        <v>0.12</v>
      </c>
      <c r="O166" s="326">
        <v>1.094E-2</v>
      </c>
      <c r="P166" s="326">
        <v>0.14000000000000001</v>
      </c>
      <c r="Q166" s="326">
        <v>0.09</v>
      </c>
      <c r="R166" s="326">
        <f t="shared" si="12"/>
        <v>0.12291482872234959</v>
      </c>
      <c r="S166" s="326">
        <f t="shared" si="13"/>
        <v>0.1150851712776504</v>
      </c>
    </row>
    <row r="167" spans="1:19" x14ac:dyDescent="0.2">
      <c r="A167" s="329">
        <v>18</v>
      </c>
      <c r="B167" s="329">
        <v>21</v>
      </c>
      <c r="C167" s="330">
        <v>44.438000000000002</v>
      </c>
      <c r="D167" s="330">
        <v>44.7</v>
      </c>
      <c r="E167" s="330">
        <v>2.367</v>
      </c>
      <c r="F167" s="330">
        <v>47.8</v>
      </c>
      <c r="G167" s="330">
        <v>40.1</v>
      </c>
      <c r="H167" s="330">
        <f t="shared" si="10"/>
        <v>45.450382622529645</v>
      </c>
      <c r="I167" s="330">
        <f t="shared" si="11"/>
        <v>43.42561737747036</v>
      </c>
      <c r="J167" s="335"/>
      <c r="K167" s="329">
        <v>18</v>
      </c>
      <c r="L167" s="329">
        <v>21</v>
      </c>
      <c r="M167" s="330">
        <v>0.12239999999999999</v>
      </c>
      <c r="N167" s="330">
        <v>0.12</v>
      </c>
      <c r="O167" s="330">
        <v>1.179E-2</v>
      </c>
      <c r="P167" s="330">
        <v>0.14000000000000001</v>
      </c>
      <c r="Q167" s="330">
        <v>0.1</v>
      </c>
      <c r="R167" s="330">
        <f t="shared" si="12"/>
        <v>0.12744266629472939</v>
      </c>
      <c r="S167" s="330">
        <f t="shared" si="13"/>
        <v>0.11735733370527059</v>
      </c>
    </row>
    <row r="168" spans="1:19" x14ac:dyDescent="0.2">
      <c r="A168" s="332">
        <v>19</v>
      </c>
      <c r="B168" s="332">
        <v>7</v>
      </c>
      <c r="C168" s="333">
        <v>43.442999999999998</v>
      </c>
      <c r="D168" s="333">
        <v>43</v>
      </c>
      <c r="E168" s="333">
        <v>1.87</v>
      </c>
      <c r="F168" s="333">
        <v>46.4</v>
      </c>
      <c r="G168" s="333">
        <v>41.5</v>
      </c>
      <c r="H168" s="333">
        <f t="shared" si="10"/>
        <v>44.82831538647342</v>
      </c>
      <c r="I168" s="333">
        <f t="shared" si="11"/>
        <v>42.057684613526575</v>
      </c>
      <c r="J168" s="335"/>
      <c r="K168" s="332">
        <v>19</v>
      </c>
      <c r="L168" s="332">
        <v>7</v>
      </c>
      <c r="M168" s="333">
        <v>0.1229</v>
      </c>
      <c r="N168" s="333">
        <v>0.13</v>
      </c>
      <c r="O168" s="333">
        <v>1.2540000000000001E-2</v>
      </c>
      <c r="P168" s="333">
        <v>0.14000000000000001</v>
      </c>
      <c r="Q168" s="333">
        <v>0.11</v>
      </c>
      <c r="R168" s="333">
        <f t="shared" si="12"/>
        <v>0.13218976200340998</v>
      </c>
      <c r="S168" s="333">
        <f t="shared" si="13"/>
        <v>0.11361023799659001</v>
      </c>
    </row>
    <row r="169" spans="1:19" x14ac:dyDescent="0.2">
      <c r="A169" s="332"/>
      <c r="B169" s="332"/>
      <c r="C169" s="333"/>
      <c r="D169" s="333"/>
      <c r="E169" s="333"/>
      <c r="F169" s="333"/>
      <c r="G169" s="333"/>
      <c r="H169" s="333"/>
      <c r="I169" s="333"/>
      <c r="J169" s="335"/>
      <c r="K169" s="324"/>
      <c r="L169" s="324"/>
      <c r="M169" s="324"/>
      <c r="N169" s="324"/>
      <c r="O169" s="334"/>
      <c r="P169" s="324"/>
      <c r="Q169" s="324"/>
      <c r="R169" s="326"/>
      <c r="S169" s="326"/>
    </row>
    <row r="170" spans="1:19" x14ac:dyDescent="0.2">
      <c r="A170" s="332"/>
      <c r="B170" s="332"/>
      <c r="C170" s="333"/>
      <c r="D170" s="333"/>
      <c r="E170" s="333"/>
      <c r="F170" s="333"/>
      <c r="G170" s="333"/>
      <c r="H170" s="333"/>
      <c r="I170" s="333"/>
      <c r="J170" s="335"/>
      <c r="K170" s="324"/>
      <c r="L170" s="324"/>
      <c r="M170" s="324"/>
      <c r="N170" s="324"/>
      <c r="O170" s="324"/>
      <c r="P170" s="324"/>
      <c r="Q170" s="324"/>
      <c r="R170" s="326"/>
      <c r="S170" s="326"/>
    </row>
    <row r="171" spans="1:19" x14ac:dyDescent="0.2">
      <c r="A171" s="800" t="s">
        <v>667</v>
      </c>
      <c r="B171" s="800"/>
      <c r="C171" s="800"/>
      <c r="D171" s="800"/>
      <c r="E171" s="800"/>
      <c r="F171" s="800"/>
      <c r="G171" s="800"/>
      <c r="H171" s="800"/>
      <c r="I171" s="801"/>
      <c r="J171" s="335"/>
      <c r="K171" s="800" t="s">
        <v>668</v>
      </c>
      <c r="L171" s="800"/>
      <c r="M171" s="800"/>
      <c r="N171" s="800"/>
      <c r="O171" s="800"/>
      <c r="P171" s="800"/>
      <c r="Q171" s="800"/>
      <c r="R171" s="800"/>
      <c r="S171" s="801"/>
    </row>
    <row r="172" spans="1:19" x14ac:dyDescent="0.2">
      <c r="A172" s="332" t="s">
        <v>504</v>
      </c>
      <c r="B172" s="332" t="s">
        <v>641</v>
      </c>
      <c r="C172" s="333" t="s">
        <v>642</v>
      </c>
      <c r="D172" s="333" t="s">
        <v>643</v>
      </c>
      <c r="E172" s="333" t="s">
        <v>644</v>
      </c>
      <c r="F172" s="333" t="s">
        <v>645</v>
      </c>
      <c r="G172" s="333" t="s">
        <v>646</v>
      </c>
      <c r="H172" s="333" t="s">
        <v>647</v>
      </c>
      <c r="I172" s="333" t="s">
        <v>648</v>
      </c>
      <c r="J172" s="335"/>
      <c r="K172" s="332" t="s">
        <v>504</v>
      </c>
      <c r="L172" s="332" t="s">
        <v>641</v>
      </c>
      <c r="M172" s="333" t="s">
        <v>642</v>
      </c>
      <c r="N172" s="333" t="s">
        <v>643</v>
      </c>
      <c r="O172" s="333" t="s">
        <v>644</v>
      </c>
      <c r="P172" s="333" t="s">
        <v>645</v>
      </c>
      <c r="Q172" s="333" t="s">
        <v>646</v>
      </c>
      <c r="R172" s="333" t="s">
        <v>647</v>
      </c>
      <c r="S172" s="333" t="s">
        <v>648</v>
      </c>
    </row>
    <row r="173" spans="1:19" x14ac:dyDescent="0.2">
      <c r="A173" s="324">
        <v>7</v>
      </c>
      <c r="B173" s="324">
        <v>14</v>
      </c>
      <c r="C173" s="326">
        <v>35.156999999999996</v>
      </c>
      <c r="D173" s="326">
        <v>34.65</v>
      </c>
      <c r="E173" s="326">
        <v>1.7849999999999999</v>
      </c>
      <c r="F173" s="326">
        <v>38.700000000000003</v>
      </c>
      <c r="G173" s="326">
        <v>32.799999999999997</v>
      </c>
      <c r="H173" s="326">
        <f t="shared" si="10"/>
        <v>36.092040180954804</v>
      </c>
      <c r="I173" s="326">
        <f t="shared" si="11"/>
        <v>34.221959819045189</v>
      </c>
      <c r="J173" s="335"/>
      <c r="K173" s="324">
        <v>7</v>
      </c>
      <c r="L173" s="324">
        <v>14</v>
      </c>
      <c r="M173" s="326">
        <v>7.7859999999999999E-2</v>
      </c>
      <c r="N173" s="326">
        <v>0.08</v>
      </c>
      <c r="O173" s="326">
        <v>8.9259999999999999E-3</v>
      </c>
      <c r="P173" s="326">
        <v>0.09</v>
      </c>
      <c r="Q173" s="326">
        <v>0.06</v>
      </c>
      <c r="R173" s="326">
        <f t="shared" si="12"/>
        <v>8.2535724736808189E-2</v>
      </c>
      <c r="S173" s="326">
        <f t="shared" si="13"/>
        <v>7.3184275263191809E-2</v>
      </c>
    </row>
    <row r="174" spans="1:19" x14ac:dyDescent="0.2">
      <c r="A174" s="329">
        <v>8</v>
      </c>
      <c r="B174" s="329">
        <v>39</v>
      </c>
      <c r="C174" s="330">
        <v>34.348999999999997</v>
      </c>
      <c r="D174" s="330">
        <v>34.6</v>
      </c>
      <c r="E174" s="330">
        <v>2.2309999999999999</v>
      </c>
      <c r="F174" s="330">
        <v>40.299999999999997</v>
      </c>
      <c r="G174" s="330">
        <v>28.8</v>
      </c>
      <c r="H174" s="330">
        <f t="shared" si="10"/>
        <v>35.049201985832731</v>
      </c>
      <c r="I174" s="330">
        <f t="shared" si="11"/>
        <v>33.648798014167262</v>
      </c>
      <c r="J174" s="335"/>
      <c r="K174" s="329">
        <v>8</v>
      </c>
      <c r="L174" s="329">
        <v>39</v>
      </c>
      <c r="M174" s="330">
        <v>7.3590000000000003E-2</v>
      </c>
      <c r="N174" s="330">
        <v>0.08</v>
      </c>
      <c r="O174" s="330">
        <v>1.112E-2</v>
      </c>
      <c r="P174" s="330">
        <v>0.1</v>
      </c>
      <c r="Q174" s="330">
        <v>0.05</v>
      </c>
      <c r="R174" s="330">
        <f t="shared" si="12"/>
        <v>7.7080025137812633E-2</v>
      </c>
      <c r="S174" s="330">
        <f t="shared" si="13"/>
        <v>7.0099974862187373E-2</v>
      </c>
    </row>
    <row r="175" spans="1:19" x14ac:dyDescent="0.2">
      <c r="A175" s="324">
        <v>9</v>
      </c>
      <c r="B175" s="324">
        <v>57</v>
      </c>
      <c r="C175" s="326">
        <v>36.350999999999999</v>
      </c>
      <c r="D175" s="326">
        <v>36.200000000000003</v>
      </c>
      <c r="E175" s="326">
        <v>2.3610000000000002</v>
      </c>
      <c r="F175" s="326">
        <v>41.2</v>
      </c>
      <c r="G175" s="326">
        <v>29.4</v>
      </c>
      <c r="H175" s="326">
        <f t="shared" si="10"/>
        <v>36.963935295425991</v>
      </c>
      <c r="I175" s="326">
        <f t="shared" si="11"/>
        <v>35.738064704574008</v>
      </c>
      <c r="J175" s="335"/>
      <c r="K175" s="324">
        <v>9</v>
      </c>
      <c r="L175" s="324">
        <v>57</v>
      </c>
      <c r="M175" s="326">
        <v>7.4389999999999998E-2</v>
      </c>
      <c r="N175" s="326">
        <v>0.08</v>
      </c>
      <c r="O175" s="326">
        <v>0.01</v>
      </c>
      <c r="P175" s="326">
        <v>0.09</v>
      </c>
      <c r="Q175" s="326">
        <v>0.05</v>
      </c>
      <c r="R175" s="326">
        <f t="shared" si="12"/>
        <v>7.6986083419847487E-2</v>
      </c>
      <c r="S175" s="326">
        <f t="shared" si="13"/>
        <v>7.1793916580152509E-2</v>
      </c>
    </row>
    <row r="176" spans="1:19" x14ac:dyDescent="0.2">
      <c r="A176" s="329">
        <v>10</v>
      </c>
      <c r="B176" s="329">
        <v>66</v>
      </c>
      <c r="C176" s="330">
        <v>37.524000000000001</v>
      </c>
      <c r="D176" s="330">
        <v>37.450000000000003</v>
      </c>
      <c r="E176" s="330">
        <v>2.351</v>
      </c>
      <c r="F176" s="330">
        <v>43.3</v>
      </c>
      <c r="G176" s="330">
        <v>32.9</v>
      </c>
      <c r="H176" s="330">
        <f t="shared" si="10"/>
        <v>38.091200666773126</v>
      </c>
      <c r="I176" s="330">
        <f t="shared" si="11"/>
        <v>36.956799333226876</v>
      </c>
      <c r="J176" s="335"/>
      <c r="K176" s="329">
        <v>10</v>
      </c>
      <c r="L176" s="329">
        <v>66</v>
      </c>
      <c r="M176" s="330">
        <v>7.0760000000000003E-2</v>
      </c>
      <c r="N176" s="330">
        <v>7.0000000000000007E-2</v>
      </c>
      <c r="O176" s="330">
        <v>1.0120000000000001E-2</v>
      </c>
      <c r="P176" s="330">
        <v>0.09</v>
      </c>
      <c r="Q176" s="330">
        <v>0.05</v>
      </c>
      <c r="R176" s="330">
        <f t="shared" si="12"/>
        <v>7.3201544341873259E-2</v>
      </c>
      <c r="S176" s="330">
        <f t="shared" si="13"/>
        <v>6.8318455658126748E-2</v>
      </c>
    </row>
    <row r="177" spans="1:19" x14ac:dyDescent="0.2">
      <c r="A177" s="324">
        <v>11</v>
      </c>
      <c r="B177" s="324">
        <v>54</v>
      </c>
      <c r="C177" s="326">
        <v>39.622</v>
      </c>
      <c r="D177" s="326">
        <v>39.65</v>
      </c>
      <c r="E177" s="326">
        <v>2.3050000000000002</v>
      </c>
      <c r="F177" s="326">
        <v>44.6</v>
      </c>
      <c r="G177" s="326">
        <v>35</v>
      </c>
      <c r="H177" s="326">
        <f t="shared" si="10"/>
        <v>40.236794708885881</v>
      </c>
      <c r="I177" s="326">
        <f t="shared" si="11"/>
        <v>39.007205291114118</v>
      </c>
      <c r="J177" s="335"/>
      <c r="K177" s="324">
        <v>11</v>
      </c>
      <c r="L177" s="324">
        <v>55</v>
      </c>
      <c r="M177" s="326">
        <v>6.8729999999999999E-2</v>
      </c>
      <c r="N177" s="326">
        <v>7.0000000000000007E-2</v>
      </c>
      <c r="O177" s="326">
        <v>1.106E-2</v>
      </c>
      <c r="P177" s="326">
        <v>0.09</v>
      </c>
      <c r="Q177" s="326">
        <v>0.04</v>
      </c>
      <c r="R177" s="326">
        <f t="shared" si="12"/>
        <v>7.165300698770663E-2</v>
      </c>
      <c r="S177" s="326">
        <f t="shared" si="13"/>
        <v>6.5806993012293369E-2</v>
      </c>
    </row>
    <row r="178" spans="1:19" x14ac:dyDescent="0.2">
      <c r="A178" s="329">
        <v>12</v>
      </c>
      <c r="B178" s="329">
        <v>33</v>
      </c>
      <c r="C178" s="330">
        <v>41.4</v>
      </c>
      <c r="D178" s="330">
        <v>41.3</v>
      </c>
      <c r="E178" s="330">
        <v>2.379</v>
      </c>
      <c r="F178" s="330">
        <v>45.9</v>
      </c>
      <c r="G178" s="330">
        <v>36.6</v>
      </c>
      <c r="H178" s="330">
        <f t="shared" si="10"/>
        <v>42.211696257296467</v>
      </c>
      <c r="I178" s="330">
        <f t="shared" si="11"/>
        <v>40.58830374270353</v>
      </c>
      <c r="J178" s="335"/>
      <c r="K178" s="329">
        <v>12</v>
      </c>
      <c r="L178" s="329">
        <v>35</v>
      </c>
      <c r="M178" s="330">
        <v>6.2570000000000001E-2</v>
      </c>
      <c r="N178" s="330">
        <v>0.06</v>
      </c>
      <c r="O178" s="330">
        <v>1.01E-2</v>
      </c>
      <c r="P178" s="330">
        <v>0.08</v>
      </c>
      <c r="Q178" s="330">
        <v>0.04</v>
      </c>
      <c r="R178" s="330">
        <f t="shared" si="12"/>
        <v>6.5916134725321138E-2</v>
      </c>
      <c r="S178" s="330">
        <f t="shared" si="13"/>
        <v>5.9223865274678857E-2</v>
      </c>
    </row>
    <row r="179" spans="1:19" x14ac:dyDescent="0.2">
      <c r="A179" s="324">
        <v>13</v>
      </c>
      <c r="B179" s="324">
        <v>64</v>
      </c>
      <c r="C179" s="326">
        <v>44.069000000000003</v>
      </c>
      <c r="D179" s="326">
        <v>44.1</v>
      </c>
      <c r="E179" s="326">
        <v>2.4529999999999998</v>
      </c>
      <c r="F179" s="326">
        <v>49.6</v>
      </c>
      <c r="G179" s="326">
        <v>38.4</v>
      </c>
      <c r="H179" s="326">
        <f t="shared" si="10"/>
        <v>44.669985000000004</v>
      </c>
      <c r="I179" s="326">
        <f t="shared" si="11"/>
        <v>43.468015000000001</v>
      </c>
      <c r="J179" s="335"/>
      <c r="K179" s="324">
        <v>13</v>
      </c>
      <c r="L179" s="324">
        <v>64</v>
      </c>
      <c r="M179" s="326">
        <v>6.2190000000000002E-2</v>
      </c>
      <c r="N179" s="326">
        <v>0.06</v>
      </c>
      <c r="O179" s="326">
        <v>8.0610000000000005E-3</v>
      </c>
      <c r="P179" s="326">
        <v>0.08</v>
      </c>
      <c r="Q179" s="326">
        <v>0.05</v>
      </c>
      <c r="R179" s="326">
        <f t="shared" si="12"/>
        <v>6.4164945000000001E-2</v>
      </c>
      <c r="S179" s="326">
        <f t="shared" si="13"/>
        <v>6.0215055000000003E-2</v>
      </c>
    </row>
    <row r="180" spans="1:19" x14ac:dyDescent="0.2">
      <c r="A180" s="329">
        <v>14</v>
      </c>
      <c r="B180" s="329">
        <v>87</v>
      </c>
      <c r="C180" s="330">
        <v>44.914000000000001</v>
      </c>
      <c r="D180" s="330">
        <v>44.7</v>
      </c>
      <c r="E180" s="330">
        <v>2.6190000000000002</v>
      </c>
      <c r="F180" s="330">
        <v>51.5</v>
      </c>
      <c r="G180" s="330">
        <v>38.700000000000003</v>
      </c>
      <c r="H180" s="330">
        <f t="shared" si="10"/>
        <v>45.464341094833081</v>
      </c>
      <c r="I180" s="330">
        <f t="shared" si="11"/>
        <v>44.363658905166922</v>
      </c>
      <c r="J180" s="335"/>
      <c r="K180" s="329">
        <v>14</v>
      </c>
      <c r="L180" s="329">
        <v>87</v>
      </c>
      <c r="M180" s="330">
        <v>5.9659999999999998E-2</v>
      </c>
      <c r="N180" s="330">
        <v>0.06</v>
      </c>
      <c r="O180" s="330">
        <v>8.8199999999999997E-3</v>
      </c>
      <c r="P180" s="330">
        <v>0.08</v>
      </c>
      <c r="Q180" s="330">
        <v>0.04</v>
      </c>
      <c r="R180" s="330">
        <f t="shared" si="12"/>
        <v>6.1513382381224793E-2</v>
      </c>
      <c r="S180" s="330">
        <f t="shared" si="13"/>
        <v>5.7806617618775202E-2</v>
      </c>
    </row>
    <row r="181" spans="1:19" x14ac:dyDescent="0.2">
      <c r="A181" s="324">
        <v>15</v>
      </c>
      <c r="B181" s="324">
        <v>70</v>
      </c>
      <c r="C181" s="326">
        <v>45.76</v>
      </c>
      <c r="D181" s="326">
        <v>45.6</v>
      </c>
      <c r="E181" s="326">
        <v>2.2930000000000001</v>
      </c>
      <c r="F181" s="326">
        <v>54</v>
      </c>
      <c r="G181" s="326">
        <v>41</v>
      </c>
      <c r="H181" s="326">
        <f t="shared" si="10"/>
        <v>46.297169203435935</v>
      </c>
      <c r="I181" s="326">
        <f t="shared" si="11"/>
        <v>45.222830796564061</v>
      </c>
      <c r="J181" s="335"/>
      <c r="K181" s="324">
        <v>15</v>
      </c>
      <c r="L181" s="324">
        <v>70</v>
      </c>
      <c r="M181" s="326">
        <v>5.7860000000000002E-2</v>
      </c>
      <c r="N181" s="326">
        <v>0.06</v>
      </c>
      <c r="O181" s="326">
        <v>7.5929999999999999E-3</v>
      </c>
      <c r="P181" s="326">
        <v>7.0000000000000007E-2</v>
      </c>
      <c r="Q181" s="326">
        <v>0.04</v>
      </c>
      <c r="R181" s="326">
        <f t="shared" si="12"/>
        <v>5.9638772682812508E-2</v>
      </c>
      <c r="S181" s="326">
        <f t="shared" si="13"/>
        <v>5.6081227317187496E-2</v>
      </c>
    </row>
    <row r="182" spans="1:19" x14ac:dyDescent="0.2">
      <c r="A182" s="329">
        <v>16</v>
      </c>
      <c r="B182" s="329">
        <v>38</v>
      </c>
      <c r="C182" s="330">
        <v>45.454999999999998</v>
      </c>
      <c r="D182" s="330">
        <v>45.7</v>
      </c>
      <c r="E182" s="330">
        <v>1.7250000000000001</v>
      </c>
      <c r="F182" s="330">
        <v>48.5</v>
      </c>
      <c r="G182" s="330">
        <v>41.7</v>
      </c>
      <c r="H182" s="330">
        <f t="shared" si="10"/>
        <v>46.003470624843104</v>
      </c>
      <c r="I182" s="330">
        <f t="shared" si="11"/>
        <v>44.906529375156893</v>
      </c>
      <c r="J182" s="335"/>
      <c r="K182" s="329">
        <v>16</v>
      </c>
      <c r="L182" s="329">
        <v>38</v>
      </c>
      <c r="M182" s="330">
        <v>5.6320000000000002E-2</v>
      </c>
      <c r="N182" s="330">
        <v>0.06</v>
      </c>
      <c r="O182" s="330">
        <v>7.5050000000000004E-3</v>
      </c>
      <c r="P182" s="330">
        <v>7.0000000000000007E-2</v>
      </c>
      <c r="Q182" s="330">
        <v>0.04</v>
      </c>
      <c r="R182" s="330">
        <f t="shared" si="12"/>
        <v>5.8706244660549294E-2</v>
      </c>
      <c r="S182" s="330">
        <f t="shared" si="13"/>
        <v>5.393375533945071E-2</v>
      </c>
    </row>
    <row r="183" spans="1:19" x14ac:dyDescent="0.2">
      <c r="A183" s="324">
        <v>17</v>
      </c>
      <c r="B183" s="324">
        <v>30</v>
      </c>
      <c r="C183" s="326">
        <v>46.68</v>
      </c>
      <c r="D183" s="326">
        <v>46.35</v>
      </c>
      <c r="E183" s="326">
        <v>2.6509999999999998</v>
      </c>
      <c r="F183" s="326">
        <v>51.7</v>
      </c>
      <c r="G183" s="326">
        <v>40.5</v>
      </c>
      <c r="H183" s="326">
        <f t="shared" si="10"/>
        <v>47.628648166631514</v>
      </c>
      <c r="I183" s="326">
        <f t="shared" si="11"/>
        <v>45.731351833368485</v>
      </c>
      <c r="J183" s="335"/>
      <c r="K183" s="324">
        <v>17</v>
      </c>
      <c r="L183" s="324">
        <v>30</v>
      </c>
      <c r="M183" s="326">
        <v>5.4670000000000003E-2</v>
      </c>
      <c r="N183" s="326">
        <v>0.06</v>
      </c>
      <c r="O183" s="326">
        <v>7.7609999999999997E-3</v>
      </c>
      <c r="P183" s="326">
        <v>7.0000000000000007E-2</v>
      </c>
      <c r="Q183" s="326">
        <v>0.04</v>
      </c>
      <c r="R183" s="326">
        <f t="shared" si="12"/>
        <v>5.7447238182281098E-2</v>
      </c>
      <c r="S183" s="326">
        <f t="shared" si="13"/>
        <v>5.1892761817718909E-2</v>
      </c>
    </row>
    <row r="184" spans="1:19" x14ac:dyDescent="0.2">
      <c r="A184" s="329">
        <v>18</v>
      </c>
      <c r="B184" s="329">
        <v>21</v>
      </c>
      <c r="C184" s="330">
        <v>46.305</v>
      </c>
      <c r="D184" s="330">
        <v>45.9</v>
      </c>
      <c r="E184" s="330">
        <v>1.8460000000000001</v>
      </c>
      <c r="F184" s="330">
        <v>50.2</v>
      </c>
      <c r="G184" s="330">
        <v>42.1</v>
      </c>
      <c r="H184" s="330">
        <f t="shared" si="10"/>
        <v>47.094547241736258</v>
      </c>
      <c r="I184" s="330">
        <f t="shared" si="11"/>
        <v>45.515452758263741</v>
      </c>
      <c r="J184" s="335"/>
      <c r="K184" s="329">
        <v>18</v>
      </c>
      <c r="L184" s="329">
        <v>21</v>
      </c>
      <c r="M184" s="330">
        <v>5.5710000000000003E-2</v>
      </c>
      <c r="N184" s="330">
        <v>0.06</v>
      </c>
      <c r="O184" s="330">
        <v>5.9760000000000004E-3</v>
      </c>
      <c r="P184" s="330">
        <v>7.0000000000000007E-2</v>
      </c>
      <c r="Q184" s="330">
        <v>0.05</v>
      </c>
      <c r="R184" s="330">
        <f t="shared" si="12"/>
        <v>5.8265977419618573E-2</v>
      </c>
      <c r="S184" s="330">
        <f t="shared" si="13"/>
        <v>5.3154022580381433E-2</v>
      </c>
    </row>
    <row r="185" spans="1:19" x14ac:dyDescent="0.2">
      <c r="A185" s="332">
        <v>19</v>
      </c>
      <c r="B185" s="332">
        <v>7</v>
      </c>
      <c r="C185" s="333">
        <v>46.3</v>
      </c>
      <c r="D185" s="333">
        <v>46</v>
      </c>
      <c r="E185" s="333">
        <v>2.6890000000000001</v>
      </c>
      <c r="F185" s="333">
        <v>50.2</v>
      </c>
      <c r="G185" s="333">
        <v>42.3</v>
      </c>
      <c r="H185" s="333">
        <f t="shared" si="10"/>
        <v>48.292039077126745</v>
      </c>
      <c r="I185" s="333">
        <f t="shared" si="11"/>
        <v>44.307960922873249</v>
      </c>
      <c r="J185" s="335"/>
      <c r="K185" s="332">
        <v>19</v>
      </c>
      <c r="L185" s="332">
        <v>7</v>
      </c>
      <c r="M185" s="333">
        <v>5.2859999999999997E-2</v>
      </c>
      <c r="N185" s="333">
        <v>0.06</v>
      </c>
      <c r="O185" s="333">
        <v>9.5119999999999996E-3</v>
      </c>
      <c r="P185" s="333">
        <v>0.06</v>
      </c>
      <c r="Q185" s="333">
        <v>0.04</v>
      </c>
      <c r="R185" s="333">
        <f t="shared" si="12"/>
        <v>5.9906588211836982E-2</v>
      </c>
      <c r="S185" s="333">
        <f t="shared" si="13"/>
        <v>4.5813411788163012E-2</v>
      </c>
    </row>
    <row r="186" spans="1:19" x14ac:dyDescent="0.2">
      <c r="A186" s="332"/>
      <c r="B186" s="332"/>
      <c r="C186" s="333"/>
      <c r="D186" s="333"/>
      <c r="E186" s="333"/>
      <c r="F186" s="333"/>
      <c r="G186" s="333"/>
      <c r="H186" s="333"/>
      <c r="I186" s="333"/>
      <c r="J186" s="335"/>
      <c r="K186" s="324"/>
      <c r="L186" s="324"/>
      <c r="M186" s="334"/>
      <c r="N186" s="334"/>
      <c r="O186" s="334"/>
      <c r="P186" s="324"/>
      <c r="Q186" s="324"/>
      <c r="R186" s="326"/>
      <c r="S186" s="326"/>
    </row>
    <row r="187" spans="1:19" x14ac:dyDescent="0.2">
      <c r="A187" s="332"/>
      <c r="B187" s="332"/>
      <c r="C187" s="333"/>
      <c r="D187" s="333"/>
      <c r="E187" s="333"/>
      <c r="F187" s="333"/>
      <c r="G187" s="333"/>
      <c r="H187" s="333"/>
      <c r="I187" s="333"/>
      <c r="J187" s="335"/>
      <c r="K187" s="324"/>
      <c r="L187" s="324"/>
      <c r="M187" s="324"/>
      <c r="N187" s="324"/>
      <c r="O187" s="324"/>
      <c r="P187" s="324"/>
      <c r="Q187" s="324"/>
      <c r="R187" s="326"/>
      <c r="S187" s="326"/>
    </row>
    <row r="188" spans="1:19" x14ac:dyDescent="0.2">
      <c r="A188" s="800" t="s">
        <v>669</v>
      </c>
      <c r="B188" s="800"/>
      <c r="C188" s="800"/>
      <c r="D188" s="800"/>
      <c r="E188" s="800"/>
      <c r="F188" s="800"/>
      <c r="G188" s="800"/>
      <c r="H188" s="800"/>
      <c r="I188" s="801"/>
      <c r="J188" s="335"/>
      <c r="K188" s="800" t="s">
        <v>670</v>
      </c>
      <c r="L188" s="800"/>
      <c r="M188" s="800"/>
      <c r="N188" s="800"/>
      <c r="O188" s="800"/>
      <c r="P188" s="800"/>
      <c r="Q188" s="800"/>
      <c r="R188" s="800"/>
      <c r="S188" s="801"/>
    </row>
    <row r="189" spans="1:19" x14ac:dyDescent="0.2">
      <c r="A189" s="332" t="s">
        <v>504</v>
      </c>
      <c r="B189" s="332" t="s">
        <v>641</v>
      </c>
      <c r="C189" s="333" t="s">
        <v>642</v>
      </c>
      <c r="D189" s="333" t="s">
        <v>643</v>
      </c>
      <c r="E189" s="333" t="s">
        <v>644</v>
      </c>
      <c r="F189" s="333" t="s">
        <v>645</v>
      </c>
      <c r="G189" s="333" t="s">
        <v>646</v>
      </c>
      <c r="H189" s="333" t="s">
        <v>647</v>
      </c>
      <c r="I189" s="333" t="s">
        <v>648</v>
      </c>
      <c r="J189" s="335"/>
      <c r="K189" s="332" t="s">
        <v>504</v>
      </c>
      <c r="L189" s="332" t="s">
        <v>641</v>
      </c>
      <c r="M189" s="333" t="s">
        <v>642</v>
      </c>
      <c r="N189" s="333" t="s">
        <v>643</v>
      </c>
      <c r="O189" s="333" t="s">
        <v>644</v>
      </c>
      <c r="P189" s="333" t="s">
        <v>645</v>
      </c>
      <c r="Q189" s="333" t="s">
        <v>646</v>
      </c>
      <c r="R189" s="333" t="s">
        <v>647</v>
      </c>
      <c r="S189" s="333" t="s">
        <v>648</v>
      </c>
    </row>
    <row r="190" spans="1:19" x14ac:dyDescent="0.2">
      <c r="A190" s="324">
        <v>7</v>
      </c>
      <c r="B190" s="324">
        <v>14</v>
      </c>
      <c r="C190" s="326">
        <v>29.321000000000002</v>
      </c>
      <c r="D190" s="326">
        <v>29.1</v>
      </c>
      <c r="E190" s="326">
        <v>2.1349999999999998</v>
      </c>
      <c r="F190" s="326">
        <v>33.1</v>
      </c>
      <c r="G190" s="326">
        <v>25.5</v>
      </c>
      <c r="H190" s="326">
        <f t="shared" si="10"/>
        <v>30.439381392906732</v>
      </c>
      <c r="I190" s="326">
        <f t="shared" si="11"/>
        <v>28.202618607093271</v>
      </c>
      <c r="J190" s="335"/>
      <c r="K190" s="324">
        <v>7</v>
      </c>
      <c r="L190" s="324">
        <v>14</v>
      </c>
      <c r="M190" s="326">
        <v>2.6139999999999999</v>
      </c>
      <c r="N190" s="326">
        <v>2.6</v>
      </c>
      <c r="O190" s="326">
        <v>0.34200000000000003</v>
      </c>
      <c r="P190" s="326">
        <v>3.1</v>
      </c>
      <c r="Q190" s="326">
        <v>2.1</v>
      </c>
      <c r="R190" s="326">
        <f t="shared" si="12"/>
        <v>2.7931505556787362</v>
      </c>
      <c r="S190" s="326">
        <f t="shared" si="13"/>
        <v>2.4348494443212636</v>
      </c>
    </row>
    <row r="191" spans="1:19" x14ac:dyDescent="0.2">
      <c r="A191" s="329">
        <v>8</v>
      </c>
      <c r="B191" s="329">
        <v>39</v>
      </c>
      <c r="C191" s="330">
        <v>28.669</v>
      </c>
      <c r="D191" s="330">
        <v>28.4</v>
      </c>
      <c r="E191" s="330">
        <v>2.0139999999999998</v>
      </c>
      <c r="F191" s="330">
        <v>33.799999999999997</v>
      </c>
      <c r="G191" s="330">
        <v>23</v>
      </c>
      <c r="H191" s="330">
        <f t="shared" si="10"/>
        <v>29.301096279456353</v>
      </c>
      <c r="I191" s="330">
        <f t="shared" si="11"/>
        <v>28.036903720543648</v>
      </c>
      <c r="J191" s="335"/>
      <c r="K191" s="329">
        <v>8</v>
      </c>
      <c r="L191" s="329">
        <v>39</v>
      </c>
      <c r="M191" s="330">
        <v>2.7869999999999999</v>
      </c>
      <c r="N191" s="330">
        <v>2.8</v>
      </c>
      <c r="O191" s="330">
        <v>0.34100000000000003</v>
      </c>
      <c r="P191" s="330">
        <v>3.6</v>
      </c>
      <c r="Q191" s="330">
        <v>1.9</v>
      </c>
      <c r="R191" s="330">
        <f t="shared" si="12"/>
        <v>2.8940232528771679</v>
      </c>
      <c r="S191" s="330">
        <f t="shared" si="13"/>
        <v>2.679976747122832</v>
      </c>
    </row>
    <row r="192" spans="1:19" x14ac:dyDescent="0.2">
      <c r="A192" s="324">
        <v>9</v>
      </c>
      <c r="B192" s="324">
        <v>56</v>
      </c>
      <c r="C192" s="326">
        <v>30.227</v>
      </c>
      <c r="D192" s="326">
        <v>30.5</v>
      </c>
      <c r="E192" s="326">
        <v>2.0449999999999999</v>
      </c>
      <c r="F192" s="326">
        <v>35.1</v>
      </c>
      <c r="G192" s="326">
        <v>25.5</v>
      </c>
      <c r="H192" s="326">
        <f t="shared" si="10"/>
        <v>30.762618254916688</v>
      </c>
      <c r="I192" s="326">
        <f t="shared" si="11"/>
        <v>29.691381745083312</v>
      </c>
      <c r="J192" s="335"/>
      <c r="K192" s="324">
        <v>9</v>
      </c>
      <c r="L192" s="324">
        <v>57</v>
      </c>
      <c r="M192" s="326">
        <v>2.8050000000000002</v>
      </c>
      <c r="N192" s="326">
        <v>2.7</v>
      </c>
      <c r="O192" s="326">
        <v>0.441</v>
      </c>
      <c r="P192" s="326">
        <v>4</v>
      </c>
      <c r="Q192" s="326">
        <v>1.9</v>
      </c>
      <c r="R192" s="326">
        <f t="shared" si="12"/>
        <v>2.9194872788152741</v>
      </c>
      <c r="S192" s="326">
        <f t="shared" si="13"/>
        <v>2.6905127211847262</v>
      </c>
    </row>
    <row r="193" spans="1:19" x14ac:dyDescent="0.2">
      <c r="A193" s="329">
        <v>10</v>
      </c>
      <c r="B193" s="329">
        <v>65</v>
      </c>
      <c r="C193" s="330">
        <v>31.283000000000001</v>
      </c>
      <c r="D193" s="330">
        <v>30.9</v>
      </c>
      <c r="E193" s="330">
        <v>1.8680000000000001</v>
      </c>
      <c r="F193" s="330">
        <v>35.700000000000003</v>
      </c>
      <c r="G193" s="330">
        <v>27.2</v>
      </c>
      <c r="H193" s="330">
        <f t="shared" si="10"/>
        <v>31.737125893056778</v>
      </c>
      <c r="I193" s="330">
        <f t="shared" si="11"/>
        <v>30.828874106943225</v>
      </c>
      <c r="J193" s="335"/>
      <c r="K193" s="329">
        <v>10</v>
      </c>
      <c r="L193" s="329">
        <v>66</v>
      </c>
      <c r="M193" s="330">
        <v>2.823</v>
      </c>
      <c r="N193" s="330">
        <v>2.9</v>
      </c>
      <c r="O193" s="330">
        <v>0.40500000000000003</v>
      </c>
      <c r="P193" s="330">
        <v>3.6</v>
      </c>
      <c r="Q193" s="330">
        <v>1.9</v>
      </c>
      <c r="R193" s="330">
        <f t="shared" si="12"/>
        <v>2.9207100255393943</v>
      </c>
      <c r="S193" s="330">
        <f t="shared" si="13"/>
        <v>2.7252899744606056</v>
      </c>
    </row>
    <row r="194" spans="1:19" x14ac:dyDescent="0.2">
      <c r="A194" s="324">
        <v>11</v>
      </c>
      <c r="B194" s="324">
        <v>53</v>
      </c>
      <c r="C194" s="326">
        <v>33</v>
      </c>
      <c r="D194" s="326">
        <v>33.1</v>
      </c>
      <c r="E194" s="326">
        <v>2.1339999999999999</v>
      </c>
      <c r="F194" s="326">
        <v>36.6</v>
      </c>
      <c r="G194" s="326">
        <v>29</v>
      </c>
      <c r="H194" s="326">
        <f t="shared" si="10"/>
        <v>33.574529789194344</v>
      </c>
      <c r="I194" s="326">
        <f t="shared" si="11"/>
        <v>32.425470210805656</v>
      </c>
      <c r="J194" s="335"/>
      <c r="K194" s="324">
        <v>11</v>
      </c>
      <c r="L194" s="324">
        <v>55</v>
      </c>
      <c r="M194" s="326">
        <v>2.8359999999999999</v>
      </c>
      <c r="N194" s="326">
        <v>2.8</v>
      </c>
      <c r="O194" s="326">
        <v>0.41099999999999998</v>
      </c>
      <c r="P194" s="326">
        <v>4.0999999999999996</v>
      </c>
      <c r="Q194" s="326">
        <v>1.9</v>
      </c>
      <c r="R194" s="326">
        <f t="shared" si="12"/>
        <v>2.9446216882411775</v>
      </c>
      <c r="S194" s="326">
        <f t="shared" si="13"/>
        <v>2.7273783117588222</v>
      </c>
    </row>
    <row r="195" spans="1:19" x14ac:dyDescent="0.2">
      <c r="A195" s="329">
        <v>12</v>
      </c>
      <c r="B195" s="329">
        <v>34</v>
      </c>
      <c r="C195" s="330">
        <v>34.784999999999997</v>
      </c>
      <c r="D195" s="330">
        <v>34.549999999999997</v>
      </c>
      <c r="E195" s="330">
        <v>2.431</v>
      </c>
      <c r="F195" s="330">
        <v>39.799999999999997</v>
      </c>
      <c r="G195" s="330">
        <v>30.5</v>
      </c>
      <c r="H195" s="330">
        <f t="shared" si="10"/>
        <v>35.602149598543619</v>
      </c>
      <c r="I195" s="330">
        <f t="shared" si="11"/>
        <v>33.967850401456374</v>
      </c>
      <c r="J195" s="335"/>
      <c r="K195" s="329">
        <v>12</v>
      </c>
      <c r="L195" s="329">
        <v>35</v>
      </c>
      <c r="M195" s="330">
        <v>3.0230000000000001</v>
      </c>
      <c r="N195" s="330">
        <v>3</v>
      </c>
      <c r="O195" s="330">
        <v>0.35899999999999999</v>
      </c>
      <c r="P195" s="330">
        <v>3.6</v>
      </c>
      <c r="Q195" s="330">
        <v>2.2999999999999998</v>
      </c>
      <c r="R195" s="330">
        <f t="shared" si="12"/>
        <v>3.1419368679594348</v>
      </c>
      <c r="S195" s="330">
        <f t="shared" si="13"/>
        <v>2.9040631320405654</v>
      </c>
    </row>
    <row r="196" spans="1:19" x14ac:dyDescent="0.2">
      <c r="A196" s="324">
        <v>13</v>
      </c>
      <c r="B196" s="324">
        <v>62</v>
      </c>
      <c r="C196" s="326">
        <v>36.933999999999997</v>
      </c>
      <c r="D196" s="326">
        <v>37.299999999999997</v>
      </c>
      <c r="E196" s="326">
        <v>2.181</v>
      </c>
      <c r="F196" s="326">
        <v>42</v>
      </c>
      <c r="G196" s="326">
        <v>30.8</v>
      </c>
      <c r="H196" s="326">
        <f t="shared" si="10"/>
        <v>37.476895062895331</v>
      </c>
      <c r="I196" s="326">
        <f t="shared" si="11"/>
        <v>36.391104937104664</v>
      </c>
      <c r="J196" s="335"/>
      <c r="K196" s="324">
        <v>13</v>
      </c>
      <c r="L196" s="324">
        <v>64</v>
      </c>
      <c r="M196" s="326">
        <v>3.0590000000000002</v>
      </c>
      <c r="N196" s="326">
        <v>3</v>
      </c>
      <c r="O196" s="326">
        <v>0.42699999999999999</v>
      </c>
      <c r="P196" s="326">
        <v>4.0999999999999996</v>
      </c>
      <c r="Q196" s="326">
        <v>2.2000000000000002</v>
      </c>
      <c r="R196" s="326">
        <f t="shared" si="12"/>
        <v>3.1636150000000001</v>
      </c>
      <c r="S196" s="326">
        <f t="shared" si="13"/>
        <v>2.9543850000000003</v>
      </c>
    </row>
    <row r="197" spans="1:19" x14ac:dyDescent="0.2">
      <c r="A197" s="329">
        <v>14</v>
      </c>
      <c r="B197" s="329">
        <v>87</v>
      </c>
      <c r="C197" s="330">
        <v>37.476999999999997</v>
      </c>
      <c r="D197" s="330">
        <v>37.5</v>
      </c>
      <c r="E197" s="330">
        <v>2.2989999999999999</v>
      </c>
      <c r="F197" s="330">
        <v>43.3</v>
      </c>
      <c r="G197" s="330">
        <v>32.5</v>
      </c>
      <c r="H197" s="330">
        <f t="shared" si="10"/>
        <v>37.960098196648048</v>
      </c>
      <c r="I197" s="330">
        <f t="shared" si="11"/>
        <v>36.993901803351946</v>
      </c>
      <c r="J197" s="335"/>
      <c r="K197" s="329">
        <v>14</v>
      </c>
      <c r="L197" s="329">
        <v>87</v>
      </c>
      <c r="M197" s="330">
        <v>3.3380000000000001</v>
      </c>
      <c r="N197" s="330">
        <v>3.3</v>
      </c>
      <c r="O197" s="330">
        <v>0.57599999999999996</v>
      </c>
      <c r="P197" s="330">
        <v>4.7</v>
      </c>
      <c r="Q197" s="330">
        <v>2.2000000000000002</v>
      </c>
      <c r="R197" s="330">
        <f t="shared" si="12"/>
        <v>3.4590372167330479</v>
      </c>
      <c r="S197" s="330">
        <f t="shared" si="13"/>
        <v>3.2169627832669523</v>
      </c>
    </row>
    <row r="198" spans="1:19" x14ac:dyDescent="0.2">
      <c r="A198" s="324">
        <v>15</v>
      </c>
      <c r="B198" s="324">
        <v>70</v>
      </c>
      <c r="C198" s="326">
        <v>38.820999999999998</v>
      </c>
      <c r="D198" s="326">
        <v>38.85</v>
      </c>
      <c r="E198" s="326">
        <v>1.9750000000000001</v>
      </c>
      <c r="F198" s="326">
        <v>43.5</v>
      </c>
      <c r="G198" s="326">
        <v>33.9</v>
      </c>
      <c r="H198" s="326">
        <f t="shared" si="10"/>
        <v>39.283672994673339</v>
      </c>
      <c r="I198" s="326">
        <f t="shared" si="11"/>
        <v>38.358327005326657</v>
      </c>
      <c r="J198" s="335"/>
      <c r="K198" s="324">
        <v>15</v>
      </c>
      <c r="L198" s="324">
        <v>70</v>
      </c>
      <c r="M198" s="326">
        <v>3.496</v>
      </c>
      <c r="N198" s="326">
        <v>3.5</v>
      </c>
      <c r="O198" s="326">
        <v>0.49099999999999999</v>
      </c>
      <c r="P198" s="326">
        <v>4.5</v>
      </c>
      <c r="Q198" s="326">
        <v>2.1</v>
      </c>
      <c r="R198" s="326">
        <f t="shared" si="12"/>
        <v>3.6110240204479047</v>
      </c>
      <c r="S198" s="326">
        <f t="shared" si="13"/>
        <v>3.3809759795520953</v>
      </c>
    </row>
    <row r="199" spans="1:19" x14ac:dyDescent="0.2">
      <c r="A199" s="329">
        <v>16</v>
      </c>
      <c r="B199" s="329">
        <v>38</v>
      </c>
      <c r="C199" s="330">
        <v>38.354999999999997</v>
      </c>
      <c r="D199" s="330">
        <v>38.299999999999997</v>
      </c>
      <c r="E199" s="330">
        <v>1.946</v>
      </c>
      <c r="F199" s="330">
        <v>41.5</v>
      </c>
      <c r="G199" s="330">
        <v>34.6</v>
      </c>
      <c r="H199" s="330">
        <f t="shared" si="10"/>
        <v>38.973738455620108</v>
      </c>
      <c r="I199" s="330">
        <f t="shared" si="11"/>
        <v>37.736261544379886</v>
      </c>
      <c r="J199" s="335"/>
      <c r="K199" s="329">
        <v>16</v>
      </c>
      <c r="L199" s="329">
        <v>38</v>
      </c>
      <c r="M199" s="330">
        <v>3.6709999999999998</v>
      </c>
      <c r="N199" s="330">
        <v>3.7</v>
      </c>
      <c r="O199" s="330">
        <v>0.48799999999999999</v>
      </c>
      <c r="P199" s="330">
        <v>4.8</v>
      </c>
      <c r="Q199" s="330">
        <v>2.8</v>
      </c>
      <c r="R199" s="330">
        <f t="shared" si="12"/>
        <v>3.8261615448831514</v>
      </c>
      <c r="S199" s="330">
        <f t="shared" si="13"/>
        <v>3.5158384551168482</v>
      </c>
    </row>
    <row r="200" spans="1:19" x14ac:dyDescent="0.2">
      <c r="A200" s="324">
        <v>17</v>
      </c>
      <c r="B200" s="324">
        <v>30</v>
      </c>
      <c r="C200" s="326">
        <v>38.909999999999997</v>
      </c>
      <c r="D200" s="326">
        <v>38.9</v>
      </c>
      <c r="E200" s="326">
        <v>2.1869999999999998</v>
      </c>
      <c r="F200" s="326">
        <v>43.1</v>
      </c>
      <c r="G200" s="326">
        <v>34</v>
      </c>
      <c r="H200" s="326">
        <f t="shared" si="10"/>
        <v>39.692607899065678</v>
      </c>
      <c r="I200" s="326">
        <f t="shared" si="11"/>
        <v>38.127392100934316</v>
      </c>
      <c r="J200" s="335"/>
      <c r="K200" s="324">
        <v>17</v>
      </c>
      <c r="L200" s="324">
        <v>30</v>
      </c>
      <c r="M200" s="326">
        <v>3.73</v>
      </c>
      <c r="N200" s="326">
        <v>3.75</v>
      </c>
      <c r="O200" s="326">
        <v>0.35499999999999998</v>
      </c>
      <c r="P200" s="326">
        <v>4.4000000000000004</v>
      </c>
      <c r="Q200" s="326">
        <v>3</v>
      </c>
      <c r="R200" s="326">
        <f t="shared" si="12"/>
        <v>3.8570351185040317</v>
      </c>
      <c r="S200" s="326">
        <f t="shared" si="13"/>
        <v>3.6029648814959683</v>
      </c>
    </row>
    <row r="201" spans="1:19" x14ac:dyDescent="0.2">
      <c r="A201" s="329">
        <v>18</v>
      </c>
      <c r="B201" s="329">
        <v>21</v>
      </c>
      <c r="C201" s="330">
        <v>39.314</v>
      </c>
      <c r="D201" s="330">
        <v>39.1</v>
      </c>
      <c r="E201" s="330">
        <v>1.726</v>
      </c>
      <c r="F201" s="330">
        <v>42.4</v>
      </c>
      <c r="G201" s="330">
        <v>34.6</v>
      </c>
      <c r="H201" s="330">
        <f t="shared" si="10"/>
        <v>40.052222393952754</v>
      </c>
      <c r="I201" s="330">
        <f t="shared" si="11"/>
        <v>38.575777606047247</v>
      </c>
      <c r="J201" s="335"/>
      <c r="K201" s="329">
        <v>18</v>
      </c>
      <c r="L201" s="329">
        <v>21</v>
      </c>
      <c r="M201" s="330">
        <v>3.8290000000000002</v>
      </c>
      <c r="N201" s="330">
        <v>3.8</v>
      </c>
      <c r="O201" s="330">
        <v>0.54700000000000004</v>
      </c>
      <c r="P201" s="330">
        <v>5.2</v>
      </c>
      <c r="Q201" s="330">
        <v>2.9</v>
      </c>
      <c r="R201" s="330">
        <f t="shared" si="12"/>
        <v>4.0629557644798124</v>
      </c>
      <c r="S201" s="330">
        <f t="shared" si="13"/>
        <v>3.5950442355201879</v>
      </c>
    </row>
    <row r="202" spans="1:19" x14ac:dyDescent="0.2">
      <c r="A202" s="332">
        <v>19</v>
      </c>
      <c r="B202" s="332">
        <v>7</v>
      </c>
      <c r="C202" s="333">
        <v>38.329000000000001</v>
      </c>
      <c r="D202" s="333">
        <v>38.1</v>
      </c>
      <c r="E202" s="333">
        <v>2.492</v>
      </c>
      <c r="F202" s="333">
        <v>42.4</v>
      </c>
      <c r="G202" s="333">
        <v>35.700000000000003</v>
      </c>
      <c r="H202" s="333">
        <f t="shared" si="10"/>
        <v>40.17509943480843</v>
      </c>
      <c r="I202" s="333">
        <f t="shared" si="11"/>
        <v>36.482900565191571</v>
      </c>
      <c r="J202" s="335"/>
      <c r="K202" s="332">
        <v>19</v>
      </c>
      <c r="L202" s="332">
        <v>7</v>
      </c>
      <c r="M202" s="333">
        <v>3.7</v>
      </c>
      <c r="N202" s="333">
        <v>3.6</v>
      </c>
      <c r="O202" s="333">
        <v>0.38700000000000001</v>
      </c>
      <c r="P202" s="333">
        <v>4.2</v>
      </c>
      <c r="Q202" s="333">
        <v>3</v>
      </c>
      <c r="R202" s="333">
        <f t="shared" si="12"/>
        <v>3.9866936120669592</v>
      </c>
      <c r="S202" s="333">
        <f t="shared" si="13"/>
        <v>3.4133063879330412</v>
      </c>
    </row>
    <row r="203" spans="1:19" x14ac:dyDescent="0.2">
      <c r="A203" s="332"/>
      <c r="B203" s="332"/>
      <c r="C203" s="333"/>
      <c r="D203" s="333"/>
      <c r="E203" s="333"/>
      <c r="F203" s="333"/>
      <c r="G203" s="333"/>
      <c r="H203" s="333"/>
      <c r="I203" s="333"/>
      <c r="J203" s="335"/>
      <c r="K203" s="324"/>
      <c r="L203" s="324"/>
      <c r="M203" s="324"/>
      <c r="N203" s="324"/>
      <c r="O203" s="324"/>
      <c r="P203" s="324"/>
      <c r="Q203" s="324"/>
      <c r="R203" s="326"/>
      <c r="S203" s="326"/>
    </row>
    <row r="204" spans="1:19" x14ac:dyDescent="0.2">
      <c r="A204" s="332"/>
      <c r="B204" s="332"/>
      <c r="C204" s="333"/>
      <c r="D204" s="333"/>
      <c r="E204" s="333"/>
      <c r="F204" s="333"/>
      <c r="G204" s="333"/>
      <c r="H204" s="333"/>
      <c r="I204" s="333"/>
      <c r="J204" s="335"/>
      <c r="K204" s="324"/>
      <c r="L204" s="324"/>
      <c r="M204" s="324"/>
      <c r="N204" s="324"/>
      <c r="O204" s="324"/>
      <c r="P204" s="324"/>
      <c r="Q204" s="324"/>
      <c r="R204" s="326"/>
      <c r="S204" s="326"/>
    </row>
    <row r="205" spans="1:19" x14ac:dyDescent="0.2">
      <c r="A205" s="800" t="s">
        <v>671</v>
      </c>
      <c r="B205" s="800"/>
      <c r="C205" s="800"/>
      <c r="D205" s="800"/>
      <c r="E205" s="800"/>
      <c r="F205" s="800"/>
      <c r="G205" s="800"/>
      <c r="H205" s="800"/>
      <c r="I205" s="801"/>
      <c r="J205" s="335"/>
      <c r="K205" s="800" t="s">
        <v>672</v>
      </c>
      <c r="L205" s="800"/>
      <c r="M205" s="800"/>
      <c r="N205" s="800"/>
      <c r="O205" s="800"/>
      <c r="P205" s="800"/>
      <c r="Q205" s="800"/>
      <c r="R205" s="800"/>
      <c r="S205" s="801"/>
    </row>
    <row r="206" spans="1:19" x14ac:dyDescent="0.2">
      <c r="A206" s="332" t="s">
        <v>504</v>
      </c>
      <c r="B206" s="332" t="s">
        <v>641</v>
      </c>
      <c r="C206" s="333" t="s">
        <v>642</v>
      </c>
      <c r="D206" s="333" t="s">
        <v>643</v>
      </c>
      <c r="E206" s="333" t="s">
        <v>644</v>
      </c>
      <c r="F206" s="333" t="s">
        <v>645</v>
      </c>
      <c r="G206" s="333" t="s">
        <v>646</v>
      </c>
      <c r="H206" s="333" t="s">
        <v>647</v>
      </c>
      <c r="I206" s="333" t="s">
        <v>648</v>
      </c>
      <c r="J206" s="335"/>
      <c r="K206" s="332" t="s">
        <v>504</v>
      </c>
      <c r="L206" s="332" t="s">
        <v>641</v>
      </c>
      <c r="M206" s="333" t="s">
        <v>642</v>
      </c>
      <c r="N206" s="333" t="s">
        <v>643</v>
      </c>
      <c r="O206" s="333" t="s">
        <v>644</v>
      </c>
      <c r="P206" s="333" t="s">
        <v>645</v>
      </c>
      <c r="Q206" s="333" t="s">
        <v>646</v>
      </c>
      <c r="R206" s="333" t="s">
        <v>647</v>
      </c>
      <c r="S206" s="333" t="s">
        <v>648</v>
      </c>
    </row>
    <row r="207" spans="1:19" x14ac:dyDescent="0.2">
      <c r="A207" s="324">
        <v>7</v>
      </c>
      <c r="B207" s="324">
        <v>14</v>
      </c>
      <c r="C207" s="326">
        <v>20.643000000000001</v>
      </c>
      <c r="D207" s="326">
        <v>20.75</v>
      </c>
      <c r="E207" s="326">
        <v>0.83299999999999996</v>
      </c>
      <c r="F207" s="326">
        <v>21.9</v>
      </c>
      <c r="G207" s="326">
        <v>19.3</v>
      </c>
      <c r="H207" s="326">
        <f t="shared" ref="H207:H270" si="14">C207+(1.96*E207)/(B207)^0.5</f>
        <v>21.079352084445578</v>
      </c>
      <c r="I207" s="326">
        <f t="shared" ref="I207:I270" si="15">C207-(1.96*E207)/(B207)^0.5</f>
        <v>20.206647915554424</v>
      </c>
      <c r="J207" s="335"/>
      <c r="K207" s="324">
        <v>7</v>
      </c>
      <c r="L207" s="324">
        <v>14</v>
      </c>
      <c r="M207" s="326">
        <v>8.9290000000000003</v>
      </c>
      <c r="N207" s="326">
        <v>7.9</v>
      </c>
      <c r="O207" s="326">
        <v>2.7829999999999999</v>
      </c>
      <c r="P207" s="326">
        <v>14.4</v>
      </c>
      <c r="Q207" s="326">
        <v>6</v>
      </c>
      <c r="R207" s="326">
        <f t="shared" ref="R207:R270" si="16">M207+(1.96*O207)/(L207)^0.5</f>
        <v>10.386824551034863</v>
      </c>
      <c r="S207" s="326">
        <f t="shared" ref="S207:S270" si="17">M207-(1.96*O207)/(L207)^0.5</f>
        <v>7.4711754489651376</v>
      </c>
    </row>
    <row r="208" spans="1:19" x14ac:dyDescent="0.2">
      <c r="A208" s="329">
        <v>8</v>
      </c>
      <c r="B208" s="329">
        <v>39</v>
      </c>
      <c r="C208" s="330">
        <v>20.492000000000001</v>
      </c>
      <c r="D208" s="330">
        <v>20.3</v>
      </c>
      <c r="E208" s="330">
        <v>1.022</v>
      </c>
      <c r="F208" s="330">
        <v>22.8</v>
      </c>
      <c r="G208" s="330">
        <v>18.399999999999999</v>
      </c>
      <c r="H208" s="330">
        <f t="shared" si="14"/>
        <v>20.812755907450047</v>
      </c>
      <c r="I208" s="330">
        <f t="shared" si="15"/>
        <v>20.171244092549955</v>
      </c>
      <c r="J208" s="335"/>
      <c r="K208" s="329">
        <v>8</v>
      </c>
      <c r="L208" s="329">
        <v>39</v>
      </c>
      <c r="M208" s="330">
        <v>9.9079999999999995</v>
      </c>
      <c r="N208" s="330">
        <v>8.6</v>
      </c>
      <c r="O208" s="330">
        <v>4.05</v>
      </c>
      <c r="P208" s="330">
        <v>19.899999999999999</v>
      </c>
      <c r="Q208" s="330">
        <v>5</v>
      </c>
      <c r="R208" s="330">
        <f t="shared" si="16"/>
        <v>11.179097284904781</v>
      </c>
      <c r="S208" s="330">
        <f t="shared" si="17"/>
        <v>8.6369027150952178</v>
      </c>
    </row>
    <row r="209" spans="1:19" x14ac:dyDescent="0.2">
      <c r="A209" s="324">
        <v>9</v>
      </c>
      <c r="B209" s="324">
        <v>56</v>
      </c>
      <c r="C209" s="326">
        <v>21.181999999999999</v>
      </c>
      <c r="D209" s="326">
        <v>20.85</v>
      </c>
      <c r="E209" s="326">
        <v>1.1040000000000001</v>
      </c>
      <c r="F209" s="326">
        <v>23.6</v>
      </c>
      <c r="G209" s="326">
        <v>18.5</v>
      </c>
      <c r="H209" s="326">
        <f t="shared" si="14"/>
        <v>21.471155282849889</v>
      </c>
      <c r="I209" s="326">
        <f t="shared" si="15"/>
        <v>20.892844717150108</v>
      </c>
      <c r="J209" s="335"/>
      <c r="K209" s="324">
        <v>9</v>
      </c>
      <c r="L209" s="324">
        <v>57</v>
      </c>
      <c r="M209" s="326">
        <v>9.6329999999999991</v>
      </c>
      <c r="N209" s="326">
        <v>8.3000000000000007</v>
      </c>
      <c r="O209" s="326">
        <v>3.7370000000000001</v>
      </c>
      <c r="P209" s="326">
        <v>23.6</v>
      </c>
      <c r="Q209" s="326">
        <v>5.5</v>
      </c>
      <c r="R209" s="326">
        <f t="shared" si="16"/>
        <v>10.603156373997004</v>
      </c>
      <c r="S209" s="326">
        <f t="shared" si="17"/>
        <v>8.662843626002994</v>
      </c>
    </row>
    <row r="210" spans="1:19" x14ac:dyDescent="0.2">
      <c r="A210" s="329">
        <v>10</v>
      </c>
      <c r="B210" s="329">
        <v>64</v>
      </c>
      <c r="C210" s="330">
        <v>21.914000000000001</v>
      </c>
      <c r="D210" s="330">
        <v>22.05</v>
      </c>
      <c r="E210" s="330">
        <v>1.276</v>
      </c>
      <c r="F210" s="330">
        <v>25.3</v>
      </c>
      <c r="G210" s="330">
        <v>19.2</v>
      </c>
      <c r="H210" s="330">
        <f t="shared" si="14"/>
        <v>22.22662</v>
      </c>
      <c r="I210" s="330">
        <f t="shared" si="15"/>
        <v>21.601380000000002</v>
      </c>
      <c r="J210" s="335"/>
      <c r="K210" s="329">
        <v>10</v>
      </c>
      <c r="L210" s="329">
        <v>66</v>
      </c>
      <c r="M210" s="330">
        <v>11.661</v>
      </c>
      <c r="N210" s="330">
        <v>10.95</v>
      </c>
      <c r="O210" s="330">
        <v>4.6859999999999999</v>
      </c>
      <c r="P210" s="330">
        <v>26.1</v>
      </c>
      <c r="Q210" s="330">
        <v>5</v>
      </c>
      <c r="R210" s="330">
        <f t="shared" si="16"/>
        <v>12.791541184389139</v>
      </c>
      <c r="S210" s="330">
        <f t="shared" si="17"/>
        <v>10.53045881561086</v>
      </c>
    </row>
    <row r="211" spans="1:19" x14ac:dyDescent="0.2">
      <c r="A211" s="324">
        <v>11</v>
      </c>
      <c r="B211" s="324">
        <v>51</v>
      </c>
      <c r="C211" s="326">
        <v>22.946999999999999</v>
      </c>
      <c r="D211" s="326">
        <v>23.1</v>
      </c>
      <c r="E211" s="326">
        <v>1.4570000000000001</v>
      </c>
      <c r="F211" s="326">
        <v>26.2</v>
      </c>
      <c r="G211" s="326">
        <v>19.600000000000001</v>
      </c>
      <c r="H211" s="326">
        <f t="shared" si="14"/>
        <v>23.346880784156046</v>
      </c>
      <c r="I211" s="326">
        <f t="shared" si="15"/>
        <v>22.547119215843953</v>
      </c>
      <c r="J211" s="335"/>
      <c r="K211" s="324">
        <v>11</v>
      </c>
      <c r="L211" s="324">
        <v>55</v>
      </c>
      <c r="M211" s="326">
        <v>12.827</v>
      </c>
      <c r="N211" s="326">
        <v>11.7</v>
      </c>
      <c r="O211" s="326">
        <v>5.43</v>
      </c>
      <c r="P211" s="326">
        <v>35.1</v>
      </c>
      <c r="Q211" s="326">
        <v>6.4</v>
      </c>
      <c r="R211" s="326">
        <f t="shared" si="16"/>
        <v>14.262074859244759</v>
      </c>
      <c r="S211" s="326">
        <f t="shared" si="17"/>
        <v>11.391925140755241</v>
      </c>
    </row>
    <row r="212" spans="1:19" x14ac:dyDescent="0.2">
      <c r="A212" s="329">
        <v>12</v>
      </c>
      <c r="B212" s="329">
        <v>34</v>
      </c>
      <c r="C212" s="330">
        <v>23.914999999999999</v>
      </c>
      <c r="D212" s="330">
        <v>23.85</v>
      </c>
      <c r="E212" s="330">
        <v>1.325</v>
      </c>
      <c r="F212" s="330">
        <v>26.7</v>
      </c>
      <c r="G212" s="330">
        <v>21</v>
      </c>
      <c r="H212" s="330">
        <f t="shared" si="14"/>
        <v>24.360381825615093</v>
      </c>
      <c r="I212" s="330">
        <f t="shared" si="15"/>
        <v>23.469618174384905</v>
      </c>
      <c r="J212" s="335"/>
      <c r="K212" s="329">
        <v>12</v>
      </c>
      <c r="L212" s="329">
        <v>35</v>
      </c>
      <c r="M212" s="330">
        <v>15.726000000000001</v>
      </c>
      <c r="N212" s="330">
        <v>13.4</v>
      </c>
      <c r="O212" s="330">
        <v>6.516</v>
      </c>
      <c r="P212" s="330">
        <v>38.799999999999997</v>
      </c>
      <c r="Q212" s="330">
        <v>8.6999999999999993</v>
      </c>
      <c r="R212" s="330">
        <f t="shared" si="16"/>
        <v>17.884753848533919</v>
      </c>
      <c r="S212" s="330">
        <f t="shared" si="17"/>
        <v>13.567246151466083</v>
      </c>
    </row>
    <row r="213" spans="1:19" x14ac:dyDescent="0.2">
      <c r="A213" s="324">
        <v>13</v>
      </c>
      <c r="B213" s="324">
        <v>62</v>
      </c>
      <c r="C213" s="326">
        <v>25.26</v>
      </c>
      <c r="D213" s="326">
        <v>25.4</v>
      </c>
      <c r="E213" s="326">
        <v>1.3120000000000001</v>
      </c>
      <c r="F213" s="326">
        <v>28.4</v>
      </c>
      <c r="G213" s="326">
        <v>22.2</v>
      </c>
      <c r="H213" s="326">
        <f t="shared" si="14"/>
        <v>25.586583366583532</v>
      </c>
      <c r="I213" s="326">
        <f t="shared" si="15"/>
        <v>24.933416633416471</v>
      </c>
      <c r="J213" s="335"/>
      <c r="K213" s="324">
        <v>13</v>
      </c>
      <c r="L213" s="324">
        <v>64</v>
      </c>
      <c r="M213" s="326">
        <v>15.406000000000001</v>
      </c>
      <c r="N213" s="326">
        <v>14.45</v>
      </c>
      <c r="O213" s="326">
        <v>4.2030000000000003</v>
      </c>
      <c r="P213" s="326">
        <v>29.4</v>
      </c>
      <c r="Q213" s="326">
        <v>9.4</v>
      </c>
      <c r="R213" s="326">
        <f t="shared" si="16"/>
        <v>16.435735000000001</v>
      </c>
      <c r="S213" s="326">
        <f t="shared" si="17"/>
        <v>14.376265</v>
      </c>
    </row>
    <row r="214" spans="1:19" x14ac:dyDescent="0.2">
      <c r="A214" s="329">
        <v>14</v>
      </c>
      <c r="B214" s="329">
        <v>87</v>
      </c>
      <c r="C214" s="330">
        <v>25.61</v>
      </c>
      <c r="D214" s="330">
        <v>25.6</v>
      </c>
      <c r="E214" s="330">
        <v>1.33</v>
      </c>
      <c r="F214" s="330">
        <v>28.7</v>
      </c>
      <c r="G214" s="330">
        <v>21.2</v>
      </c>
      <c r="H214" s="330">
        <f t="shared" si="14"/>
        <v>25.889478295581515</v>
      </c>
      <c r="I214" s="330">
        <f t="shared" si="15"/>
        <v>25.330521704418484</v>
      </c>
      <c r="J214" s="335"/>
      <c r="K214" s="329">
        <v>14</v>
      </c>
      <c r="L214" s="329">
        <v>87</v>
      </c>
      <c r="M214" s="330">
        <v>17.100999999999999</v>
      </c>
      <c r="N214" s="330">
        <v>15.1</v>
      </c>
      <c r="O214" s="330">
        <v>6.6920000000000002</v>
      </c>
      <c r="P214" s="330">
        <v>49.2</v>
      </c>
      <c r="Q214" s="330">
        <v>9.3000000000000007</v>
      </c>
      <c r="R214" s="330">
        <f t="shared" si="16"/>
        <v>18.507217108294366</v>
      </c>
      <c r="S214" s="330">
        <f t="shared" si="17"/>
        <v>15.694782891705632</v>
      </c>
    </row>
    <row r="215" spans="1:19" x14ac:dyDescent="0.2">
      <c r="A215" s="324">
        <v>15</v>
      </c>
      <c r="B215" s="324">
        <v>68</v>
      </c>
      <c r="C215" s="326">
        <v>25.827999999999999</v>
      </c>
      <c r="D215" s="326">
        <v>25.9</v>
      </c>
      <c r="E215" s="326">
        <v>1.262</v>
      </c>
      <c r="F215" s="326">
        <v>28.9</v>
      </c>
      <c r="G215" s="326">
        <v>22.4</v>
      </c>
      <c r="H215" s="326">
        <f t="shared" si="14"/>
        <v>26.127958359619935</v>
      </c>
      <c r="I215" s="326">
        <f t="shared" si="15"/>
        <v>25.528041640380064</v>
      </c>
      <c r="J215" s="335"/>
      <c r="K215" s="324">
        <v>15</v>
      </c>
      <c r="L215" s="324">
        <v>70</v>
      </c>
      <c r="M215" s="326">
        <v>18.324000000000002</v>
      </c>
      <c r="N215" s="326">
        <v>16.55</v>
      </c>
      <c r="O215" s="326">
        <v>6.6929999999999996</v>
      </c>
      <c r="P215" s="326">
        <v>46.5</v>
      </c>
      <c r="Q215" s="326">
        <v>11</v>
      </c>
      <c r="R215" s="326">
        <f t="shared" si="16"/>
        <v>19.891934356125919</v>
      </c>
      <c r="S215" s="326">
        <f t="shared" si="17"/>
        <v>16.756065643874084</v>
      </c>
    </row>
    <row r="216" spans="1:19" x14ac:dyDescent="0.2">
      <c r="A216" s="329">
        <v>16</v>
      </c>
      <c r="B216" s="329">
        <v>37</v>
      </c>
      <c r="C216" s="330">
        <v>25.867999999999999</v>
      </c>
      <c r="D216" s="330">
        <v>25.8</v>
      </c>
      <c r="E216" s="330">
        <v>0.92800000000000005</v>
      </c>
      <c r="F216" s="330">
        <v>28.6</v>
      </c>
      <c r="G216" s="330">
        <v>24.3</v>
      </c>
      <c r="H216" s="330">
        <f t="shared" si="14"/>
        <v>26.167022030029965</v>
      </c>
      <c r="I216" s="330">
        <f t="shared" si="15"/>
        <v>25.568977969970032</v>
      </c>
      <c r="J216" s="335"/>
      <c r="K216" s="329">
        <v>16</v>
      </c>
      <c r="L216" s="329">
        <v>38</v>
      </c>
      <c r="M216" s="330">
        <v>18.931999999999999</v>
      </c>
      <c r="N216" s="330">
        <v>16.399999999999999</v>
      </c>
      <c r="O216" s="330">
        <v>7.9939999999999998</v>
      </c>
      <c r="P216" s="330">
        <v>51.5</v>
      </c>
      <c r="Q216" s="330">
        <v>11.1</v>
      </c>
      <c r="R216" s="330">
        <f t="shared" si="16"/>
        <v>21.473724159417856</v>
      </c>
      <c r="S216" s="330">
        <f t="shared" si="17"/>
        <v>16.390275840582142</v>
      </c>
    </row>
    <row r="217" spans="1:19" x14ac:dyDescent="0.2">
      <c r="A217" s="324">
        <v>17</v>
      </c>
      <c r="B217" s="324">
        <v>25</v>
      </c>
      <c r="C217" s="326">
        <v>26.48</v>
      </c>
      <c r="D217" s="326">
        <v>26.8</v>
      </c>
      <c r="E217" s="326">
        <v>1.4</v>
      </c>
      <c r="F217" s="326">
        <v>29</v>
      </c>
      <c r="G217" s="326">
        <v>23.4</v>
      </c>
      <c r="H217" s="326">
        <f t="shared" si="14"/>
        <v>27.0288</v>
      </c>
      <c r="I217" s="326">
        <f t="shared" si="15"/>
        <v>25.9312</v>
      </c>
      <c r="J217" s="335"/>
      <c r="K217" s="324">
        <v>17</v>
      </c>
      <c r="L217" s="324">
        <v>30</v>
      </c>
      <c r="M217" s="326">
        <v>19.920000000000002</v>
      </c>
      <c r="N217" s="326">
        <v>17.2</v>
      </c>
      <c r="O217" s="326">
        <v>7.3739999999999997</v>
      </c>
      <c r="P217" s="326">
        <v>38.200000000000003</v>
      </c>
      <c r="Q217" s="326">
        <v>10.9</v>
      </c>
      <c r="R217" s="326">
        <f t="shared" si="16"/>
        <v>22.558752010841491</v>
      </c>
      <c r="S217" s="326">
        <f t="shared" si="17"/>
        <v>17.281247989158512</v>
      </c>
    </row>
    <row r="218" spans="1:19" x14ac:dyDescent="0.2">
      <c r="A218" s="329">
        <v>18</v>
      </c>
      <c r="B218" s="329">
        <v>21</v>
      </c>
      <c r="C218" s="330">
        <v>26.143000000000001</v>
      </c>
      <c r="D218" s="330">
        <v>26.1</v>
      </c>
      <c r="E218" s="330">
        <v>1.244</v>
      </c>
      <c r="F218" s="330">
        <v>28.4</v>
      </c>
      <c r="G218" s="330">
        <v>23.5</v>
      </c>
      <c r="H218" s="330">
        <f t="shared" si="14"/>
        <v>26.675067588689007</v>
      </c>
      <c r="I218" s="330">
        <f t="shared" si="15"/>
        <v>25.610932411310994</v>
      </c>
      <c r="J218" s="335"/>
      <c r="K218" s="329">
        <v>18</v>
      </c>
      <c r="L218" s="329">
        <v>21</v>
      </c>
      <c r="M218" s="330">
        <v>17.681000000000001</v>
      </c>
      <c r="N218" s="330">
        <v>17</v>
      </c>
      <c r="O218" s="330">
        <v>3.3370000000000002</v>
      </c>
      <c r="P218" s="330">
        <v>27.9</v>
      </c>
      <c r="Q218" s="330">
        <v>13.3</v>
      </c>
      <c r="R218" s="330">
        <f t="shared" si="16"/>
        <v>19.108258475446313</v>
      </c>
      <c r="S218" s="330">
        <f t="shared" si="17"/>
        <v>16.253741524553689</v>
      </c>
    </row>
    <row r="219" spans="1:19" x14ac:dyDescent="0.2">
      <c r="A219" s="332">
        <v>19</v>
      </c>
      <c r="B219" s="332">
        <v>7</v>
      </c>
      <c r="C219" s="333">
        <v>26.971</v>
      </c>
      <c r="D219" s="333">
        <v>27.3</v>
      </c>
      <c r="E219" s="333">
        <v>1.532</v>
      </c>
      <c r="F219" s="333">
        <v>28.8</v>
      </c>
      <c r="G219" s="333">
        <v>24.2</v>
      </c>
      <c r="H219" s="333">
        <f t="shared" si="14"/>
        <v>28.105921482394265</v>
      </c>
      <c r="I219" s="333">
        <f t="shared" si="15"/>
        <v>25.836078517605735</v>
      </c>
      <c r="J219" s="335"/>
      <c r="K219" s="332">
        <v>19</v>
      </c>
      <c r="L219" s="332">
        <v>7</v>
      </c>
      <c r="M219" s="333">
        <v>21.713999999999999</v>
      </c>
      <c r="N219" s="333">
        <v>21.1</v>
      </c>
      <c r="O219" s="333">
        <v>9.2010000000000005</v>
      </c>
      <c r="P219" s="333">
        <v>35.1</v>
      </c>
      <c r="Q219" s="333">
        <v>12.4</v>
      </c>
      <c r="R219" s="333">
        <f t="shared" si="16"/>
        <v>28.530196187669482</v>
      </c>
      <c r="S219" s="333">
        <f t="shared" si="17"/>
        <v>14.897803812330515</v>
      </c>
    </row>
    <row r="220" spans="1:19" x14ac:dyDescent="0.2">
      <c r="A220" s="332"/>
      <c r="B220" s="332"/>
      <c r="C220" s="333"/>
      <c r="D220" s="333"/>
      <c r="E220" s="333"/>
      <c r="F220" s="333"/>
      <c r="G220" s="333"/>
      <c r="H220" s="333"/>
      <c r="I220" s="333"/>
      <c r="J220" s="335"/>
      <c r="K220" s="324"/>
      <c r="L220" s="324"/>
      <c r="M220" s="324"/>
      <c r="N220" s="324"/>
      <c r="O220" s="324"/>
      <c r="P220" s="324"/>
      <c r="Q220" s="324"/>
      <c r="R220" s="326"/>
      <c r="S220" s="326"/>
    </row>
    <row r="221" spans="1:19" x14ac:dyDescent="0.2">
      <c r="A221" s="332"/>
      <c r="B221" s="332"/>
      <c r="C221" s="333"/>
      <c r="D221" s="333"/>
      <c r="E221" s="333"/>
      <c r="F221" s="333"/>
      <c r="G221" s="333"/>
      <c r="H221" s="333"/>
      <c r="I221" s="333"/>
      <c r="J221" s="335"/>
      <c r="K221" s="324"/>
      <c r="L221" s="324"/>
      <c r="M221" s="324"/>
      <c r="N221" s="324"/>
      <c r="O221" s="324"/>
      <c r="P221" s="324"/>
      <c r="Q221" s="324"/>
      <c r="R221" s="326"/>
      <c r="S221" s="326"/>
    </row>
    <row r="222" spans="1:19" x14ac:dyDescent="0.2">
      <c r="A222" s="800" t="s">
        <v>673</v>
      </c>
      <c r="B222" s="800"/>
      <c r="C222" s="800"/>
      <c r="D222" s="800"/>
      <c r="E222" s="800"/>
      <c r="F222" s="800"/>
      <c r="G222" s="800"/>
      <c r="H222" s="800"/>
      <c r="I222" s="801"/>
      <c r="J222" s="335"/>
      <c r="K222" s="800" t="s">
        <v>674</v>
      </c>
      <c r="L222" s="800"/>
      <c r="M222" s="800"/>
      <c r="N222" s="800"/>
      <c r="O222" s="800"/>
      <c r="P222" s="800"/>
      <c r="Q222" s="800"/>
      <c r="R222" s="800"/>
      <c r="S222" s="801"/>
    </row>
    <row r="223" spans="1:19" x14ac:dyDescent="0.2">
      <c r="A223" s="324" t="s">
        <v>504</v>
      </c>
      <c r="B223" s="324" t="s">
        <v>641</v>
      </c>
      <c r="C223" s="326" t="s">
        <v>642</v>
      </c>
      <c r="D223" s="326" t="s">
        <v>643</v>
      </c>
      <c r="E223" s="326" t="s">
        <v>644</v>
      </c>
      <c r="F223" s="326" t="s">
        <v>645</v>
      </c>
      <c r="G223" s="326" t="s">
        <v>646</v>
      </c>
      <c r="H223" s="326" t="s">
        <v>647</v>
      </c>
      <c r="I223" s="326" t="s">
        <v>648</v>
      </c>
      <c r="J223" s="335"/>
      <c r="K223" s="332" t="s">
        <v>504</v>
      </c>
      <c r="L223" s="332" t="s">
        <v>641</v>
      </c>
      <c r="M223" s="333" t="s">
        <v>642</v>
      </c>
      <c r="N223" s="333" t="s">
        <v>643</v>
      </c>
      <c r="O223" s="333" t="s">
        <v>644</v>
      </c>
      <c r="P223" s="333" t="s">
        <v>645</v>
      </c>
      <c r="Q223" s="333" t="s">
        <v>646</v>
      </c>
      <c r="R223" s="333" t="s">
        <v>647</v>
      </c>
      <c r="S223" s="333" t="s">
        <v>648</v>
      </c>
    </row>
    <row r="224" spans="1:19" x14ac:dyDescent="0.2">
      <c r="A224" s="329">
        <v>7</v>
      </c>
      <c r="B224" s="329">
        <v>14</v>
      </c>
      <c r="C224" s="330">
        <v>28.329000000000001</v>
      </c>
      <c r="D224" s="330">
        <v>28.25</v>
      </c>
      <c r="E224" s="330">
        <v>1.1120000000000001</v>
      </c>
      <c r="F224" s="330">
        <v>29.9</v>
      </c>
      <c r="G224" s="330">
        <v>26.3</v>
      </c>
      <c r="H224" s="330">
        <f t="shared" si="14"/>
        <v>28.911501221972969</v>
      </c>
      <c r="I224" s="330">
        <f t="shared" si="15"/>
        <v>27.746498778027032</v>
      </c>
      <c r="J224" s="335"/>
      <c r="K224" s="324">
        <v>7</v>
      </c>
      <c r="L224" s="324">
        <v>14</v>
      </c>
      <c r="M224" s="326">
        <v>10.721</v>
      </c>
      <c r="N224" s="326">
        <v>10.5</v>
      </c>
      <c r="O224" s="326">
        <v>1.7210000000000001</v>
      </c>
      <c r="P224" s="326">
        <v>14.5</v>
      </c>
      <c r="Q224" s="326">
        <v>8.4</v>
      </c>
      <c r="R224" s="326">
        <f t="shared" si="16"/>
        <v>11.622514930769313</v>
      </c>
      <c r="S224" s="326">
        <f t="shared" si="17"/>
        <v>9.8194850692306872</v>
      </c>
    </row>
    <row r="225" spans="1:19" x14ac:dyDescent="0.2">
      <c r="A225" s="324">
        <v>8</v>
      </c>
      <c r="B225" s="324">
        <v>39</v>
      </c>
      <c r="C225" s="326">
        <v>28.940999999999999</v>
      </c>
      <c r="D225" s="326">
        <v>28.9</v>
      </c>
      <c r="E225" s="326">
        <v>1.657</v>
      </c>
      <c r="F225" s="326">
        <v>33.5</v>
      </c>
      <c r="G225" s="326">
        <v>25.9</v>
      </c>
      <c r="H225" s="326">
        <f t="shared" si="14"/>
        <v>29.461051407675857</v>
      </c>
      <c r="I225" s="326">
        <f t="shared" si="15"/>
        <v>28.420948592324141</v>
      </c>
      <c r="J225" s="335"/>
      <c r="K225" s="329">
        <v>8</v>
      </c>
      <c r="L225" s="329">
        <v>39</v>
      </c>
      <c r="M225" s="330">
        <v>11.561999999999999</v>
      </c>
      <c r="N225" s="330">
        <v>10.5</v>
      </c>
      <c r="O225" s="330">
        <v>2.6360000000000001</v>
      </c>
      <c r="P225" s="330">
        <v>18.2</v>
      </c>
      <c r="Q225" s="330">
        <v>7.7</v>
      </c>
      <c r="R225" s="330">
        <f t="shared" si="16"/>
        <v>12.38931171432321</v>
      </c>
      <c r="S225" s="330">
        <f t="shared" si="17"/>
        <v>10.734688285676789</v>
      </c>
    </row>
    <row r="226" spans="1:19" x14ac:dyDescent="0.2">
      <c r="A226" s="329">
        <v>9</v>
      </c>
      <c r="B226" s="329">
        <v>57</v>
      </c>
      <c r="C226" s="330">
        <v>29.302</v>
      </c>
      <c r="D226" s="330">
        <v>29.2</v>
      </c>
      <c r="E226" s="330">
        <v>1.859</v>
      </c>
      <c r="F226" s="330">
        <v>35.4</v>
      </c>
      <c r="G226" s="330">
        <v>25.2</v>
      </c>
      <c r="H226" s="330">
        <f t="shared" si="14"/>
        <v>29.784611907749646</v>
      </c>
      <c r="I226" s="330">
        <f t="shared" si="15"/>
        <v>28.819388092250353</v>
      </c>
      <c r="J226" s="335"/>
      <c r="K226" s="324">
        <v>9</v>
      </c>
      <c r="L226" s="324">
        <v>57</v>
      </c>
      <c r="M226" s="326">
        <v>12.109</v>
      </c>
      <c r="N226" s="326">
        <v>11.6</v>
      </c>
      <c r="O226" s="326">
        <v>2.5369999999999999</v>
      </c>
      <c r="P226" s="326">
        <v>21.3</v>
      </c>
      <c r="Q226" s="326">
        <v>8.1</v>
      </c>
      <c r="R226" s="326">
        <f t="shared" si="16"/>
        <v>12.767626363615307</v>
      </c>
      <c r="S226" s="326">
        <f t="shared" si="17"/>
        <v>11.450373636384693</v>
      </c>
    </row>
    <row r="227" spans="1:19" x14ac:dyDescent="0.2">
      <c r="A227" s="324">
        <v>10</v>
      </c>
      <c r="B227" s="324">
        <v>66</v>
      </c>
      <c r="C227" s="326">
        <v>30.306000000000001</v>
      </c>
      <c r="D227" s="326">
        <v>29.95</v>
      </c>
      <c r="E227" s="326">
        <v>2.0270000000000001</v>
      </c>
      <c r="F227" s="326">
        <v>35.1</v>
      </c>
      <c r="G227" s="326">
        <v>25.9</v>
      </c>
      <c r="H227" s="326">
        <f t="shared" si="14"/>
        <v>30.79503264634161</v>
      </c>
      <c r="I227" s="326">
        <f t="shared" si="15"/>
        <v>29.816967353658391</v>
      </c>
      <c r="J227" s="335"/>
      <c r="K227" s="329">
        <v>10</v>
      </c>
      <c r="L227" s="329">
        <v>66</v>
      </c>
      <c r="M227" s="330">
        <v>13.032</v>
      </c>
      <c r="N227" s="330">
        <v>12.6</v>
      </c>
      <c r="O227" s="330">
        <v>2.9140000000000001</v>
      </c>
      <c r="P227" s="330">
        <v>21.1</v>
      </c>
      <c r="Q227" s="330">
        <v>8.1</v>
      </c>
      <c r="R227" s="330">
        <f t="shared" si="16"/>
        <v>13.735029665239001</v>
      </c>
      <c r="S227" s="330">
        <f t="shared" si="17"/>
        <v>12.328970334760999</v>
      </c>
    </row>
    <row r="228" spans="1:19" x14ac:dyDescent="0.2">
      <c r="A228" s="329">
        <v>11</v>
      </c>
      <c r="B228" s="329">
        <v>55</v>
      </c>
      <c r="C228" s="330">
        <v>31.707000000000001</v>
      </c>
      <c r="D228" s="330">
        <v>31.8</v>
      </c>
      <c r="E228" s="330">
        <v>2.1789999999999998</v>
      </c>
      <c r="F228" s="330">
        <v>36.1</v>
      </c>
      <c r="G228" s="330">
        <v>26.3</v>
      </c>
      <c r="H228" s="330">
        <f t="shared" si="14"/>
        <v>32.282879948120502</v>
      </c>
      <c r="I228" s="330">
        <f t="shared" si="15"/>
        <v>31.131120051879499</v>
      </c>
      <c r="J228" s="335"/>
      <c r="K228" s="324">
        <v>11</v>
      </c>
      <c r="L228" s="324">
        <v>55</v>
      </c>
      <c r="M228" s="326">
        <v>14.922000000000001</v>
      </c>
      <c r="N228" s="326">
        <v>15.1</v>
      </c>
      <c r="O228" s="326">
        <v>3.5409999999999999</v>
      </c>
      <c r="P228" s="326">
        <v>24.1</v>
      </c>
      <c r="Q228" s="326">
        <v>8.1999999999999993</v>
      </c>
      <c r="R228" s="326">
        <f t="shared" si="16"/>
        <v>15.857837951489078</v>
      </c>
      <c r="S228" s="326">
        <f t="shared" si="17"/>
        <v>13.986162048510923</v>
      </c>
    </row>
    <row r="229" spans="1:19" x14ac:dyDescent="0.2">
      <c r="A229" s="329">
        <v>12</v>
      </c>
      <c r="B229" s="329">
        <v>35</v>
      </c>
      <c r="C229" s="330">
        <v>32.677</v>
      </c>
      <c r="D229" s="330">
        <v>32.5</v>
      </c>
      <c r="E229" s="330">
        <v>2.8260000000000001</v>
      </c>
      <c r="F229" s="330">
        <v>39.299999999999997</v>
      </c>
      <c r="G229" s="330">
        <v>28.4</v>
      </c>
      <c r="H229" s="330">
        <f t="shared" si="14"/>
        <v>33.613255122154214</v>
      </c>
      <c r="I229" s="330">
        <f t="shared" si="15"/>
        <v>31.740744877845788</v>
      </c>
      <c r="J229" s="335"/>
      <c r="K229" s="329">
        <v>12</v>
      </c>
      <c r="L229" s="329">
        <v>35</v>
      </c>
      <c r="M229" s="330">
        <v>17.422999999999998</v>
      </c>
      <c r="N229" s="330">
        <v>16.8</v>
      </c>
      <c r="O229" s="330">
        <v>5.0179999999999998</v>
      </c>
      <c r="P229" s="330">
        <v>36.5</v>
      </c>
      <c r="Q229" s="330">
        <v>11</v>
      </c>
      <c r="R229" s="330">
        <f t="shared" si="16"/>
        <v>19.085465747689256</v>
      </c>
      <c r="S229" s="330">
        <f t="shared" si="17"/>
        <v>15.760534252310741</v>
      </c>
    </row>
    <row r="230" spans="1:19" x14ac:dyDescent="0.2">
      <c r="A230" s="324">
        <v>13</v>
      </c>
      <c r="B230" s="324">
        <v>64</v>
      </c>
      <c r="C230" s="326">
        <v>35.392000000000003</v>
      </c>
      <c r="D230" s="326">
        <v>35.35</v>
      </c>
      <c r="E230" s="326">
        <v>2.2280000000000002</v>
      </c>
      <c r="F230" s="326">
        <v>39.700000000000003</v>
      </c>
      <c r="G230" s="326">
        <v>31.3</v>
      </c>
      <c r="H230" s="326">
        <f t="shared" si="14"/>
        <v>35.937860000000001</v>
      </c>
      <c r="I230" s="326">
        <f t="shared" si="15"/>
        <v>34.846140000000005</v>
      </c>
      <c r="J230" s="335"/>
      <c r="K230" s="324">
        <v>13</v>
      </c>
      <c r="L230" s="324">
        <v>64</v>
      </c>
      <c r="M230" s="326">
        <v>20.937000000000001</v>
      </c>
      <c r="N230" s="326">
        <v>20.3</v>
      </c>
      <c r="O230" s="326">
        <v>4.8470000000000004</v>
      </c>
      <c r="P230" s="326">
        <v>34.5</v>
      </c>
      <c r="Q230" s="326">
        <v>11.7</v>
      </c>
      <c r="R230" s="326">
        <f t="shared" si="16"/>
        <v>22.124515000000002</v>
      </c>
      <c r="S230" s="326">
        <f t="shared" si="17"/>
        <v>19.749485</v>
      </c>
    </row>
    <row r="231" spans="1:19" x14ac:dyDescent="0.2">
      <c r="A231" s="329">
        <v>14</v>
      </c>
      <c r="B231" s="329">
        <v>87</v>
      </c>
      <c r="C231" s="330">
        <v>36.307000000000002</v>
      </c>
      <c r="D231" s="330">
        <v>36.5</v>
      </c>
      <c r="E231" s="330">
        <v>2.1659999999999999</v>
      </c>
      <c r="F231" s="330">
        <v>41.8</v>
      </c>
      <c r="G231" s="330">
        <v>30</v>
      </c>
      <c r="H231" s="330">
        <f t="shared" si="14"/>
        <v>36.762150367089902</v>
      </c>
      <c r="I231" s="330">
        <f t="shared" si="15"/>
        <v>35.851849632910103</v>
      </c>
      <c r="J231" s="335"/>
      <c r="K231" s="329">
        <v>14</v>
      </c>
      <c r="L231" s="329">
        <v>87</v>
      </c>
      <c r="M231" s="330">
        <v>24.501000000000001</v>
      </c>
      <c r="N231" s="330">
        <v>24</v>
      </c>
      <c r="O231" s="330">
        <v>6.1980000000000004</v>
      </c>
      <c r="P231" s="330">
        <v>50.9</v>
      </c>
      <c r="Q231" s="330">
        <v>12.8</v>
      </c>
      <c r="R231" s="330">
        <f t="shared" si="16"/>
        <v>25.803410884221233</v>
      </c>
      <c r="S231" s="330">
        <f t="shared" si="17"/>
        <v>23.19858911577877</v>
      </c>
    </row>
    <row r="232" spans="1:19" x14ac:dyDescent="0.2">
      <c r="A232" s="324">
        <v>15</v>
      </c>
      <c r="B232" s="324">
        <v>70</v>
      </c>
      <c r="C232" s="326">
        <v>37.451000000000001</v>
      </c>
      <c r="D232" s="326">
        <v>37.65</v>
      </c>
      <c r="E232" s="326">
        <v>1.8220000000000001</v>
      </c>
      <c r="F232" s="326">
        <v>41.1</v>
      </c>
      <c r="G232" s="326">
        <v>33.9</v>
      </c>
      <c r="H232" s="326">
        <f t="shared" si="14"/>
        <v>37.877830479136627</v>
      </c>
      <c r="I232" s="326">
        <f t="shared" si="15"/>
        <v>37.024169520863374</v>
      </c>
      <c r="J232" s="335"/>
      <c r="K232" s="324">
        <v>15</v>
      </c>
      <c r="L232" s="324">
        <v>70</v>
      </c>
      <c r="M232" s="326">
        <v>26.890999999999998</v>
      </c>
      <c r="N232" s="326">
        <v>26.35</v>
      </c>
      <c r="O232" s="326">
        <v>5.45</v>
      </c>
      <c r="P232" s="326">
        <v>43.9</v>
      </c>
      <c r="Q232" s="326">
        <v>14.4</v>
      </c>
      <c r="R232" s="326">
        <f t="shared" si="16"/>
        <v>28.167743200490996</v>
      </c>
      <c r="S232" s="326">
        <f t="shared" si="17"/>
        <v>25.614256799509</v>
      </c>
    </row>
    <row r="233" spans="1:19" x14ac:dyDescent="0.2">
      <c r="A233" s="329">
        <v>16</v>
      </c>
      <c r="B233" s="329">
        <v>38</v>
      </c>
      <c r="C233" s="330">
        <v>38.088999999999999</v>
      </c>
      <c r="D233" s="330">
        <v>38.35</v>
      </c>
      <c r="E233" s="330">
        <v>2.6339999999999999</v>
      </c>
      <c r="F233" s="330">
        <v>43</v>
      </c>
      <c r="G233" s="330">
        <v>33.1</v>
      </c>
      <c r="H233" s="330">
        <f t="shared" si="14"/>
        <v>38.926490797586517</v>
      </c>
      <c r="I233" s="330">
        <f t="shared" si="15"/>
        <v>37.25150920241348</v>
      </c>
      <c r="J233" s="335"/>
      <c r="K233" s="329">
        <v>16</v>
      </c>
      <c r="L233" s="329">
        <v>38</v>
      </c>
      <c r="M233" s="330">
        <v>29.033999999999999</v>
      </c>
      <c r="N233" s="330">
        <v>27.85</v>
      </c>
      <c r="O233" s="330">
        <v>6.96</v>
      </c>
      <c r="P233" s="330">
        <v>51.9</v>
      </c>
      <c r="Q233" s="330">
        <v>19.899999999999999</v>
      </c>
      <c r="R233" s="330">
        <f t="shared" si="16"/>
        <v>31.246959738497409</v>
      </c>
      <c r="S233" s="330">
        <f t="shared" si="17"/>
        <v>26.821040261502588</v>
      </c>
    </row>
    <row r="234" spans="1:19" x14ac:dyDescent="0.2">
      <c r="A234" s="324">
        <v>17</v>
      </c>
      <c r="B234" s="324">
        <v>30</v>
      </c>
      <c r="C234" s="326">
        <v>38.39</v>
      </c>
      <c r="D234" s="326">
        <v>38.35</v>
      </c>
      <c r="E234" s="326">
        <v>1.8280000000000001</v>
      </c>
      <c r="F234" s="326">
        <v>41.5</v>
      </c>
      <c r="G234" s="326">
        <v>34.6</v>
      </c>
      <c r="H234" s="326">
        <f t="shared" si="14"/>
        <v>39.044141398944703</v>
      </c>
      <c r="I234" s="326">
        <f t="shared" si="15"/>
        <v>37.735858601055298</v>
      </c>
      <c r="J234" s="335"/>
      <c r="K234" s="324">
        <v>17</v>
      </c>
      <c r="L234" s="324">
        <v>30</v>
      </c>
      <c r="M234" s="326">
        <v>31.213000000000001</v>
      </c>
      <c r="N234" s="326">
        <v>30.3</v>
      </c>
      <c r="O234" s="326">
        <v>5.819</v>
      </c>
      <c r="P234" s="326">
        <v>42.5</v>
      </c>
      <c r="Q234" s="326">
        <v>22.4</v>
      </c>
      <c r="R234" s="326">
        <f t="shared" si="16"/>
        <v>33.295302407253409</v>
      </c>
      <c r="S234" s="326">
        <f t="shared" si="17"/>
        <v>29.130697592746593</v>
      </c>
    </row>
    <row r="235" spans="1:19" x14ac:dyDescent="0.2">
      <c r="A235" s="329">
        <v>18</v>
      </c>
      <c r="B235" s="329">
        <v>21</v>
      </c>
      <c r="C235" s="330">
        <v>39.485999999999997</v>
      </c>
      <c r="D235" s="330">
        <v>39.4</v>
      </c>
      <c r="E235" s="330">
        <v>1.5640000000000001</v>
      </c>
      <c r="F235" s="330">
        <v>42.5</v>
      </c>
      <c r="G235" s="330">
        <v>36.5</v>
      </c>
      <c r="H235" s="330">
        <f t="shared" si="14"/>
        <v>40.154933849445015</v>
      </c>
      <c r="I235" s="330">
        <f t="shared" si="15"/>
        <v>38.817066150554979</v>
      </c>
      <c r="J235" s="335"/>
      <c r="K235" s="329">
        <v>18</v>
      </c>
      <c r="L235" s="329">
        <v>21</v>
      </c>
      <c r="M235" s="330">
        <v>31.632999999999999</v>
      </c>
      <c r="N235" s="330">
        <v>31.6</v>
      </c>
      <c r="O235" s="330">
        <v>4.0819999999999999</v>
      </c>
      <c r="P235" s="330">
        <v>39.200000000000003</v>
      </c>
      <c r="Q235" s="330">
        <v>24.2</v>
      </c>
      <c r="R235" s="330">
        <f t="shared" si="16"/>
        <v>33.378900238768907</v>
      </c>
      <c r="S235" s="330">
        <f t="shared" si="17"/>
        <v>29.887099761231092</v>
      </c>
    </row>
    <row r="236" spans="1:19" x14ac:dyDescent="0.2">
      <c r="A236" s="324">
        <v>19</v>
      </c>
      <c r="B236" s="324">
        <v>7</v>
      </c>
      <c r="C236" s="326">
        <v>40.713999999999999</v>
      </c>
      <c r="D236" s="326">
        <v>41.7</v>
      </c>
      <c r="E236" s="326">
        <v>2.9590000000000001</v>
      </c>
      <c r="F236" s="326">
        <v>43.6</v>
      </c>
      <c r="G236" s="326">
        <v>35.1</v>
      </c>
      <c r="H236" s="326">
        <f t="shared" si="14"/>
        <v>42.906057876243231</v>
      </c>
      <c r="I236" s="326">
        <f t="shared" si="15"/>
        <v>38.521942123756766</v>
      </c>
      <c r="J236" s="335"/>
      <c r="K236" s="332">
        <v>19</v>
      </c>
      <c r="L236" s="332">
        <v>7</v>
      </c>
      <c r="M236" s="333">
        <v>34.429000000000002</v>
      </c>
      <c r="N236" s="333">
        <v>33.200000000000003</v>
      </c>
      <c r="O236" s="333">
        <v>7.8520000000000003</v>
      </c>
      <c r="P236" s="333">
        <v>48.5</v>
      </c>
      <c r="Q236" s="333">
        <v>22.9</v>
      </c>
      <c r="R236" s="333">
        <f t="shared" si="16"/>
        <v>40.245843002454166</v>
      </c>
      <c r="S236" s="333">
        <f t="shared" si="17"/>
        <v>28.612156997545835</v>
      </c>
    </row>
    <row r="237" spans="1:19" x14ac:dyDescent="0.2">
      <c r="A237" s="332"/>
      <c r="B237" s="332"/>
      <c r="C237" s="333"/>
      <c r="D237" s="333"/>
      <c r="E237" s="333"/>
      <c r="F237" s="333"/>
      <c r="G237" s="333"/>
      <c r="H237" s="333"/>
      <c r="I237" s="333"/>
      <c r="J237" s="335"/>
      <c r="K237" s="324"/>
      <c r="L237" s="324"/>
      <c r="M237" s="324"/>
      <c r="N237" s="324"/>
      <c r="O237" s="324"/>
      <c r="P237" s="324"/>
      <c r="Q237" s="324"/>
      <c r="R237" s="326"/>
      <c r="S237" s="326"/>
    </row>
    <row r="238" spans="1:19" x14ac:dyDescent="0.2">
      <c r="A238" s="332"/>
      <c r="B238" s="332"/>
      <c r="C238" s="333"/>
      <c r="D238" s="333"/>
      <c r="E238" s="333"/>
      <c r="F238" s="333"/>
      <c r="G238" s="333"/>
      <c r="H238" s="333"/>
      <c r="I238" s="333"/>
      <c r="J238" s="335"/>
      <c r="K238" s="324"/>
      <c r="L238" s="324"/>
      <c r="M238" s="324"/>
      <c r="N238" s="324"/>
      <c r="O238" s="324"/>
      <c r="P238" s="324"/>
      <c r="Q238" s="324"/>
      <c r="R238" s="326"/>
      <c r="S238" s="326"/>
    </row>
    <row r="239" spans="1:19" x14ac:dyDescent="0.2">
      <c r="A239" s="800" t="s">
        <v>675</v>
      </c>
      <c r="B239" s="800"/>
      <c r="C239" s="800"/>
      <c r="D239" s="800"/>
      <c r="E239" s="800"/>
      <c r="F239" s="800"/>
      <c r="G239" s="800"/>
      <c r="H239" s="800"/>
      <c r="I239" s="801"/>
      <c r="J239" s="335"/>
      <c r="K239" s="800" t="s">
        <v>676</v>
      </c>
      <c r="L239" s="800"/>
      <c r="M239" s="800"/>
      <c r="N239" s="800"/>
      <c r="O239" s="800"/>
      <c r="P239" s="800"/>
      <c r="Q239" s="800"/>
      <c r="R239" s="800"/>
      <c r="S239" s="801"/>
    </row>
    <row r="240" spans="1:19" x14ac:dyDescent="0.2">
      <c r="A240" s="332" t="s">
        <v>504</v>
      </c>
      <c r="B240" s="332" t="s">
        <v>641</v>
      </c>
      <c r="C240" s="333" t="s">
        <v>642</v>
      </c>
      <c r="D240" s="333" t="s">
        <v>643</v>
      </c>
      <c r="E240" s="333" t="s">
        <v>644</v>
      </c>
      <c r="F240" s="333" t="s">
        <v>645</v>
      </c>
      <c r="G240" s="333" t="s">
        <v>646</v>
      </c>
      <c r="H240" s="333" t="s">
        <v>647</v>
      </c>
      <c r="I240" s="333" t="s">
        <v>648</v>
      </c>
      <c r="J240" s="335"/>
      <c r="K240" s="332" t="s">
        <v>504</v>
      </c>
      <c r="L240" s="332" t="s">
        <v>641</v>
      </c>
      <c r="M240" s="333" t="s">
        <v>642</v>
      </c>
      <c r="N240" s="333" t="s">
        <v>643</v>
      </c>
      <c r="O240" s="333" t="s">
        <v>644</v>
      </c>
      <c r="P240" s="333" t="s">
        <v>645</v>
      </c>
      <c r="Q240" s="333" t="s">
        <v>646</v>
      </c>
      <c r="R240" s="333" t="s">
        <v>647</v>
      </c>
      <c r="S240" s="333" t="s">
        <v>648</v>
      </c>
    </row>
    <row r="241" spans="1:19" x14ac:dyDescent="0.2">
      <c r="A241" s="324">
        <v>7</v>
      </c>
      <c r="B241" s="324">
        <v>14</v>
      </c>
      <c r="C241" s="326">
        <v>20</v>
      </c>
      <c r="D241" s="326">
        <v>19.899999999999999</v>
      </c>
      <c r="E241" s="326">
        <v>1.1439999999999999</v>
      </c>
      <c r="F241" s="326">
        <v>22.3</v>
      </c>
      <c r="G241" s="326">
        <v>18.100000000000001</v>
      </c>
      <c r="H241" s="326">
        <f t="shared" si="14"/>
        <v>20.599263847065714</v>
      </c>
      <c r="I241" s="326">
        <f t="shared" si="15"/>
        <v>19.400736152934286</v>
      </c>
      <c r="J241" s="335"/>
      <c r="K241" s="324">
        <v>7</v>
      </c>
      <c r="L241" s="324">
        <v>14</v>
      </c>
      <c r="M241" s="326">
        <v>3.4</v>
      </c>
      <c r="N241" s="326">
        <v>3.45</v>
      </c>
      <c r="O241" s="326">
        <v>0.44700000000000001</v>
      </c>
      <c r="P241" s="326">
        <v>4.3</v>
      </c>
      <c r="Q241" s="326">
        <v>2.6</v>
      </c>
      <c r="R241" s="326">
        <f t="shared" si="16"/>
        <v>3.6341529192643129</v>
      </c>
      <c r="S241" s="326">
        <f t="shared" si="17"/>
        <v>3.1658470807356869</v>
      </c>
    </row>
    <row r="242" spans="1:19" x14ac:dyDescent="0.2">
      <c r="A242" s="329">
        <v>8</v>
      </c>
      <c r="B242" s="329">
        <v>39</v>
      </c>
      <c r="C242" s="330">
        <v>20.594999999999999</v>
      </c>
      <c r="D242" s="330">
        <v>20</v>
      </c>
      <c r="E242" s="330">
        <v>1.657</v>
      </c>
      <c r="F242" s="330">
        <v>25.4</v>
      </c>
      <c r="G242" s="330">
        <v>18.3</v>
      </c>
      <c r="H242" s="330">
        <f t="shared" si="14"/>
        <v>21.115051407675857</v>
      </c>
      <c r="I242" s="330">
        <f t="shared" si="15"/>
        <v>20.074948592324141</v>
      </c>
      <c r="J242" s="335"/>
      <c r="K242" s="329">
        <v>8</v>
      </c>
      <c r="L242" s="329">
        <v>39</v>
      </c>
      <c r="M242" s="330">
        <v>3.5</v>
      </c>
      <c r="N242" s="330">
        <v>3.2</v>
      </c>
      <c r="O242" s="330">
        <v>0.73399999999999999</v>
      </c>
      <c r="P242" s="330">
        <v>5.9</v>
      </c>
      <c r="Q242" s="330">
        <v>2.7</v>
      </c>
      <c r="R242" s="330">
        <f t="shared" si="16"/>
        <v>3.7303667671901506</v>
      </c>
      <c r="S242" s="330">
        <f t="shared" si="17"/>
        <v>3.2696332328098494</v>
      </c>
    </row>
    <row r="243" spans="1:19" x14ac:dyDescent="0.2">
      <c r="A243" s="324">
        <v>9</v>
      </c>
      <c r="B243" s="324">
        <v>57</v>
      </c>
      <c r="C243" s="326">
        <v>20.928000000000001</v>
      </c>
      <c r="D243" s="326">
        <v>20.8</v>
      </c>
      <c r="E243" s="326">
        <v>1.542</v>
      </c>
      <c r="F243" s="326">
        <v>25.5</v>
      </c>
      <c r="G243" s="326">
        <v>18.3</v>
      </c>
      <c r="H243" s="326">
        <f t="shared" si="14"/>
        <v>21.328316063340484</v>
      </c>
      <c r="I243" s="326">
        <f t="shared" si="15"/>
        <v>20.527683936659518</v>
      </c>
      <c r="J243" s="335"/>
      <c r="K243" s="324">
        <v>9</v>
      </c>
      <c r="L243" s="324">
        <v>57</v>
      </c>
      <c r="M243" s="326">
        <v>3.5979999999999999</v>
      </c>
      <c r="N243" s="326">
        <v>3.5</v>
      </c>
      <c r="O243" s="326">
        <v>0.74299999999999999</v>
      </c>
      <c r="P243" s="326">
        <v>7.7</v>
      </c>
      <c r="Q243" s="326">
        <v>2.6</v>
      </c>
      <c r="R243" s="326">
        <f t="shared" si="16"/>
        <v>3.7908889980946681</v>
      </c>
      <c r="S243" s="326">
        <f t="shared" si="17"/>
        <v>3.4051110019053317</v>
      </c>
    </row>
    <row r="244" spans="1:19" x14ac:dyDescent="0.2">
      <c r="A244" s="329">
        <v>10</v>
      </c>
      <c r="B244" s="329">
        <v>66</v>
      </c>
      <c r="C244" s="330">
        <v>21.417999999999999</v>
      </c>
      <c r="D244" s="330">
        <v>21.05</v>
      </c>
      <c r="E244" s="330">
        <v>1.6759999999999999</v>
      </c>
      <c r="F244" s="330">
        <v>26.6</v>
      </c>
      <c r="G244" s="330">
        <v>17.8</v>
      </c>
      <c r="H244" s="330">
        <f t="shared" si="14"/>
        <v>21.822350624207466</v>
      </c>
      <c r="I244" s="330">
        <f t="shared" si="15"/>
        <v>21.013649375792532</v>
      </c>
      <c r="J244" s="335"/>
      <c r="K244" s="329">
        <v>10</v>
      </c>
      <c r="L244" s="329">
        <v>66</v>
      </c>
      <c r="M244" s="330">
        <v>3.8580000000000001</v>
      </c>
      <c r="N244" s="330">
        <v>3.75</v>
      </c>
      <c r="O244" s="330">
        <v>0.70699999999999996</v>
      </c>
      <c r="P244" s="330">
        <v>5.8</v>
      </c>
      <c r="Q244" s="330">
        <v>2.5</v>
      </c>
      <c r="R244" s="330">
        <f t="shared" si="16"/>
        <v>4.028570340879881</v>
      </c>
      <c r="S244" s="330">
        <f t="shared" si="17"/>
        <v>3.6874296591201192</v>
      </c>
    </row>
    <row r="245" spans="1:19" x14ac:dyDescent="0.2">
      <c r="A245" s="329">
        <v>11</v>
      </c>
      <c r="B245" s="329">
        <v>55</v>
      </c>
      <c r="C245" s="330">
        <v>22.582000000000001</v>
      </c>
      <c r="D245" s="330">
        <v>22.5</v>
      </c>
      <c r="E245" s="330">
        <v>1.863</v>
      </c>
      <c r="F245" s="330">
        <v>26.2</v>
      </c>
      <c r="G245" s="330">
        <v>18.2</v>
      </c>
      <c r="H245" s="330">
        <f t="shared" si="14"/>
        <v>23.074365462757456</v>
      </c>
      <c r="I245" s="330">
        <f t="shared" si="15"/>
        <v>22.089634537242546</v>
      </c>
      <c r="J245" s="335"/>
      <c r="K245" s="324">
        <v>11</v>
      </c>
      <c r="L245" s="324">
        <v>55</v>
      </c>
      <c r="M245" s="326">
        <v>4.3380000000000001</v>
      </c>
      <c r="N245" s="326">
        <v>4.3</v>
      </c>
      <c r="O245" s="326">
        <v>0.77800000000000002</v>
      </c>
      <c r="P245" s="326">
        <v>6.5</v>
      </c>
      <c r="Q245" s="326">
        <v>3</v>
      </c>
      <c r="R245" s="326">
        <f t="shared" si="16"/>
        <v>4.5436147772545894</v>
      </c>
      <c r="S245" s="326">
        <f t="shared" si="17"/>
        <v>4.1323852227454108</v>
      </c>
    </row>
    <row r="246" spans="1:19" x14ac:dyDescent="0.2">
      <c r="A246" s="324">
        <v>12</v>
      </c>
      <c r="B246" s="324">
        <v>35</v>
      </c>
      <c r="C246" s="326">
        <v>22.908999999999999</v>
      </c>
      <c r="D246" s="326">
        <v>23</v>
      </c>
      <c r="E246" s="326">
        <v>1.9710000000000001</v>
      </c>
      <c r="F246" s="326">
        <v>29.1</v>
      </c>
      <c r="G246" s="326">
        <v>19.399999999999999</v>
      </c>
      <c r="H246" s="326">
        <f t="shared" si="14"/>
        <v>23.561993222139403</v>
      </c>
      <c r="I246" s="326">
        <f t="shared" si="15"/>
        <v>22.256006777860595</v>
      </c>
      <c r="J246" s="335"/>
      <c r="K246" s="329">
        <v>12</v>
      </c>
      <c r="L246" s="329">
        <v>35</v>
      </c>
      <c r="M246" s="330">
        <v>4.62</v>
      </c>
      <c r="N246" s="330">
        <v>4.5</v>
      </c>
      <c r="O246" s="330">
        <v>1.3</v>
      </c>
      <c r="P246" s="330">
        <v>10.4</v>
      </c>
      <c r="Q246" s="330">
        <v>3.1</v>
      </c>
      <c r="R246" s="330">
        <f t="shared" si="16"/>
        <v>5.0506906082096519</v>
      </c>
      <c r="S246" s="330">
        <f t="shared" si="17"/>
        <v>4.1893093917903483</v>
      </c>
    </row>
    <row r="247" spans="1:19" x14ac:dyDescent="0.2">
      <c r="A247" s="329">
        <v>13</v>
      </c>
      <c r="B247" s="329">
        <v>64</v>
      </c>
      <c r="C247" s="330">
        <v>24.524999999999999</v>
      </c>
      <c r="D247" s="330">
        <v>24.45</v>
      </c>
      <c r="E247" s="330">
        <v>1.8220000000000001</v>
      </c>
      <c r="F247" s="330">
        <v>29.8</v>
      </c>
      <c r="G247" s="330">
        <v>21.2</v>
      </c>
      <c r="H247" s="330">
        <f t="shared" si="14"/>
        <v>24.97139</v>
      </c>
      <c r="I247" s="330">
        <f t="shared" si="15"/>
        <v>24.078609999999998</v>
      </c>
      <c r="J247" s="335"/>
      <c r="K247" s="324">
        <v>13</v>
      </c>
      <c r="L247" s="324">
        <v>64</v>
      </c>
      <c r="M247" s="326">
        <v>5.4809999999999999</v>
      </c>
      <c r="N247" s="326">
        <v>5.5</v>
      </c>
      <c r="O247" s="326">
        <v>1.0069999999999999</v>
      </c>
      <c r="P247" s="326">
        <v>9.3000000000000007</v>
      </c>
      <c r="Q247" s="326">
        <v>3.9</v>
      </c>
      <c r="R247" s="326">
        <f t="shared" si="16"/>
        <v>5.7277149999999999</v>
      </c>
      <c r="S247" s="326">
        <f t="shared" si="17"/>
        <v>5.2342849999999999</v>
      </c>
    </row>
    <row r="248" spans="1:19" x14ac:dyDescent="0.2">
      <c r="A248" s="324">
        <v>14</v>
      </c>
      <c r="B248" s="324">
        <v>87</v>
      </c>
      <c r="C248" s="326">
        <v>25.594000000000001</v>
      </c>
      <c r="D248" s="326">
        <v>25.6</v>
      </c>
      <c r="E248" s="326">
        <v>2.3109999999999999</v>
      </c>
      <c r="F248" s="326">
        <v>35</v>
      </c>
      <c r="G248" s="326">
        <v>19.100000000000001</v>
      </c>
      <c r="H248" s="326">
        <f t="shared" si="14"/>
        <v>26.07961980532999</v>
      </c>
      <c r="I248" s="326">
        <f t="shared" si="15"/>
        <v>25.108380194670012</v>
      </c>
      <c r="J248" s="335"/>
      <c r="K248" s="329">
        <v>14</v>
      </c>
      <c r="L248" s="329">
        <v>87</v>
      </c>
      <c r="M248" s="330">
        <v>6.3739999999999997</v>
      </c>
      <c r="N248" s="330">
        <v>6.3</v>
      </c>
      <c r="O248" s="330">
        <v>1.429</v>
      </c>
      <c r="P248" s="330">
        <v>14.6</v>
      </c>
      <c r="Q248" s="330">
        <v>3.4</v>
      </c>
      <c r="R248" s="330">
        <f t="shared" si="16"/>
        <v>6.6742815672075082</v>
      </c>
      <c r="S248" s="330">
        <f t="shared" si="17"/>
        <v>6.0737184327924911</v>
      </c>
    </row>
    <row r="249" spans="1:19" x14ac:dyDescent="0.2">
      <c r="A249" s="329">
        <v>15</v>
      </c>
      <c r="B249" s="329">
        <v>70</v>
      </c>
      <c r="C249" s="330">
        <v>26.173999999999999</v>
      </c>
      <c r="D249" s="330">
        <v>26.35</v>
      </c>
      <c r="E249" s="330">
        <v>2.0950000000000002</v>
      </c>
      <c r="F249" s="330">
        <v>32.700000000000003</v>
      </c>
      <c r="G249" s="330">
        <v>21.5</v>
      </c>
      <c r="H249" s="330">
        <f t="shared" si="14"/>
        <v>26.664784771564889</v>
      </c>
      <c r="I249" s="330">
        <f t="shared" si="15"/>
        <v>25.68321522843511</v>
      </c>
      <c r="J249" s="335"/>
      <c r="K249" s="324">
        <v>15</v>
      </c>
      <c r="L249" s="324">
        <v>70</v>
      </c>
      <c r="M249" s="326">
        <v>6.7439999999999998</v>
      </c>
      <c r="N249" s="326">
        <v>6.55</v>
      </c>
      <c r="O249" s="326">
        <v>1.363</v>
      </c>
      <c r="P249" s="326">
        <v>11.8</v>
      </c>
      <c r="Q249" s="326">
        <v>3.6</v>
      </c>
      <c r="R249" s="326">
        <f t="shared" si="16"/>
        <v>7.0633029325264642</v>
      </c>
      <c r="S249" s="326">
        <f t="shared" si="17"/>
        <v>6.4246970674735353</v>
      </c>
    </row>
    <row r="250" spans="1:19" x14ac:dyDescent="0.2">
      <c r="A250" s="324">
        <v>16</v>
      </c>
      <c r="B250" s="324">
        <v>38</v>
      </c>
      <c r="C250" s="326">
        <v>26.736999999999998</v>
      </c>
      <c r="D250" s="326">
        <v>26.6</v>
      </c>
      <c r="E250" s="326">
        <v>2.681</v>
      </c>
      <c r="F250" s="326">
        <v>35.4</v>
      </c>
      <c r="G250" s="326">
        <v>22.3</v>
      </c>
      <c r="H250" s="326">
        <f t="shared" si="14"/>
        <v>27.589434634901085</v>
      </c>
      <c r="I250" s="326">
        <f t="shared" si="15"/>
        <v>25.884565365098911</v>
      </c>
      <c r="J250" s="335"/>
      <c r="K250" s="329">
        <v>16</v>
      </c>
      <c r="L250" s="329">
        <v>38</v>
      </c>
      <c r="M250" s="330">
        <v>7.0949999999999998</v>
      </c>
      <c r="N250" s="330">
        <v>6.75</v>
      </c>
      <c r="O250" s="330">
        <v>1.6879999999999999</v>
      </c>
      <c r="P250" s="330">
        <v>13.8</v>
      </c>
      <c r="Q250" s="330">
        <v>4.8</v>
      </c>
      <c r="R250" s="330">
        <f t="shared" si="16"/>
        <v>7.6317063273827053</v>
      </c>
      <c r="S250" s="330">
        <f t="shared" si="17"/>
        <v>6.5582936726172942</v>
      </c>
    </row>
    <row r="251" spans="1:19" x14ac:dyDescent="0.2">
      <c r="A251" s="329">
        <v>17</v>
      </c>
      <c r="B251" s="329">
        <v>30</v>
      </c>
      <c r="C251" s="330">
        <v>27.713000000000001</v>
      </c>
      <c r="D251" s="330">
        <v>27.4</v>
      </c>
      <c r="E251" s="330">
        <v>2.6850000000000001</v>
      </c>
      <c r="F251" s="330">
        <v>34.700000000000003</v>
      </c>
      <c r="G251" s="330">
        <v>24.2</v>
      </c>
      <c r="H251" s="330">
        <f t="shared" si="14"/>
        <v>28.673814910375562</v>
      </c>
      <c r="I251" s="330">
        <f t="shared" si="15"/>
        <v>26.75218508962444</v>
      </c>
      <c r="J251" s="335"/>
      <c r="K251" s="324">
        <v>17</v>
      </c>
      <c r="L251" s="324">
        <v>30</v>
      </c>
      <c r="M251" s="326">
        <v>7.7370000000000001</v>
      </c>
      <c r="N251" s="326">
        <v>7.15</v>
      </c>
      <c r="O251" s="326">
        <v>1.601</v>
      </c>
      <c r="P251" s="326">
        <v>11.5</v>
      </c>
      <c r="Q251" s="326">
        <v>5.4</v>
      </c>
      <c r="R251" s="326">
        <f t="shared" si="16"/>
        <v>8.3099104921829703</v>
      </c>
      <c r="S251" s="326">
        <f t="shared" si="17"/>
        <v>7.1640895078170299</v>
      </c>
    </row>
    <row r="252" spans="1:19" x14ac:dyDescent="0.2">
      <c r="A252" s="324">
        <v>18</v>
      </c>
      <c r="B252" s="324">
        <v>21</v>
      </c>
      <c r="C252" s="326">
        <v>26.795000000000002</v>
      </c>
      <c r="D252" s="326">
        <v>27</v>
      </c>
      <c r="E252" s="326">
        <v>1.518</v>
      </c>
      <c r="F252" s="326">
        <v>29.2</v>
      </c>
      <c r="G252" s="326">
        <v>23.7</v>
      </c>
      <c r="H252" s="326">
        <f t="shared" si="14"/>
        <v>27.444259324461346</v>
      </c>
      <c r="I252" s="326">
        <f t="shared" si="15"/>
        <v>26.145740675538658</v>
      </c>
      <c r="J252" s="335"/>
      <c r="K252" s="329">
        <v>18</v>
      </c>
      <c r="L252" s="329">
        <v>21</v>
      </c>
      <c r="M252" s="330">
        <v>7.2190000000000003</v>
      </c>
      <c r="N252" s="330">
        <v>7.2</v>
      </c>
      <c r="O252" s="330">
        <v>0.80200000000000005</v>
      </c>
      <c r="P252" s="330">
        <v>8.8000000000000007</v>
      </c>
      <c r="Q252" s="330">
        <v>5.8</v>
      </c>
      <c r="R252" s="330">
        <f t="shared" si="16"/>
        <v>7.5620210660197618</v>
      </c>
      <c r="S252" s="330">
        <f t="shared" si="17"/>
        <v>6.8759789339802388</v>
      </c>
    </row>
    <row r="253" spans="1:19" x14ac:dyDescent="0.2">
      <c r="A253" s="329">
        <v>19</v>
      </c>
      <c r="B253" s="329">
        <v>7</v>
      </c>
      <c r="C253" s="330">
        <v>29.385999999999999</v>
      </c>
      <c r="D253" s="330">
        <v>29</v>
      </c>
      <c r="E253" s="330">
        <v>3.81</v>
      </c>
      <c r="F253" s="330">
        <v>36</v>
      </c>
      <c r="G253" s="330">
        <v>23.8</v>
      </c>
      <c r="H253" s="330">
        <f t="shared" si="14"/>
        <v>32.208487498643706</v>
      </c>
      <c r="I253" s="330">
        <f t="shared" si="15"/>
        <v>26.563512501356293</v>
      </c>
      <c r="J253" s="335"/>
      <c r="K253" s="332">
        <v>19</v>
      </c>
      <c r="L253" s="332">
        <v>7</v>
      </c>
      <c r="M253" s="333">
        <v>8.9860000000000007</v>
      </c>
      <c r="N253" s="333">
        <v>7.8</v>
      </c>
      <c r="O253" s="333">
        <v>2.7559999999999998</v>
      </c>
      <c r="P253" s="333">
        <v>13.4</v>
      </c>
      <c r="Q253" s="333">
        <v>5.5</v>
      </c>
      <c r="R253" s="333">
        <f t="shared" si="16"/>
        <v>11.027673371722324</v>
      </c>
      <c r="S253" s="333">
        <f t="shared" si="17"/>
        <v>6.9443266282776772</v>
      </c>
    </row>
    <row r="254" spans="1:19" x14ac:dyDescent="0.2">
      <c r="A254" s="332"/>
      <c r="B254" s="332"/>
      <c r="C254" s="333"/>
      <c r="D254" s="333"/>
      <c r="E254" s="333"/>
      <c r="F254" s="333"/>
      <c r="G254" s="333"/>
      <c r="H254" s="333"/>
      <c r="I254" s="333"/>
      <c r="J254" s="335"/>
      <c r="K254" s="324"/>
      <c r="L254" s="324"/>
      <c r="M254" s="324"/>
      <c r="N254" s="324"/>
      <c r="O254" s="324"/>
      <c r="P254" s="324"/>
      <c r="Q254" s="324"/>
      <c r="R254" s="326"/>
      <c r="S254" s="326"/>
    </row>
    <row r="255" spans="1:19" x14ac:dyDescent="0.2">
      <c r="A255" s="332"/>
      <c r="B255" s="332"/>
      <c r="C255" s="333"/>
      <c r="D255" s="333"/>
      <c r="E255" s="333"/>
      <c r="F255" s="333"/>
      <c r="G255" s="333"/>
      <c r="H255" s="333"/>
      <c r="I255" s="333"/>
      <c r="J255" s="335"/>
      <c r="K255" s="324"/>
      <c r="L255" s="324"/>
      <c r="M255" s="324"/>
      <c r="N255" s="324"/>
      <c r="O255" s="324"/>
      <c r="P255" s="324"/>
      <c r="Q255" s="324"/>
      <c r="R255" s="326"/>
      <c r="S255" s="326"/>
    </row>
    <row r="256" spans="1:19" x14ac:dyDescent="0.2">
      <c r="A256" s="800" t="s">
        <v>677</v>
      </c>
      <c r="B256" s="800"/>
      <c r="C256" s="800"/>
      <c r="D256" s="800"/>
      <c r="E256" s="800"/>
      <c r="F256" s="800"/>
      <c r="G256" s="800"/>
      <c r="H256" s="800"/>
      <c r="I256" s="801"/>
      <c r="J256" s="335"/>
      <c r="K256" s="800" t="s">
        <v>666</v>
      </c>
      <c r="L256" s="800"/>
      <c r="M256" s="800"/>
      <c r="N256" s="800"/>
      <c r="O256" s="800"/>
      <c r="P256" s="800"/>
      <c r="Q256" s="800"/>
      <c r="R256" s="800"/>
      <c r="S256" s="801"/>
    </row>
    <row r="257" spans="1:19" x14ac:dyDescent="0.2">
      <c r="A257" s="332" t="s">
        <v>504</v>
      </c>
      <c r="B257" s="332" t="s">
        <v>641</v>
      </c>
      <c r="C257" s="333" t="s">
        <v>642</v>
      </c>
      <c r="D257" s="333" t="s">
        <v>643</v>
      </c>
      <c r="E257" s="333" t="s">
        <v>644</v>
      </c>
      <c r="F257" s="333" t="s">
        <v>645</v>
      </c>
      <c r="G257" s="333" t="s">
        <v>646</v>
      </c>
      <c r="H257" s="333" t="s">
        <v>647</v>
      </c>
      <c r="I257" s="333" t="s">
        <v>648</v>
      </c>
      <c r="J257" s="335"/>
      <c r="K257" s="332" t="s">
        <v>504</v>
      </c>
      <c r="L257" s="332" t="s">
        <v>641</v>
      </c>
      <c r="M257" s="333" t="s">
        <v>642</v>
      </c>
      <c r="N257" s="333" t="s">
        <v>643</v>
      </c>
      <c r="O257" s="333" t="s">
        <v>644</v>
      </c>
      <c r="P257" s="333" t="s">
        <v>645</v>
      </c>
      <c r="Q257" s="333" t="s">
        <v>646</v>
      </c>
      <c r="R257" s="333" t="s">
        <v>647</v>
      </c>
      <c r="S257" s="333" t="s">
        <v>648</v>
      </c>
    </row>
    <row r="258" spans="1:19" x14ac:dyDescent="0.2">
      <c r="A258" s="329">
        <v>7</v>
      </c>
      <c r="B258" s="329">
        <v>14</v>
      </c>
      <c r="C258" s="330">
        <v>14.35</v>
      </c>
      <c r="D258" s="330">
        <v>14.15</v>
      </c>
      <c r="E258" s="330">
        <v>0.85199999999999998</v>
      </c>
      <c r="F258" s="330">
        <v>15.7</v>
      </c>
      <c r="G258" s="330">
        <v>13.4</v>
      </c>
      <c r="H258" s="330">
        <f t="shared" si="14"/>
        <v>14.796304893094396</v>
      </c>
      <c r="I258" s="330">
        <f t="shared" si="15"/>
        <v>13.903695106905603</v>
      </c>
      <c r="J258" s="335"/>
      <c r="K258" s="324">
        <v>7</v>
      </c>
      <c r="L258" s="324">
        <v>14</v>
      </c>
      <c r="M258" s="326">
        <v>4.1360000000000001</v>
      </c>
      <c r="N258" s="326">
        <v>4.0999999999999996</v>
      </c>
      <c r="O258" s="326">
        <v>0.436</v>
      </c>
      <c r="P258" s="326">
        <v>4.8</v>
      </c>
      <c r="Q258" s="326">
        <v>3.6</v>
      </c>
      <c r="R258" s="326">
        <f t="shared" si="16"/>
        <v>4.3643907668886817</v>
      </c>
      <c r="S258" s="326">
        <f t="shared" si="17"/>
        <v>3.9076092331113186</v>
      </c>
    </row>
    <row r="259" spans="1:19" x14ac:dyDescent="0.2">
      <c r="A259" s="324">
        <v>8</v>
      </c>
      <c r="B259" s="324">
        <v>39</v>
      </c>
      <c r="C259" s="326">
        <v>15.079000000000001</v>
      </c>
      <c r="D259" s="326">
        <v>15</v>
      </c>
      <c r="E259" s="326">
        <v>1.704</v>
      </c>
      <c r="F259" s="326">
        <v>19.8</v>
      </c>
      <c r="G259" s="326">
        <v>12.1</v>
      </c>
      <c r="H259" s="326">
        <f t="shared" si="14"/>
        <v>15.613802413204382</v>
      </c>
      <c r="I259" s="326">
        <f t="shared" si="15"/>
        <v>14.544197586795619</v>
      </c>
      <c r="J259" s="335"/>
      <c r="K259" s="329">
        <v>8</v>
      </c>
      <c r="L259" s="329">
        <v>39</v>
      </c>
      <c r="M259" s="330">
        <v>4.1310000000000002</v>
      </c>
      <c r="N259" s="330">
        <v>4.0999999999999996</v>
      </c>
      <c r="O259" s="330">
        <v>0.61</v>
      </c>
      <c r="P259" s="330">
        <v>5.6</v>
      </c>
      <c r="Q259" s="330">
        <v>3.1</v>
      </c>
      <c r="R259" s="330">
        <f t="shared" si="16"/>
        <v>4.3224492206893625</v>
      </c>
      <c r="S259" s="330">
        <f t="shared" si="17"/>
        <v>3.9395507793106379</v>
      </c>
    </row>
    <row r="260" spans="1:19" x14ac:dyDescent="0.2">
      <c r="A260" s="329">
        <v>9</v>
      </c>
      <c r="B260" s="329">
        <v>57</v>
      </c>
      <c r="C260" s="330">
        <v>14.94</v>
      </c>
      <c r="D260" s="330">
        <v>14.7</v>
      </c>
      <c r="E260" s="330">
        <v>1.4379999999999999</v>
      </c>
      <c r="F260" s="330">
        <v>20.8</v>
      </c>
      <c r="G260" s="330">
        <v>12.5</v>
      </c>
      <c r="H260" s="330">
        <f t="shared" si="14"/>
        <v>15.313316795774067</v>
      </c>
      <c r="I260" s="330">
        <f t="shared" si="15"/>
        <v>14.566683204225932</v>
      </c>
      <c r="J260" s="335"/>
      <c r="K260" s="324">
        <v>9</v>
      </c>
      <c r="L260" s="324">
        <v>57</v>
      </c>
      <c r="M260" s="326">
        <v>4.34</v>
      </c>
      <c r="N260" s="326">
        <v>4.3</v>
      </c>
      <c r="O260" s="326">
        <v>0.72299999999999998</v>
      </c>
      <c r="P260" s="326">
        <v>7.4</v>
      </c>
      <c r="Q260" s="326">
        <v>2.2000000000000002</v>
      </c>
      <c r="R260" s="326">
        <f t="shared" si="16"/>
        <v>4.527696831254973</v>
      </c>
      <c r="S260" s="326">
        <f t="shared" si="17"/>
        <v>4.1523031687450267</v>
      </c>
    </row>
    <row r="261" spans="1:19" x14ac:dyDescent="0.2">
      <c r="A261" s="324">
        <v>10</v>
      </c>
      <c r="B261" s="324">
        <v>66</v>
      </c>
      <c r="C261" s="326">
        <v>15.553000000000001</v>
      </c>
      <c r="D261" s="326">
        <v>15.15</v>
      </c>
      <c r="E261" s="326">
        <v>1.5049999999999999</v>
      </c>
      <c r="F261" s="326">
        <v>20.9</v>
      </c>
      <c r="G261" s="326">
        <v>13.3</v>
      </c>
      <c r="H261" s="326">
        <f t="shared" si="14"/>
        <v>15.916095280090836</v>
      </c>
      <c r="I261" s="326">
        <f t="shared" si="15"/>
        <v>15.189904719909165</v>
      </c>
      <c r="J261" s="335"/>
      <c r="K261" s="329">
        <v>10</v>
      </c>
      <c r="L261" s="329">
        <v>66</v>
      </c>
      <c r="M261" s="330">
        <v>4.6050000000000004</v>
      </c>
      <c r="N261" s="330">
        <v>4.5</v>
      </c>
      <c r="O261" s="330">
        <v>0.72</v>
      </c>
      <c r="P261" s="330">
        <v>6.6</v>
      </c>
      <c r="Q261" s="330">
        <v>3.2</v>
      </c>
      <c r="R261" s="330">
        <f t="shared" si="16"/>
        <v>4.7787067120700346</v>
      </c>
      <c r="S261" s="330">
        <f t="shared" si="17"/>
        <v>4.4312932879299662</v>
      </c>
    </row>
    <row r="262" spans="1:19" x14ac:dyDescent="0.2">
      <c r="A262" s="329">
        <v>11</v>
      </c>
      <c r="B262" s="329">
        <v>55</v>
      </c>
      <c r="C262" s="330">
        <v>16.044</v>
      </c>
      <c r="D262" s="330">
        <v>15.7</v>
      </c>
      <c r="E262" s="330">
        <v>1.704</v>
      </c>
      <c r="F262" s="330">
        <v>21.7</v>
      </c>
      <c r="G262" s="330">
        <v>13.5</v>
      </c>
      <c r="H262" s="330">
        <f t="shared" si="14"/>
        <v>16.494343933729848</v>
      </c>
      <c r="I262" s="330">
        <f t="shared" si="15"/>
        <v>15.593656066270153</v>
      </c>
      <c r="J262" s="335"/>
      <c r="K262" s="324">
        <v>11</v>
      </c>
      <c r="L262" s="324">
        <v>55</v>
      </c>
      <c r="M262" s="326">
        <v>5.2359999999999998</v>
      </c>
      <c r="N262" s="326">
        <v>5.3</v>
      </c>
      <c r="O262" s="326">
        <v>0.86499999999999999</v>
      </c>
      <c r="P262" s="326">
        <v>7.1</v>
      </c>
      <c r="Q262" s="326">
        <v>3.3</v>
      </c>
      <c r="R262" s="326">
        <f t="shared" si="16"/>
        <v>5.4646076893640361</v>
      </c>
      <c r="S262" s="326">
        <f t="shared" si="17"/>
        <v>5.0073923106359635</v>
      </c>
    </row>
    <row r="263" spans="1:19" x14ac:dyDescent="0.2">
      <c r="A263" s="324">
        <v>12</v>
      </c>
      <c r="B263" s="324">
        <v>35</v>
      </c>
      <c r="C263" s="326">
        <v>16.649000000000001</v>
      </c>
      <c r="D263" s="326">
        <v>16.5</v>
      </c>
      <c r="E263" s="326">
        <v>1.9159999999999999</v>
      </c>
      <c r="F263" s="326">
        <v>23.2</v>
      </c>
      <c r="G263" s="326">
        <v>14.2</v>
      </c>
      <c r="H263" s="326">
        <f t="shared" si="14"/>
        <v>17.283771696407456</v>
      </c>
      <c r="I263" s="326">
        <f t="shared" si="15"/>
        <v>16.014228303592546</v>
      </c>
      <c r="J263" s="335"/>
      <c r="K263" s="329">
        <v>12</v>
      </c>
      <c r="L263" s="329">
        <v>35</v>
      </c>
      <c r="M263" s="330">
        <v>5.7539999999999996</v>
      </c>
      <c r="N263" s="330">
        <v>5.5</v>
      </c>
      <c r="O263" s="330">
        <v>1.264</v>
      </c>
      <c r="P263" s="330">
        <v>10.3</v>
      </c>
      <c r="Q263" s="330">
        <v>3.8</v>
      </c>
      <c r="R263" s="330">
        <f t="shared" si="16"/>
        <v>6.1727637913669229</v>
      </c>
      <c r="S263" s="330">
        <f t="shared" si="17"/>
        <v>5.3352362086330762</v>
      </c>
    </row>
    <row r="264" spans="1:19" x14ac:dyDescent="0.2">
      <c r="A264" s="329">
        <v>13</v>
      </c>
      <c r="B264" s="329">
        <v>64</v>
      </c>
      <c r="C264" s="330">
        <v>17.43</v>
      </c>
      <c r="D264" s="330">
        <v>17.45</v>
      </c>
      <c r="E264" s="330">
        <v>1.556</v>
      </c>
      <c r="F264" s="330">
        <v>20.9</v>
      </c>
      <c r="G264" s="330">
        <v>14.7</v>
      </c>
      <c r="H264" s="330">
        <f t="shared" si="14"/>
        <v>17.811219999999999</v>
      </c>
      <c r="I264" s="330">
        <f t="shared" si="15"/>
        <v>17.048780000000001</v>
      </c>
      <c r="J264" s="335"/>
      <c r="K264" s="324">
        <v>13</v>
      </c>
      <c r="L264" s="324">
        <v>64</v>
      </c>
      <c r="M264" s="326">
        <v>6.7919999999999998</v>
      </c>
      <c r="N264" s="326">
        <v>6.7</v>
      </c>
      <c r="O264" s="326">
        <v>0.97799999999999998</v>
      </c>
      <c r="P264" s="326">
        <v>8.8000000000000007</v>
      </c>
      <c r="Q264" s="326">
        <v>4.5999999999999996</v>
      </c>
      <c r="R264" s="326">
        <f t="shared" si="16"/>
        <v>7.0316099999999997</v>
      </c>
      <c r="S264" s="326">
        <f t="shared" si="17"/>
        <v>6.5523899999999999</v>
      </c>
    </row>
    <row r="265" spans="1:19" x14ac:dyDescent="0.2">
      <c r="A265" s="324">
        <v>14</v>
      </c>
      <c r="B265" s="324">
        <v>87</v>
      </c>
      <c r="C265" s="326">
        <v>18.344000000000001</v>
      </c>
      <c r="D265" s="326">
        <v>18.100000000000001</v>
      </c>
      <c r="E265" s="326">
        <v>2.0270000000000001</v>
      </c>
      <c r="F265" s="326">
        <v>27.2</v>
      </c>
      <c r="G265" s="326">
        <v>13.5</v>
      </c>
      <c r="H265" s="326">
        <f t="shared" si="14"/>
        <v>18.769941733190777</v>
      </c>
      <c r="I265" s="326">
        <f t="shared" si="15"/>
        <v>17.918058266809226</v>
      </c>
      <c r="J265" s="335"/>
      <c r="K265" s="329">
        <v>14</v>
      </c>
      <c r="L265" s="329">
        <v>87</v>
      </c>
      <c r="M265" s="330">
        <v>7.3150000000000004</v>
      </c>
      <c r="N265" s="330">
        <v>7.3</v>
      </c>
      <c r="O265" s="330">
        <v>1.1439999999999999</v>
      </c>
      <c r="P265" s="330">
        <v>12.8</v>
      </c>
      <c r="Q265" s="330">
        <v>4.2</v>
      </c>
      <c r="R265" s="330">
        <f t="shared" si="16"/>
        <v>7.5553933610114701</v>
      </c>
      <c r="S265" s="330">
        <f t="shared" si="17"/>
        <v>7.0746066389885307</v>
      </c>
    </row>
    <row r="266" spans="1:19" x14ac:dyDescent="0.2">
      <c r="A266" s="329">
        <v>15</v>
      </c>
      <c r="B266" s="329">
        <v>70</v>
      </c>
      <c r="C266" s="330">
        <v>18.606000000000002</v>
      </c>
      <c r="D266" s="330">
        <v>18.600000000000001</v>
      </c>
      <c r="E266" s="330">
        <v>1.9970000000000001</v>
      </c>
      <c r="F266" s="330">
        <v>25</v>
      </c>
      <c r="G266" s="330">
        <v>14.1</v>
      </c>
      <c r="H266" s="330">
        <f t="shared" si="14"/>
        <v>19.073826820436796</v>
      </c>
      <c r="I266" s="330">
        <f t="shared" si="15"/>
        <v>18.138173179563207</v>
      </c>
      <c r="J266" s="335"/>
      <c r="K266" s="324">
        <v>15</v>
      </c>
      <c r="L266" s="324">
        <v>70</v>
      </c>
      <c r="M266" s="326">
        <v>7.6859999999999999</v>
      </c>
      <c r="N266" s="326">
        <v>7.7</v>
      </c>
      <c r="O266" s="326">
        <v>1.0429999999999999</v>
      </c>
      <c r="P266" s="326">
        <v>11</v>
      </c>
      <c r="Q266" s="326">
        <v>5</v>
      </c>
      <c r="R266" s="326">
        <f t="shared" si="16"/>
        <v>7.9303381941490114</v>
      </c>
      <c r="S266" s="326">
        <f t="shared" si="17"/>
        <v>7.4416618058509885</v>
      </c>
    </row>
    <row r="267" spans="1:19" x14ac:dyDescent="0.2">
      <c r="A267" s="324">
        <v>16</v>
      </c>
      <c r="B267" s="324">
        <v>38</v>
      </c>
      <c r="C267" s="326">
        <v>18.829000000000001</v>
      </c>
      <c r="D267" s="326">
        <v>18.149999999999999</v>
      </c>
      <c r="E267" s="326">
        <v>2.1269999999999998</v>
      </c>
      <c r="F267" s="326">
        <v>26.4</v>
      </c>
      <c r="G267" s="326">
        <v>15.7</v>
      </c>
      <c r="H267" s="326">
        <f t="shared" si="14"/>
        <v>19.50528812698046</v>
      </c>
      <c r="I267" s="326">
        <f t="shared" si="15"/>
        <v>18.152711873019541</v>
      </c>
      <c r="J267" s="335"/>
      <c r="K267" s="329">
        <v>16</v>
      </c>
      <c r="L267" s="329">
        <v>38</v>
      </c>
      <c r="M267" s="330">
        <v>7.8739999999999997</v>
      </c>
      <c r="N267" s="330">
        <v>7.7</v>
      </c>
      <c r="O267" s="330">
        <v>1.3049999999999999</v>
      </c>
      <c r="P267" s="330">
        <v>12.3</v>
      </c>
      <c r="Q267" s="330">
        <v>5.9</v>
      </c>
      <c r="R267" s="330">
        <f t="shared" si="16"/>
        <v>8.2889299509682637</v>
      </c>
      <c r="S267" s="330">
        <f t="shared" si="17"/>
        <v>7.4590700490317356</v>
      </c>
    </row>
    <row r="268" spans="1:19" x14ac:dyDescent="0.2">
      <c r="A268" s="329">
        <v>17</v>
      </c>
      <c r="B268" s="329">
        <v>30</v>
      </c>
      <c r="C268" s="330">
        <v>19.556999999999999</v>
      </c>
      <c r="D268" s="330">
        <v>19.100000000000001</v>
      </c>
      <c r="E268" s="330">
        <v>1.94</v>
      </c>
      <c r="F268" s="330">
        <v>23.9</v>
      </c>
      <c r="G268" s="330">
        <v>15.6</v>
      </c>
      <c r="H268" s="330">
        <f t="shared" si="14"/>
        <v>20.251220084219213</v>
      </c>
      <c r="I268" s="330">
        <f t="shared" si="15"/>
        <v>18.862779915780784</v>
      </c>
      <c r="J268" s="335"/>
      <c r="K268" s="324">
        <v>17</v>
      </c>
      <c r="L268" s="324">
        <v>30</v>
      </c>
      <c r="M268" s="326">
        <v>8.3670000000000009</v>
      </c>
      <c r="N268" s="326">
        <v>8.1</v>
      </c>
      <c r="O268" s="326">
        <v>1.202</v>
      </c>
      <c r="P268" s="326">
        <v>10.4</v>
      </c>
      <c r="Q268" s="326">
        <v>6.3</v>
      </c>
      <c r="R268" s="326">
        <f t="shared" si="16"/>
        <v>8.7971301758925247</v>
      </c>
      <c r="S268" s="326">
        <f t="shared" si="17"/>
        <v>7.9368698241074771</v>
      </c>
    </row>
    <row r="269" spans="1:19" x14ac:dyDescent="0.2">
      <c r="A269" s="324">
        <v>18</v>
      </c>
      <c r="B269" s="324">
        <v>21</v>
      </c>
      <c r="C269" s="326">
        <v>18.780999999999999</v>
      </c>
      <c r="D269" s="326">
        <v>19.600000000000001</v>
      </c>
      <c r="E269" s="326">
        <v>2.7559999999999998</v>
      </c>
      <c r="F269" s="326">
        <v>22.3</v>
      </c>
      <c r="G269" s="326">
        <v>9.4</v>
      </c>
      <c r="H269" s="326">
        <f t="shared" si="14"/>
        <v>19.959760670761174</v>
      </c>
      <c r="I269" s="326">
        <f t="shared" si="15"/>
        <v>17.602239329238824</v>
      </c>
      <c r="J269" s="335"/>
      <c r="K269" s="329">
        <v>18</v>
      </c>
      <c r="L269" s="329">
        <v>21</v>
      </c>
      <c r="M269" s="330">
        <v>8.2859999999999996</v>
      </c>
      <c r="N269" s="330">
        <v>8.1999999999999993</v>
      </c>
      <c r="O269" s="330">
        <v>0.79900000000000004</v>
      </c>
      <c r="P269" s="330">
        <v>10.1</v>
      </c>
      <c r="Q269" s="330">
        <v>6.9</v>
      </c>
      <c r="R269" s="330">
        <f t="shared" si="16"/>
        <v>8.6277379448251725</v>
      </c>
      <c r="S269" s="330">
        <f t="shared" si="17"/>
        <v>7.9442620551748258</v>
      </c>
    </row>
    <row r="270" spans="1:19" x14ac:dyDescent="0.2">
      <c r="A270" s="329">
        <v>19</v>
      </c>
      <c r="B270" s="329">
        <v>7</v>
      </c>
      <c r="C270" s="330">
        <v>21.471</v>
      </c>
      <c r="D270" s="330">
        <v>20.6</v>
      </c>
      <c r="E270" s="330">
        <v>2.101</v>
      </c>
      <c r="F270" s="330">
        <v>24.7</v>
      </c>
      <c r="G270" s="330">
        <v>19.2</v>
      </c>
      <c r="H270" s="330">
        <f t="shared" si="14"/>
        <v>23.027442581273078</v>
      </c>
      <c r="I270" s="330">
        <f t="shared" si="15"/>
        <v>19.914557418726922</v>
      </c>
      <c r="J270" s="335"/>
      <c r="K270" s="332">
        <v>19</v>
      </c>
      <c r="L270" s="332">
        <v>7</v>
      </c>
      <c r="M270" s="333">
        <v>9.2859999999999996</v>
      </c>
      <c r="N270" s="333">
        <v>9.3000000000000007</v>
      </c>
      <c r="O270" s="333">
        <v>1.7330000000000001</v>
      </c>
      <c r="P270" s="333">
        <v>11.6</v>
      </c>
      <c r="Q270" s="333">
        <v>6.5</v>
      </c>
      <c r="R270" s="333">
        <f t="shared" si="16"/>
        <v>10.569824366180981</v>
      </c>
      <c r="S270" s="333">
        <f t="shared" si="17"/>
        <v>8.002175633819018</v>
      </c>
    </row>
    <row r="271" spans="1:19" x14ac:dyDescent="0.2">
      <c r="A271" s="332"/>
      <c r="B271" s="332"/>
      <c r="C271" s="333"/>
      <c r="D271" s="333"/>
      <c r="E271" s="333"/>
      <c r="F271" s="333"/>
      <c r="G271" s="333"/>
      <c r="H271" s="333"/>
      <c r="I271" s="333"/>
      <c r="J271" s="335"/>
      <c r="K271" s="324"/>
      <c r="L271" s="324"/>
      <c r="M271" s="324"/>
      <c r="N271" s="324"/>
      <c r="O271" s="324"/>
      <c r="P271" s="324"/>
      <c r="Q271" s="324"/>
      <c r="R271" s="326"/>
      <c r="S271" s="326"/>
    </row>
    <row r="272" spans="1:19" x14ac:dyDescent="0.2">
      <c r="A272" s="332"/>
      <c r="B272" s="332"/>
      <c r="C272" s="333"/>
      <c r="D272" s="333"/>
      <c r="E272" s="333"/>
      <c r="F272" s="333"/>
      <c r="G272" s="333"/>
      <c r="H272" s="333"/>
      <c r="I272" s="333"/>
      <c r="J272" s="335"/>
      <c r="K272" s="324"/>
      <c r="L272" s="324"/>
      <c r="M272" s="324"/>
      <c r="N272" s="324"/>
      <c r="O272" s="324"/>
      <c r="P272" s="324"/>
      <c r="Q272" s="324"/>
      <c r="R272" s="326"/>
      <c r="S272" s="326"/>
    </row>
    <row r="273" spans="1:19" x14ac:dyDescent="0.2">
      <c r="A273" s="800" t="s">
        <v>716</v>
      </c>
      <c r="B273" s="800"/>
      <c r="C273" s="800"/>
      <c r="D273" s="800"/>
      <c r="E273" s="800"/>
      <c r="F273" s="800"/>
      <c r="G273" s="800"/>
      <c r="H273" s="800"/>
      <c r="I273" s="801"/>
      <c r="J273" s="335"/>
      <c r="K273" s="800" t="s">
        <v>678</v>
      </c>
      <c r="L273" s="800"/>
      <c r="M273" s="800"/>
      <c r="N273" s="800"/>
      <c r="O273" s="800"/>
      <c r="P273" s="800"/>
      <c r="Q273" s="800"/>
      <c r="R273" s="800"/>
      <c r="S273" s="801"/>
    </row>
    <row r="274" spans="1:19" x14ac:dyDescent="0.2">
      <c r="A274" s="324" t="s">
        <v>504</v>
      </c>
      <c r="B274" s="324" t="s">
        <v>641</v>
      </c>
      <c r="C274" s="326" t="s">
        <v>642</v>
      </c>
      <c r="D274" s="326" t="s">
        <v>643</v>
      </c>
      <c r="E274" s="326" t="s">
        <v>644</v>
      </c>
      <c r="F274" s="326" t="s">
        <v>645</v>
      </c>
      <c r="G274" s="326" t="s">
        <v>646</v>
      </c>
      <c r="H274" s="326" t="s">
        <v>647</v>
      </c>
      <c r="I274" s="326" t="s">
        <v>648</v>
      </c>
      <c r="J274" s="335"/>
      <c r="K274" s="332" t="s">
        <v>504</v>
      </c>
      <c r="L274" s="332" t="s">
        <v>641</v>
      </c>
      <c r="M274" s="333" t="s">
        <v>642</v>
      </c>
      <c r="N274" s="333" t="s">
        <v>643</v>
      </c>
      <c r="O274" s="333" t="s">
        <v>644</v>
      </c>
      <c r="P274" s="333" t="s">
        <v>645</v>
      </c>
      <c r="Q274" s="333" t="s">
        <v>646</v>
      </c>
      <c r="R274" s="333" t="s">
        <v>647</v>
      </c>
      <c r="S274" s="333" t="s">
        <v>648</v>
      </c>
    </row>
    <row r="275" spans="1:19" x14ac:dyDescent="0.2">
      <c r="A275" s="329">
        <v>7</v>
      </c>
      <c r="B275" s="329">
        <v>14</v>
      </c>
      <c r="C275" s="330">
        <v>20.664000000000001</v>
      </c>
      <c r="D275" s="330">
        <v>20.350000000000001</v>
      </c>
      <c r="E275" s="330">
        <v>1.3069999999999999</v>
      </c>
      <c r="F275" s="330">
        <v>23.8</v>
      </c>
      <c r="G275" s="330">
        <v>18.899999999999999</v>
      </c>
      <c r="H275" s="330">
        <f t="shared" ref="H275:H338" si="18">C275+(1.96*E275)/(B275)^0.5</f>
        <v>21.348648468631897</v>
      </c>
      <c r="I275" s="330">
        <f t="shared" ref="I275:I338" si="19">C275-(1.96*E275)/(B275)^0.5</f>
        <v>19.979351531368106</v>
      </c>
      <c r="J275" s="335"/>
      <c r="K275" s="324">
        <v>7</v>
      </c>
      <c r="L275" s="324">
        <v>14</v>
      </c>
      <c r="M275" s="326">
        <v>2.2570000000000001</v>
      </c>
      <c r="N275" s="326">
        <v>2.25</v>
      </c>
      <c r="O275" s="326">
        <v>0.14000000000000001</v>
      </c>
      <c r="P275" s="326">
        <v>2.5</v>
      </c>
      <c r="Q275" s="326">
        <v>2</v>
      </c>
      <c r="R275" s="326">
        <f t="shared" ref="R275:R304" si="20">M275+(1.96*O275)/(L275)^0.5</f>
        <v>2.3303364847807693</v>
      </c>
      <c r="S275" s="326">
        <f t="shared" ref="S275:S304" si="21">M275-(1.96*O275)/(L275)^0.5</f>
        <v>2.183663515219231</v>
      </c>
    </row>
    <row r="276" spans="1:19" x14ac:dyDescent="0.2">
      <c r="A276" s="324">
        <v>8</v>
      </c>
      <c r="B276" s="324">
        <v>39</v>
      </c>
      <c r="C276" s="326">
        <v>21.143999999999998</v>
      </c>
      <c r="D276" s="326">
        <v>20.9</v>
      </c>
      <c r="E276" s="326">
        <v>1.889</v>
      </c>
      <c r="F276" s="326">
        <v>25.9</v>
      </c>
      <c r="G276" s="326">
        <v>17.8</v>
      </c>
      <c r="H276" s="326">
        <f t="shared" si="18"/>
        <v>21.736864881774107</v>
      </c>
      <c r="I276" s="326">
        <f t="shared" si="19"/>
        <v>20.55113511822589</v>
      </c>
      <c r="J276" s="335"/>
      <c r="K276" s="329">
        <v>8</v>
      </c>
      <c r="L276" s="329">
        <v>39</v>
      </c>
      <c r="M276" s="330">
        <v>2.218</v>
      </c>
      <c r="N276" s="330">
        <v>2.2000000000000002</v>
      </c>
      <c r="O276" s="330">
        <v>0.20200000000000001</v>
      </c>
      <c r="P276" s="330">
        <v>2.6</v>
      </c>
      <c r="Q276" s="330">
        <v>1.8</v>
      </c>
      <c r="R276" s="330">
        <f t="shared" si="20"/>
        <v>2.2813979386545102</v>
      </c>
      <c r="S276" s="330">
        <f t="shared" si="21"/>
        <v>2.1546020613454897</v>
      </c>
    </row>
    <row r="277" spans="1:19" x14ac:dyDescent="0.2">
      <c r="A277" s="329">
        <v>9</v>
      </c>
      <c r="B277" s="329">
        <v>57</v>
      </c>
      <c r="C277" s="330">
        <v>21.407</v>
      </c>
      <c r="D277" s="330">
        <v>21.3</v>
      </c>
      <c r="E277" s="330">
        <v>1.875</v>
      </c>
      <c r="F277" s="330">
        <v>29.9</v>
      </c>
      <c r="G277" s="330">
        <v>17.3</v>
      </c>
      <c r="H277" s="330">
        <f t="shared" si="18"/>
        <v>21.893765641221403</v>
      </c>
      <c r="I277" s="330">
        <f t="shared" si="19"/>
        <v>20.920234358778597</v>
      </c>
      <c r="J277" s="335"/>
      <c r="K277" s="324">
        <v>9</v>
      </c>
      <c r="L277" s="324">
        <v>57</v>
      </c>
      <c r="M277" s="326">
        <v>2.3210000000000002</v>
      </c>
      <c r="N277" s="326">
        <v>2.2999999999999998</v>
      </c>
      <c r="O277" s="326">
        <v>0.192</v>
      </c>
      <c r="P277" s="326">
        <v>3</v>
      </c>
      <c r="Q277" s="326">
        <v>1.8</v>
      </c>
      <c r="R277" s="326">
        <f t="shared" si="20"/>
        <v>2.3708448016610717</v>
      </c>
      <c r="S277" s="326">
        <f t="shared" si="21"/>
        <v>2.2711551983389286</v>
      </c>
    </row>
    <row r="278" spans="1:19" x14ac:dyDescent="0.2">
      <c r="A278" s="324">
        <v>10</v>
      </c>
      <c r="B278" s="324">
        <v>66</v>
      </c>
      <c r="C278" s="326">
        <v>22.126000000000001</v>
      </c>
      <c r="D278" s="326">
        <v>22.1</v>
      </c>
      <c r="E278" s="326">
        <v>1.5649999999999999</v>
      </c>
      <c r="F278" s="326">
        <v>26.7</v>
      </c>
      <c r="G278" s="326">
        <v>18.8</v>
      </c>
      <c r="H278" s="326">
        <f t="shared" si="18"/>
        <v>22.503570839430008</v>
      </c>
      <c r="I278" s="326">
        <f t="shared" si="19"/>
        <v>21.748429160569994</v>
      </c>
      <c r="J278" s="335"/>
      <c r="K278" s="329">
        <v>10</v>
      </c>
      <c r="L278" s="329">
        <v>66</v>
      </c>
      <c r="M278" s="330">
        <v>2.4590000000000001</v>
      </c>
      <c r="N278" s="330">
        <v>2.4</v>
      </c>
      <c r="O278" s="330">
        <v>0.251</v>
      </c>
      <c r="P278" s="330">
        <v>3.1</v>
      </c>
      <c r="Q278" s="330">
        <v>2</v>
      </c>
      <c r="R278" s="330">
        <f t="shared" si="20"/>
        <v>2.5195560899021925</v>
      </c>
      <c r="S278" s="330">
        <f t="shared" si="21"/>
        <v>2.3984439100978077</v>
      </c>
    </row>
    <row r="279" spans="1:19" x14ac:dyDescent="0.2">
      <c r="A279" s="329">
        <v>11</v>
      </c>
      <c r="B279" s="329">
        <v>55</v>
      </c>
      <c r="C279" s="330">
        <v>23.463999999999999</v>
      </c>
      <c r="D279" s="330">
        <v>23.4</v>
      </c>
      <c r="E279" s="330">
        <v>1.9490000000000001</v>
      </c>
      <c r="F279" s="330">
        <v>29</v>
      </c>
      <c r="G279" s="330">
        <v>20.100000000000001</v>
      </c>
      <c r="H279" s="330">
        <f t="shared" si="18"/>
        <v>23.979094088520814</v>
      </c>
      <c r="I279" s="330">
        <f t="shared" si="19"/>
        <v>22.948905911479184</v>
      </c>
      <c r="J279" s="335"/>
      <c r="K279" s="324">
        <v>11</v>
      </c>
      <c r="L279" s="324">
        <v>55</v>
      </c>
      <c r="M279" s="326">
        <v>2.669</v>
      </c>
      <c r="N279" s="326">
        <v>2.7</v>
      </c>
      <c r="O279" s="326">
        <v>0.27700000000000002</v>
      </c>
      <c r="P279" s="326">
        <v>3.3</v>
      </c>
      <c r="Q279" s="326">
        <v>2.1</v>
      </c>
      <c r="R279" s="326">
        <f t="shared" si="20"/>
        <v>2.7422073178657089</v>
      </c>
      <c r="S279" s="326">
        <f t="shared" si="21"/>
        <v>2.5957926821342912</v>
      </c>
    </row>
    <row r="280" spans="1:19" x14ac:dyDescent="0.2">
      <c r="A280" s="324">
        <v>12</v>
      </c>
      <c r="B280" s="324">
        <v>35</v>
      </c>
      <c r="C280" s="326">
        <v>24.396999999999998</v>
      </c>
      <c r="D280" s="326">
        <v>23.9</v>
      </c>
      <c r="E280" s="326">
        <v>2.137</v>
      </c>
      <c r="F280" s="326">
        <v>32.1</v>
      </c>
      <c r="G280" s="326">
        <v>21.3</v>
      </c>
      <c r="H280" s="326">
        <f t="shared" si="18"/>
        <v>25.104989099803095</v>
      </c>
      <c r="I280" s="326">
        <f t="shared" si="19"/>
        <v>23.689010900196902</v>
      </c>
      <c r="J280" s="335"/>
      <c r="K280" s="329">
        <v>12</v>
      </c>
      <c r="L280" s="329">
        <v>35</v>
      </c>
      <c r="M280" s="330">
        <v>2.794</v>
      </c>
      <c r="N280" s="330">
        <v>2.7</v>
      </c>
      <c r="O280" s="330">
        <v>0.33700000000000002</v>
      </c>
      <c r="P280" s="330">
        <v>3.9</v>
      </c>
      <c r="Q280" s="330">
        <v>2.2999999999999998</v>
      </c>
      <c r="R280" s="330">
        <f t="shared" si="20"/>
        <v>2.9056482576666558</v>
      </c>
      <c r="S280" s="330">
        <f t="shared" si="21"/>
        <v>2.6823517423333443</v>
      </c>
    </row>
    <row r="281" spans="1:19" x14ac:dyDescent="0.2">
      <c r="A281" s="329">
        <v>13</v>
      </c>
      <c r="B281" s="329">
        <v>64</v>
      </c>
      <c r="C281" s="330">
        <v>25.4</v>
      </c>
      <c r="D281" s="330">
        <v>25.15</v>
      </c>
      <c r="E281" s="330">
        <v>1.944</v>
      </c>
      <c r="F281" s="330">
        <v>29.9</v>
      </c>
      <c r="G281" s="330">
        <v>21.1</v>
      </c>
      <c r="H281" s="330">
        <f t="shared" si="18"/>
        <v>25.876279999999998</v>
      </c>
      <c r="I281" s="330">
        <f t="shared" si="19"/>
        <v>24.923719999999999</v>
      </c>
      <c r="J281" s="335"/>
      <c r="K281" s="324">
        <v>13</v>
      </c>
      <c r="L281" s="324">
        <v>64</v>
      </c>
      <c r="M281" s="326">
        <v>3.161</v>
      </c>
      <c r="N281" s="326">
        <v>3.2</v>
      </c>
      <c r="O281" s="326">
        <v>0.31900000000000001</v>
      </c>
      <c r="P281" s="326">
        <v>3.8</v>
      </c>
      <c r="Q281" s="326">
        <v>2.4</v>
      </c>
      <c r="R281" s="326">
        <f t="shared" si="20"/>
        <v>3.2391550000000002</v>
      </c>
      <c r="S281" s="326">
        <f t="shared" si="21"/>
        <v>3.0828449999999998</v>
      </c>
    </row>
    <row r="282" spans="1:19" x14ac:dyDescent="0.2">
      <c r="A282" s="324">
        <v>14</v>
      </c>
      <c r="B282" s="324">
        <v>87</v>
      </c>
      <c r="C282" s="326">
        <v>26.478999999999999</v>
      </c>
      <c r="D282" s="326">
        <v>26.4</v>
      </c>
      <c r="E282" s="326">
        <v>2.2829999999999999</v>
      </c>
      <c r="F282" s="326">
        <v>36.200000000000003</v>
      </c>
      <c r="G282" s="326">
        <v>21</v>
      </c>
      <c r="H282" s="326">
        <f t="shared" si="18"/>
        <v>26.958736051738796</v>
      </c>
      <c r="I282" s="326">
        <f t="shared" si="19"/>
        <v>25.999263948261202</v>
      </c>
      <c r="J282" s="335"/>
      <c r="K282" s="329">
        <v>14</v>
      </c>
      <c r="L282" s="329">
        <v>87</v>
      </c>
      <c r="M282" s="330">
        <v>3.399</v>
      </c>
      <c r="N282" s="330">
        <v>3.4</v>
      </c>
      <c r="O282" s="330">
        <v>0.36199999999999999</v>
      </c>
      <c r="P282" s="330">
        <v>4.7</v>
      </c>
      <c r="Q282" s="330">
        <v>2.5</v>
      </c>
      <c r="R282" s="330">
        <f t="shared" si="20"/>
        <v>3.475068528571811</v>
      </c>
      <c r="S282" s="330">
        <f t="shared" si="21"/>
        <v>3.322931471428189</v>
      </c>
    </row>
    <row r="283" spans="1:19" x14ac:dyDescent="0.2">
      <c r="A283" s="329">
        <v>15</v>
      </c>
      <c r="B283" s="329">
        <v>70</v>
      </c>
      <c r="C283" s="330">
        <v>26.983000000000001</v>
      </c>
      <c r="D283" s="330">
        <v>26.8</v>
      </c>
      <c r="E283" s="330">
        <v>2.11</v>
      </c>
      <c r="F283" s="330">
        <v>35</v>
      </c>
      <c r="G283" s="330">
        <v>22.6</v>
      </c>
      <c r="H283" s="330">
        <f t="shared" si="18"/>
        <v>27.477298743676332</v>
      </c>
      <c r="I283" s="330">
        <f t="shared" si="19"/>
        <v>26.488701256323669</v>
      </c>
      <c r="J283" s="335"/>
      <c r="K283" s="324">
        <v>15</v>
      </c>
      <c r="L283" s="324">
        <v>70</v>
      </c>
      <c r="M283" s="326">
        <v>3.5840000000000001</v>
      </c>
      <c r="N283" s="326">
        <v>3.55</v>
      </c>
      <c r="O283" s="326">
        <v>0.308</v>
      </c>
      <c r="P283" s="326">
        <v>4.4000000000000004</v>
      </c>
      <c r="Q283" s="326">
        <v>2.9</v>
      </c>
      <c r="R283" s="326">
        <f t="shared" si="20"/>
        <v>3.6561535606882987</v>
      </c>
      <c r="S283" s="326">
        <f t="shared" si="21"/>
        <v>3.5118464393117015</v>
      </c>
    </row>
    <row r="284" spans="1:19" x14ac:dyDescent="0.2">
      <c r="A284" s="329">
        <v>16</v>
      </c>
      <c r="B284" s="329">
        <v>38</v>
      </c>
      <c r="C284" s="330">
        <v>27.305</v>
      </c>
      <c r="D284" s="330">
        <v>26.65</v>
      </c>
      <c r="E284" s="330">
        <v>2.415</v>
      </c>
      <c r="F284" s="330">
        <v>36.9</v>
      </c>
      <c r="G284" s="330">
        <v>24.4</v>
      </c>
      <c r="H284" s="330">
        <f t="shared" si="18"/>
        <v>28.072858874780351</v>
      </c>
      <c r="I284" s="330">
        <f t="shared" si="19"/>
        <v>26.537141125219648</v>
      </c>
      <c r="J284" s="335"/>
      <c r="K284" s="329">
        <v>16</v>
      </c>
      <c r="L284" s="329">
        <v>38</v>
      </c>
      <c r="M284" s="330">
        <v>3.6259999999999999</v>
      </c>
      <c r="N284" s="330">
        <v>3.6</v>
      </c>
      <c r="O284" s="330">
        <v>0.35099999999999998</v>
      </c>
      <c r="P284" s="330">
        <v>4.8</v>
      </c>
      <c r="Q284" s="330">
        <v>3</v>
      </c>
      <c r="R284" s="330">
        <f t="shared" si="20"/>
        <v>3.7376018488811193</v>
      </c>
      <c r="S284" s="330">
        <f t="shared" si="21"/>
        <v>3.5143981511188804</v>
      </c>
    </row>
    <row r="285" spans="1:19" x14ac:dyDescent="0.2">
      <c r="A285" s="324">
        <v>17</v>
      </c>
      <c r="B285" s="324">
        <v>30</v>
      </c>
      <c r="C285" s="326">
        <v>28.216999999999999</v>
      </c>
      <c r="D285" s="326">
        <v>28</v>
      </c>
      <c r="E285" s="326">
        <v>2.3149999999999999</v>
      </c>
      <c r="F285" s="326">
        <v>33</v>
      </c>
      <c r="G285" s="326">
        <v>24.2</v>
      </c>
      <c r="H285" s="326">
        <f t="shared" si="18"/>
        <v>29.04541211080798</v>
      </c>
      <c r="I285" s="326">
        <f t="shared" si="19"/>
        <v>27.388587889192017</v>
      </c>
      <c r="J285" s="335"/>
      <c r="K285" s="324">
        <v>17</v>
      </c>
      <c r="L285" s="324">
        <v>30</v>
      </c>
      <c r="M285" s="326">
        <v>3.75</v>
      </c>
      <c r="N285" s="326">
        <v>3.75</v>
      </c>
      <c r="O285" s="326">
        <v>0.33500000000000002</v>
      </c>
      <c r="P285" s="326">
        <v>4.4000000000000004</v>
      </c>
      <c r="Q285" s="326">
        <v>3.1</v>
      </c>
      <c r="R285" s="326">
        <f t="shared" si="20"/>
        <v>3.8698782104192975</v>
      </c>
      <c r="S285" s="326">
        <f t="shared" si="21"/>
        <v>3.6301217895807025</v>
      </c>
    </row>
    <row r="286" spans="1:19" x14ac:dyDescent="0.2">
      <c r="A286" s="329">
        <v>18</v>
      </c>
      <c r="B286" s="329">
        <v>21</v>
      </c>
      <c r="C286" s="330">
        <v>27.2</v>
      </c>
      <c r="D286" s="330">
        <v>27.1</v>
      </c>
      <c r="E286" s="330">
        <v>1.415</v>
      </c>
      <c r="F286" s="330">
        <v>30.4</v>
      </c>
      <c r="G286" s="330">
        <v>24.2</v>
      </c>
      <c r="H286" s="330">
        <f t="shared" si="18"/>
        <v>27.805205496780502</v>
      </c>
      <c r="I286" s="330">
        <f t="shared" si="19"/>
        <v>26.594794503219497</v>
      </c>
      <c r="J286" s="335"/>
      <c r="K286" s="329">
        <v>18</v>
      </c>
      <c r="L286" s="329">
        <v>21</v>
      </c>
      <c r="M286" s="330">
        <v>3.7570000000000001</v>
      </c>
      <c r="N286" s="330">
        <v>3.7</v>
      </c>
      <c r="O286" s="330">
        <v>0.21099999999999999</v>
      </c>
      <c r="P286" s="330">
        <v>4.2</v>
      </c>
      <c r="Q286" s="330">
        <v>3.3</v>
      </c>
      <c r="R286" s="330">
        <f t="shared" si="20"/>
        <v>3.8472461906859969</v>
      </c>
      <c r="S286" s="330">
        <f t="shared" si="21"/>
        <v>3.6667538093140033</v>
      </c>
    </row>
    <row r="287" spans="1:19" x14ac:dyDescent="0.2">
      <c r="A287" s="324">
        <v>19</v>
      </c>
      <c r="B287" s="324">
        <v>7</v>
      </c>
      <c r="C287" s="326">
        <v>29.3</v>
      </c>
      <c r="D287" s="326">
        <v>29.8</v>
      </c>
      <c r="E287" s="326">
        <v>2.7309999999999999</v>
      </c>
      <c r="F287" s="326">
        <v>33</v>
      </c>
      <c r="G287" s="326">
        <v>26</v>
      </c>
      <c r="H287" s="326">
        <f t="shared" si="18"/>
        <v>31.323153112544873</v>
      </c>
      <c r="I287" s="326">
        <f t="shared" si="19"/>
        <v>27.276846887455129</v>
      </c>
      <c r="J287" s="335"/>
      <c r="K287" s="332">
        <v>19</v>
      </c>
      <c r="L287" s="332">
        <v>7</v>
      </c>
      <c r="M287" s="333">
        <v>3.8140000000000001</v>
      </c>
      <c r="N287" s="333">
        <v>3.8</v>
      </c>
      <c r="O287" s="333">
        <v>0.434</v>
      </c>
      <c r="P287" s="333">
        <v>4.3</v>
      </c>
      <c r="Q287" s="333">
        <v>3.1</v>
      </c>
      <c r="R287" s="333">
        <f t="shared" si="20"/>
        <v>4.1355116993205687</v>
      </c>
      <c r="S287" s="333">
        <f t="shared" si="21"/>
        <v>3.4924883006794309</v>
      </c>
    </row>
    <row r="288" spans="1:19" x14ac:dyDescent="0.2">
      <c r="A288" s="332"/>
      <c r="B288" s="332"/>
      <c r="C288" s="333"/>
      <c r="D288" s="333"/>
      <c r="E288" s="333"/>
      <c r="F288" s="333"/>
      <c r="G288" s="333"/>
      <c r="H288" s="333"/>
      <c r="I288" s="333"/>
      <c r="J288" s="335"/>
      <c r="K288" s="324"/>
      <c r="L288" s="324"/>
      <c r="M288" s="324"/>
      <c r="N288" s="324"/>
      <c r="O288" s="324"/>
      <c r="P288" s="324"/>
      <c r="Q288" s="324"/>
      <c r="R288" s="326"/>
      <c r="S288" s="326"/>
    </row>
    <row r="289" spans="1:19" x14ac:dyDescent="0.2">
      <c r="A289" s="332"/>
      <c r="B289" s="332"/>
      <c r="C289" s="333"/>
      <c r="D289" s="333"/>
      <c r="E289" s="333"/>
      <c r="F289" s="333"/>
      <c r="G289" s="333"/>
      <c r="H289" s="333"/>
      <c r="I289" s="333"/>
      <c r="J289" s="335"/>
      <c r="K289" s="324"/>
      <c r="L289" s="324"/>
      <c r="M289" s="324"/>
      <c r="N289" s="324"/>
      <c r="O289" s="324"/>
      <c r="P289" s="324"/>
      <c r="Q289" s="324"/>
      <c r="R289" s="326"/>
      <c r="S289" s="326"/>
    </row>
    <row r="290" spans="1:19" x14ac:dyDescent="0.2">
      <c r="A290" s="800" t="s">
        <v>679</v>
      </c>
      <c r="B290" s="800"/>
      <c r="C290" s="800"/>
      <c r="D290" s="800"/>
      <c r="E290" s="800"/>
      <c r="F290" s="800"/>
      <c r="G290" s="800"/>
      <c r="H290" s="800"/>
      <c r="I290" s="801"/>
      <c r="J290" s="335"/>
      <c r="K290" s="800" t="s">
        <v>680</v>
      </c>
      <c r="L290" s="800"/>
      <c r="M290" s="800"/>
      <c r="N290" s="800"/>
      <c r="O290" s="800"/>
      <c r="P290" s="800"/>
      <c r="Q290" s="800"/>
      <c r="R290" s="800"/>
      <c r="S290" s="801"/>
    </row>
    <row r="291" spans="1:19" x14ac:dyDescent="0.2">
      <c r="A291" s="324" t="s">
        <v>504</v>
      </c>
      <c r="B291" s="324" t="s">
        <v>641</v>
      </c>
      <c r="C291" s="326" t="s">
        <v>642</v>
      </c>
      <c r="D291" s="326" t="s">
        <v>643</v>
      </c>
      <c r="E291" s="326" t="s">
        <v>644</v>
      </c>
      <c r="F291" s="326" t="s">
        <v>645</v>
      </c>
      <c r="G291" s="326" t="s">
        <v>646</v>
      </c>
      <c r="H291" s="326" t="s">
        <v>647</v>
      </c>
      <c r="I291" s="326" t="s">
        <v>648</v>
      </c>
      <c r="J291" s="335"/>
      <c r="K291" s="332" t="s">
        <v>504</v>
      </c>
      <c r="L291" s="332" t="s">
        <v>641</v>
      </c>
      <c r="M291" s="333" t="s">
        <v>642</v>
      </c>
      <c r="N291" s="333" t="s">
        <v>643</v>
      </c>
      <c r="O291" s="333" t="s">
        <v>644</v>
      </c>
      <c r="P291" s="333" t="s">
        <v>645</v>
      </c>
      <c r="Q291" s="333" t="s">
        <v>646</v>
      </c>
      <c r="R291" s="333" t="s">
        <v>647</v>
      </c>
      <c r="S291" s="333" t="s">
        <v>648</v>
      </c>
    </row>
    <row r="292" spans="1:19" x14ac:dyDescent="0.2">
      <c r="A292" s="329">
        <v>7</v>
      </c>
      <c r="B292" s="329">
        <v>14</v>
      </c>
      <c r="C292" s="330">
        <v>5.5209999999999999</v>
      </c>
      <c r="D292" s="330">
        <v>5.5</v>
      </c>
      <c r="E292" s="330">
        <v>0.222</v>
      </c>
      <c r="F292" s="330">
        <v>6</v>
      </c>
      <c r="G292" s="330">
        <v>5.0999999999999996</v>
      </c>
      <c r="H292" s="330">
        <f t="shared" si="18"/>
        <v>5.6372907115809339</v>
      </c>
      <c r="I292" s="330">
        <f t="shared" si="19"/>
        <v>5.4047092884190659</v>
      </c>
      <c r="J292" s="335"/>
      <c r="K292" s="324">
        <v>7</v>
      </c>
      <c r="L292" s="324">
        <v>14</v>
      </c>
      <c r="M292" s="336">
        <v>17.150700000000001</v>
      </c>
      <c r="N292" s="336">
        <v>16.585000000000001</v>
      </c>
      <c r="O292" s="336">
        <v>2.0510999999999999</v>
      </c>
      <c r="P292" s="336">
        <v>21.59</v>
      </c>
      <c r="Q292" s="336">
        <v>14.64</v>
      </c>
      <c r="R292" s="336">
        <f t="shared" si="20"/>
        <v>18.225131885241684</v>
      </c>
      <c r="S292" s="336">
        <f t="shared" si="21"/>
        <v>16.076268114758317</v>
      </c>
    </row>
    <row r="293" spans="1:19" x14ac:dyDescent="0.2">
      <c r="A293" s="324">
        <v>8</v>
      </c>
      <c r="B293" s="324">
        <v>39</v>
      </c>
      <c r="C293" s="326">
        <v>5.6360000000000001</v>
      </c>
      <c r="D293" s="326">
        <v>5.6</v>
      </c>
      <c r="E293" s="326">
        <v>0.34799999999999998</v>
      </c>
      <c r="F293" s="326">
        <v>6.4</v>
      </c>
      <c r="G293" s="326">
        <v>5</v>
      </c>
      <c r="H293" s="326">
        <f t="shared" si="18"/>
        <v>5.745220211147374</v>
      </c>
      <c r="I293" s="326">
        <f t="shared" si="19"/>
        <v>5.5267797888526262</v>
      </c>
      <c r="J293" s="335"/>
      <c r="K293" s="329">
        <v>8</v>
      </c>
      <c r="L293" s="329">
        <v>39</v>
      </c>
      <c r="M293" s="345">
        <v>18.372599999999998</v>
      </c>
      <c r="N293" s="345">
        <v>16.989999999999998</v>
      </c>
      <c r="O293" s="345">
        <v>3.6598000000000002</v>
      </c>
      <c r="P293" s="345">
        <v>26.87</v>
      </c>
      <c r="Q293" s="345">
        <v>13.84</v>
      </c>
      <c r="R293" s="345">
        <f t="shared" si="20"/>
        <v>19.521232553899878</v>
      </c>
      <c r="S293" s="345">
        <f t="shared" si="21"/>
        <v>17.223967446100119</v>
      </c>
    </row>
    <row r="294" spans="1:19" x14ac:dyDescent="0.2">
      <c r="A294" s="329">
        <v>9</v>
      </c>
      <c r="B294" s="329">
        <v>57</v>
      </c>
      <c r="C294" s="330">
        <v>5.774</v>
      </c>
      <c r="D294" s="330">
        <v>5.7</v>
      </c>
      <c r="E294" s="330">
        <v>0.35499999999999998</v>
      </c>
      <c r="F294" s="330">
        <v>6.9</v>
      </c>
      <c r="G294" s="330">
        <v>5.2</v>
      </c>
      <c r="H294" s="330">
        <f t="shared" si="18"/>
        <v>5.866160961404586</v>
      </c>
      <c r="I294" s="330">
        <f t="shared" si="19"/>
        <v>5.6818390385954141</v>
      </c>
      <c r="J294" s="335"/>
      <c r="K294" s="324">
        <v>9</v>
      </c>
      <c r="L294" s="324">
        <v>57</v>
      </c>
      <c r="M294" s="336">
        <v>17.483899999999998</v>
      </c>
      <c r="N294" s="336">
        <v>17.010000000000002</v>
      </c>
      <c r="O294" s="336">
        <v>2.7328999999999999</v>
      </c>
      <c r="P294" s="336">
        <v>28.68</v>
      </c>
      <c r="Q294" s="336">
        <v>13.55</v>
      </c>
      <c r="R294" s="336">
        <f t="shared" si="20"/>
        <v>18.193383637810118</v>
      </c>
      <c r="S294" s="336">
        <f t="shared" si="21"/>
        <v>16.774416362189879</v>
      </c>
    </row>
    <row r="295" spans="1:19" x14ac:dyDescent="0.2">
      <c r="A295" s="324">
        <v>10</v>
      </c>
      <c r="B295" s="324">
        <v>66</v>
      </c>
      <c r="C295" s="326">
        <v>5.8860000000000001</v>
      </c>
      <c r="D295" s="326">
        <v>5.85</v>
      </c>
      <c r="E295" s="326">
        <v>0.42699999999999999</v>
      </c>
      <c r="F295" s="326">
        <v>7.1</v>
      </c>
      <c r="G295" s="326">
        <v>5.0999999999999996</v>
      </c>
      <c r="H295" s="326">
        <f t="shared" si="18"/>
        <v>5.9890177306304233</v>
      </c>
      <c r="I295" s="326">
        <f t="shared" si="19"/>
        <v>5.7829822693695769</v>
      </c>
      <c r="J295" s="335"/>
      <c r="K295" s="329">
        <v>10</v>
      </c>
      <c r="L295" s="329">
        <v>66</v>
      </c>
      <c r="M295" s="345">
        <v>18.486699999999999</v>
      </c>
      <c r="N295" s="345">
        <v>17.184999999999999</v>
      </c>
      <c r="O295" s="345">
        <v>3.4750000000000001</v>
      </c>
      <c r="P295" s="345">
        <v>30.62</v>
      </c>
      <c r="Q295" s="345">
        <v>13.9</v>
      </c>
      <c r="R295" s="345">
        <f t="shared" si="20"/>
        <v>19.325076145060233</v>
      </c>
      <c r="S295" s="345">
        <f t="shared" si="21"/>
        <v>17.648323854939765</v>
      </c>
    </row>
    <row r="296" spans="1:19" x14ac:dyDescent="0.2">
      <c r="A296" s="329">
        <v>11</v>
      </c>
      <c r="B296" s="329">
        <v>55</v>
      </c>
      <c r="C296" s="330">
        <v>6.1310000000000002</v>
      </c>
      <c r="D296" s="330">
        <v>6.1</v>
      </c>
      <c r="E296" s="330">
        <v>0.41299999999999998</v>
      </c>
      <c r="F296" s="330">
        <v>7.2</v>
      </c>
      <c r="G296" s="330">
        <v>5.4</v>
      </c>
      <c r="H296" s="330">
        <f t="shared" si="18"/>
        <v>6.2401502609333495</v>
      </c>
      <c r="I296" s="330">
        <f t="shared" si="19"/>
        <v>6.021849739066651</v>
      </c>
      <c r="J296" s="335"/>
      <c r="K296" s="324">
        <v>11</v>
      </c>
      <c r="L296" s="324">
        <v>55</v>
      </c>
      <c r="M296" s="336">
        <v>18.904699999999998</v>
      </c>
      <c r="N296" s="336">
        <v>18.27</v>
      </c>
      <c r="O296" s="336">
        <v>3.7183999999999999</v>
      </c>
      <c r="P296" s="336">
        <v>31.23</v>
      </c>
      <c r="Q296" s="336">
        <v>14.12</v>
      </c>
      <c r="R296" s="336">
        <f t="shared" si="20"/>
        <v>19.887422349284659</v>
      </c>
      <c r="S296" s="336">
        <f t="shared" si="21"/>
        <v>17.921977650715338</v>
      </c>
    </row>
    <row r="297" spans="1:19" x14ac:dyDescent="0.2">
      <c r="A297" s="329">
        <v>12</v>
      </c>
      <c r="B297" s="329">
        <v>35</v>
      </c>
      <c r="C297" s="330">
        <v>6.4059999999999997</v>
      </c>
      <c r="D297" s="330">
        <v>6.3</v>
      </c>
      <c r="E297" s="330">
        <v>0.46500000000000002</v>
      </c>
      <c r="F297" s="330">
        <v>7.6</v>
      </c>
      <c r="G297" s="330">
        <v>5.6</v>
      </c>
      <c r="H297" s="330">
        <f t="shared" si="18"/>
        <v>6.5600547175519139</v>
      </c>
      <c r="I297" s="330">
        <f t="shared" si="19"/>
        <v>6.2519452824480855</v>
      </c>
      <c r="J297" s="335"/>
      <c r="K297" s="329">
        <v>12</v>
      </c>
      <c r="L297" s="329">
        <v>35</v>
      </c>
      <c r="M297" s="345">
        <v>19.9663</v>
      </c>
      <c r="N297" s="345">
        <v>18.600000000000001</v>
      </c>
      <c r="O297" s="345">
        <v>4.5411999999999999</v>
      </c>
      <c r="P297" s="345">
        <v>38.729999999999997</v>
      </c>
      <c r="Q297" s="345">
        <v>15.05</v>
      </c>
      <c r="R297" s="345">
        <f t="shared" si="20"/>
        <v>21.470801684616671</v>
      </c>
      <c r="S297" s="345">
        <f t="shared" si="21"/>
        <v>18.46179831538333</v>
      </c>
    </row>
    <row r="298" spans="1:19" x14ac:dyDescent="0.2">
      <c r="A298" s="324">
        <v>13</v>
      </c>
      <c r="B298" s="324">
        <v>64</v>
      </c>
      <c r="C298" s="326">
        <v>6.6980000000000004</v>
      </c>
      <c r="D298" s="326">
        <v>6.7</v>
      </c>
      <c r="E298" s="326">
        <v>0.34100000000000003</v>
      </c>
      <c r="F298" s="326">
        <v>7.3</v>
      </c>
      <c r="G298" s="326">
        <v>5.5</v>
      </c>
      <c r="H298" s="326">
        <f t="shared" si="18"/>
        <v>6.7815450000000004</v>
      </c>
      <c r="I298" s="326">
        <f t="shared" si="19"/>
        <v>6.6144550000000004</v>
      </c>
      <c r="J298" s="335"/>
      <c r="K298" s="324">
        <v>13</v>
      </c>
      <c r="L298" s="324">
        <v>64</v>
      </c>
      <c r="M298" s="336">
        <v>19.825199999999999</v>
      </c>
      <c r="N298" s="336">
        <v>19.18</v>
      </c>
      <c r="O298" s="336">
        <v>2.8391999999999999</v>
      </c>
      <c r="P298" s="336">
        <v>29.1</v>
      </c>
      <c r="Q298" s="336">
        <v>15.15</v>
      </c>
      <c r="R298" s="336">
        <f t="shared" si="20"/>
        <v>20.520803999999998</v>
      </c>
      <c r="S298" s="336">
        <f t="shared" si="21"/>
        <v>19.129595999999999</v>
      </c>
    </row>
    <row r="299" spans="1:19" x14ac:dyDescent="0.2">
      <c r="A299" s="329">
        <v>14</v>
      </c>
      <c r="B299" s="329">
        <v>87</v>
      </c>
      <c r="C299" s="330">
        <v>6.9020000000000001</v>
      </c>
      <c r="D299" s="330">
        <v>6.9</v>
      </c>
      <c r="E299" s="330">
        <v>0.40400000000000003</v>
      </c>
      <c r="F299" s="330">
        <v>8.4</v>
      </c>
      <c r="G299" s="330">
        <v>5.7</v>
      </c>
      <c r="H299" s="330">
        <f t="shared" si="18"/>
        <v>6.986894158958596</v>
      </c>
      <c r="I299" s="330">
        <f t="shared" si="19"/>
        <v>6.8171058410414043</v>
      </c>
      <c r="J299" s="335"/>
      <c r="K299" s="329">
        <v>14</v>
      </c>
      <c r="L299" s="329">
        <v>87</v>
      </c>
      <c r="M299" s="345">
        <v>21.232500000000002</v>
      </c>
      <c r="N299" s="345">
        <v>20.309999999999999</v>
      </c>
      <c r="O299" s="345">
        <v>3.9377</v>
      </c>
      <c r="P299" s="345">
        <v>40.49</v>
      </c>
      <c r="Q299" s="345">
        <v>14.81</v>
      </c>
      <c r="R299" s="345">
        <f t="shared" si="20"/>
        <v>22.059944875572434</v>
      </c>
      <c r="S299" s="345">
        <f t="shared" si="21"/>
        <v>20.40505512442757</v>
      </c>
    </row>
    <row r="300" spans="1:19" x14ac:dyDescent="0.2">
      <c r="A300" s="324">
        <v>15</v>
      </c>
      <c r="B300" s="324">
        <v>70</v>
      </c>
      <c r="C300" s="326">
        <v>6.94</v>
      </c>
      <c r="D300" s="326">
        <v>7</v>
      </c>
      <c r="E300" s="326">
        <v>0.38100000000000001</v>
      </c>
      <c r="F300" s="326">
        <v>8.6</v>
      </c>
      <c r="G300" s="326">
        <v>6.2</v>
      </c>
      <c r="H300" s="326">
        <f t="shared" si="18"/>
        <v>7.0292548916306554</v>
      </c>
      <c r="I300" s="326">
        <f t="shared" si="19"/>
        <v>6.8507451083693454</v>
      </c>
      <c r="J300" s="335"/>
      <c r="K300" s="324">
        <v>15</v>
      </c>
      <c r="L300" s="324">
        <v>70</v>
      </c>
      <c r="M300" s="336">
        <v>21.805399999999999</v>
      </c>
      <c r="N300" s="336">
        <v>21.27</v>
      </c>
      <c r="O300" s="336">
        <v>3.5362</v>
      </c>
      <c r="P300" s="336">
        <v>35.04</v>
      </c>
      <c r="Q300" s="336">
        <v>17.07</v>
      </c>
      <c r="R300" s="336">
        <f t="shared" si="20"/>
        <v>22.633807212032341</v>
      </c>
      <c r="S300" s="336">
        <f t="shared" si="21"/>
        <v>20.976992787967657</v>
      </c>
    </row>
    <row r="301" spans="1:19" x14ac:dyDescent="0.2">
      <c r="A301" s="329">
        <v>16</v>
      </c>
      <c r="B301" s="329">
        <v>38</v>
      </c>
      <c r="C301" s="330">
        <v>6.9260000000000002</v>
      </c>
      <c r="D301" s="330">
        <v>6.8</v>
      </c>
      <c r="E301" s="330">
        <v>0.36399999999999999</v>
      </c>
      <c r="F301" s="330">
        <v>7.8</v>
      </c>
      <c r="G301" s="330">
        <v>6.4</v>
      </c>
      <c r="H301" s="330">
        <f t="shared" si="18"/>
        <v>7.0417352506915316</v>
      </c>
      <c r="I301" s="330">
        <f t="shared" si="19"/>
        <v>6.8102647493084687</v>
      </c>
      <c r="J301" s="335"/>
      <c r="K301" s="329">
        <v>16</v>
      </c>
      <c r="L301" s="329">
        <v>38</v>
      </c>
      <c r="M301" s="345">
        <v>22.91</v>
      </c>
      <c r="N301" s="345">
        <v>21.454999999999998</v>
      </c>
      <c r="O301" s="345">
        <v>5.0362999999999998</v>
      </c>
      <c r="P301" s="345">
        <v>42.28</v>
      </c>
      <c r="Q301" s="345">
        <v>18.3</v>
      </c>
      <c r="R301" s="345">
        <f t="shared" si="20"/>
        <v>24.511311656752085</v>
      </c>
      <c r="S301" s="345">
        <f t="shared" si="21"/>
        <v>21.308688343247915</v>
      </c>
    </row>
    <row r="302" spans="1:19" x14ac:dyDescent="0.2">
      <c r="A302" s="324">
        <v>17</v>
      </c>
      <c r="B302" s="324">
        <v>30</v>
      </c>
      <c r="C302" s="326">
        <v>7.117</v>
      </c>
      <c r="D302" s="326">
        <v>7.15</v>
      </c>
      <c r="E302" s="326">
        <v>0.38</v>
      </c>
      <c r="F302" s="326">
        <v>7.9</v>
      </c>
      <c r="G302" s="326">
        <v>6.5</v>
      </c>
      <c r="H302" s="326">
        <f t="shared" si="18"/>
        <v>7.2529812536099492</v>
      </c>
      <c r="I302" s="326">
        <f t="shared" si="19"/>
        <v>6.9810187463900508</v>
      </c>
      <c r="J302" s="335"/>
      <c r="K302" s="324">
        <v>17</v>
      </c>
      <c r="L302" s="324">
        <v>30</v>
      </c>
      <c r="M302" s="336">
        <v>23.981999999999999</v>
      </c>
      <c r="N302" s="336">
        <v>22.12</v>
      </c>
      <c r="O302" s="336">
        <v>4.8643999999999998</v>
      </c>
      <c r="P302" s="336">
        <v>34.89</v>
      </c>
      <c r="Q302" s="336">
        <v>17.739999999999998</v>
      </c>
      <c r="R302" s="336">
        <f t="shared" si="20"/>
        <v>25.722703184369045</v>
      </c>
      <c r="S302" s="336">
        <f t="shared" si="21"/>
        <v>22.241296815630953</v>
      </c>
    </row>
    <row r="303" spans="1:19" x14ac:dyDescent="0.2">
      <c r="A303" s="329">
        <v>18</v>
      </c>
      <c r="B303" s="329">
        <v>21</v>
      </c>
      <c r="C303" s="330">
        <v>7.1520000000000001</v>
      </c>
      <c r="D303" s="330">
        <v>7.2</v>
      </c>
      <c r="E303" s="330">
        <v>0.33</v>
      </c>
      <c r="F303" s="330">
        <v>8</v>
      </c>
      <c r="G303" s="330">
        <v>6.5</v>
      </c>
      <c r="H303" s="330">
        <f t="shared" si="18"/>
        <v>7.2931433314046403</v>
      </c>
      <c r="I303" s="330">
        <f t="shared" si="19"/>
        <v>7.0108566685953599</v>
      </c>
      <c r="J303" s="335"/>
      <c r="K303" s="329">
        <v>18</v>
      </c>
      <c r="L303" s="329">
        <v>21</v>
      </c>
      <c r="M303" s="345">
        <v>22.731000000000002</v>
      </c>
      <c r="N303" s="345">
        <v>21.96</v>
      </c>
      <c r="O303" s="345">
        <v>2.5411999999999999</v>
      </c>
      <c r="P303" s="345">
        <v>27.97</v>
      </c>
      <c r="Q303" s="345">
        <v>18.2</v>
      </c>
      <c r="R303" s="345">
        <f t="shared" si="20"/>
        <v>23.817889193228702</v>
      </c>
      <c r="S303" s="345">
        <f t="shared" si="21"/>
        <v>21.644110806771302</v>
      </c>
    </row>
    <row r="304" spans="1:19" x14ac:dyDescent="0.2">
      <c r="A304" s="324">
        <v>19</v>
      </c>
      <c r="B304" s="324">
        <v>7</v>
      </c>
      <c r="C304" s="326">
        <v>7.2709999999999999</v>
      </c>
      <c r="D304" s="326">
        <v>7.5</v>
      </c>
      <c r="E304" s="326">
        <v>0.377</v>
      </c>
      <c r="F304" s="326">
        <v>7.6</v>
      </c>
      <c r="G304" s="326">
        <v>6.6</v>
      </c>
      <c r="H304" s="326">
        <f t="shared" si="18"/>
        <v>7.5502855083959783</v>
      </c>
      <c r="I304" s="326">
        <f t="shared" si="19"/>
        <v>6.9917144916040215</v>
      </c>
      <c r="J304" s="335"/>
      <c r="K304" s="332">
        <v>19</v>
      </c>
      <c r="L304" s="332">
        <v>7</v>
      </c>
      <c r="M304" s="346">
        <v>26.515699999999999</v>
      </c>
      <c r="N304" s="346">
        <v>22.73</v>
      </c>
      <c r="O304" s="346">
        <v>7.3117000000000001</v>
      </c>
      <c r="P304" s="346">
        <v>37.5</v>
      </c>
      <c r="Q304" s="346">
        <v>18.97</v>
      </c>
      <c r="R304" s="346">
        <f t="shared" si="20"/>
        <v>31.932283161111069</v>
      </c>
      <c r="S304" s="346">
        <f t="shared" si="21"/>
        <v>21.099116838888929</v>
      </c>
    </row>
    <row r="305" spans="1:19" x14ac:dyDescent="0.2">
      <c r="A305" s="332"/>
      <c r="B305" s="332"/>
      <c r="C305" s="333"/>
      <c r="D305" s="333"/>
      <c r="E305" s="333"/>
      <c r="F305" s="333"/>
      <c r="G305" s="333"/>
      <c r="H305" s="333"/>
      <c r="I305" s="333"/>
      <c r="J305" s="335"/>
      <c r="K305" s="324"/>
      <c r="L305" s="324"/>
      <c r="M305" s="324"/>
      <c r="N305" s="324"/>
      <c r="O305" s="324"/>
      <c r="P305" s="324"/>
      <c r="Q305" s="324"/>
      <c r="R305" s="326"/>
      <c r="S305" s="326"/>
    </row>
    <row r="306" spans="1:19" x14ac:dyDescent="0.2">
      <c r="A306" s="332"/>
      <c r="B306" s="332"/>
      <c r="C306" s="333"/>
      <c r="D306" s="333"/>
      <c r="E306" s="333"/>
      <c r="F306" s="333"/>
      <c r="G306" s="333"/>
      <c r="H306" s="333"/>
      <c r="I306" s="333"/>
      <c r="J306" s="335"/>
      <c r="K306" s="324"/>
      <c r="L306" s="324"/>
      <c r="M306" s="324"/>
      <c r="N306" s="324"/>
      <c r="O306" s="324"/>
      <c r="P306" s="324"/>
      <c r="Q306" s="324"/>
      <c r="R306" s="326"/>
      <c r="S306" s="326"/>
    </row>
    <row r="307" spans="1:19" x14ac:dyDescent="0.2">
      <c r="A307" s="800" t="s">
        <v>681</v>
      </c>
      <c r="B307" s="800"/>
      <c r="C307" s="800"/>
      <c r="D307" s="800"/>
      <c r="E307" s="800"/>
      <c r="F307" s="800"/>
      <c r="G307" s="800"/>
      <c r="H307" s="800"/>
      <c r="I307" s="801"/>
      <c r="J307" s="335"/>
      <c r="K307" s="804" t="s">
        <v>682</v>
      </c>
      <c r="L307" s="802"/>
      <c r="M307" s="802"/>
      <c r="N307" s="802"/>
      <c r="O307" s="802"/>
      <c r="P307" s="802"/>
      <c r="Q307" s="802"/>
      <c r="R307" s="802"/>
      <c r="S307" s="802"/>
    </row>
    <row r="308" spans="1:19" x14ac:dyDescent="0.2">
      <c r="A308" s="324" t="s">
        <v>504</v>
      </c>
      <c r="B308" s="324" t="s">
        <v>641</v>
      </c>
      <c r="C308" s="326" t="s">
        <v>642</v>
      </c>
      <c r="D308" s="326" t="s">
        <v>643</v>
      </c>
      <c r="E308" s="326" t="s">
        <v>644</v>
      </c>
      <c r="F308" s="326" t="s">
        <v>645</v>
      </c>
      <c r="G308" s="326" t="s">
        <v>646</v>
      </c>
      <c r="H308" s="326" t="s">
        <v>647</v>
      </c>
      <c r="I308" s="326" t="s">
        <v>648</v>
      </c>
      <c r="J308" s="335"/>
      <c r="K308" s="327" t="s">
        <v>504</v>
      </c>
      <c r="L308" s="327" t="s">
        <v>641</v>
      </c>
      <c r="M308" s="328" t="s">
        <v>642</v>
      </c>
      <c r="N308" s="328" t="s">
        <v>643</v>
      </c>
      <c r="O308" s="328" t="s">
        <v>644</v>
      </c>
      <c r="P308" s="328" t="s">
        <v>645</v>
      </c>
      <c r="Q308" s="328" t="s">
        <v>646</v>
      </c>
      <c r="R308" s="328" t="s">
        <v>647</v>
      </c>
      <c r="S308" s="328" t="s">
        <v>648</v>
      </c>
    </row>
    <row r="309" spans="1:19" x14ac:dyDescent="0.2">
      <c r="A309" s="329">
        <v>7</v>
      </c>
      <c r="B309" s="329">
        <v>14</v>
      </c>
      <c r="C309" s="330">
        <v>8.3710000000000004</v>
      </c>
      <c r="D309" s="330">
        <v>8.3000000000000007</v>
      </c>
      <c r="E309" s="330">
        <v>0.40699999999999997</v>
      </c>
      <c r="F309" s="330">
        <v>9.1</v>
      </c>
      <c r="G309" s="330">
        <v>7.7</v>
      </c>
      <c r="H309" s="330">
        <f t="shared" si="18"/>
        <v>8.5841996378983794</v>
      </c>
      <c r="I309" s="330">
        <f t="shared" si="19"/>
        <v>8.1578003621016215</v>
      </c>
      <c r="J309" s="335"/>
      <c r="K309" s="324">
        <v>7</v>
      </c>
      <c r="L309" s="324">
        <v>14</v>
      </c>
      <c r="M309" s="347">
        <v>0.53359999999999996</v>
      </c>
      <c r="N309" s="347">
        <v>0.54</v>
      </c>
      <c r="O309" s="347">
        <v>1.6459999999999999E-2</v>
      </c>
      <c r="P309" s="347">
        <v>0.56000000000000005</v>
      </c>
      <c r="Q309" s="347">
        <v>0.5</v>
      </c>
      <c r="R309" s="347">
        <f t="shared" ref="R309:R355" si="22">M309+(1.96*O309)/(L309)^0.5</f>
        <v>0.54222227528208178</v>
      </c>
      <c r="S309" s="347">
        <f t="shared" ref="S309:S355" si="23">M309-(1.96*O309)/(L309)^0.5</f>
        <v>0.52497772471791815</v>
      </c>
    </row>
    <row r="310" spans="1:19" x14ac:dyDescent="0.2">
      <c r="A310" s="329">
        <v>8</v>
      </c>
      <c r="B310" s="329">
        <v>39</v>
      </c>
      <c r="C310" s="330">
        <v>8.4309999999999992</v>
      </c>
      <c r="D310" s="330">
        <v>8.3000000000000007</v>
      </c>
      <c r="E310" s="330">
        <v>0.52700000000000002</v>
      </c>
      <c r="F310" s="330">
        <v>9.6999999999999993</v>
      </c>
      <c r="G310" s="330">
        <v>7.4</v>
      </c>
      <c r="H310" s="330">
        <f t="shared" si="18"/>
        <v>8.59639957262835</v>
      </c>
      <c r="I310" s="330">
        <f t="shared" si="19"/>
        <v>8.2656004273716484</v>
      </c>
      <c r="J310" s="335"/>
      <c r="K310" s="329">
        <v>8</v>
      </c>
      <c r="L310" s="329">
        <v>39</v>
      </c>
      <c r="M310" s="348">
        <v>0.54310000000000003</v>
      </c>
      <c r="N310" s="348">
        <v>0.54</v>
      </c>
      <c r="O310" s="348">
        <v>1.1270000000000001E-2</v>
      </c>
      <c r="P310" s="348">
        <v>0.56999999999999995</v>
      </c>
      <c r="Q310" s="348">
        <v>0.52</v>
      </c>
      <c r="R310" s="348">
        <f t="shared" si="22"/>
        <v>0.54663710281503131</v>
      </c>
      <c r="S310" s="348">
        <f t="shared" si="23"/>
        <v>0.53956289718496875</v>
      </c>
    </row>
    <row r="311" spans="1:19" x14ac:dyDescent="0.2">
      <c r="A311" s="324">
        <v>9</v>
      </c>
      <c r="B311" s="324">
        <v>57</v>
      </c>
      <c r="C311" s="326">
        <v>8.6020000000000003</v>
      </c>
      <c r="D311" s="326">
        <v>8.5</v>
      </c>
      <c r="E311" s="326">
        <v>0.53500000000000003</v>
      </c>
      <c r="F311" s="326">
        <v>10.1</v>
      </c>
      <c r="G311" s="326">
        <v>7.2</v>
      </c>
      <c r="H311" s="326">
        <f t="shared" si="18"/>
        <v>8.7408904629618416</v>
      </c>
      <c r="I311" s="326">
        <f t="shared" si="19"/>
        <v>8.463109537038159</v>
      </c>
      <c r="J311" s="335"/>
      <c r="K311" s="324">
        <v>9</v>
      </c>
      <c r="L311" s="324">
        <v>57</v>
      </c>
      <c r="M311" s="347">
        <v>0.53400000000000003</v>
      </c>
      <c r="N311" s="347">
        <v>0.54</v>
      </c>
      <c r="O311" s="347">
        <v>1.0999999999999999E-2</v>
      </c>
      <c r="P311" s="347">
        <v>0.56000000000000005</v>
      </c>
      <c r="Q311" s="347">
        <v>0.51</v>
      </c>
      <c r="R311" s="347">
        <f t="shared" si="22"/>
        <v>0.53685569176183223</v>
      </c>
      <c r="S311" s="347">
        <f t="shared" si="23"/>
        <v>0.53114430823816783</v>
      </c>
    </row>
    <row r="312" spans="1:19" x14ac:dyDescent="0.2">
      <c r="A312" s="329">
        <v>10</v>
      </c>
      <c r="B312" s="329">
        <v>66</v>
      </c>
      <c r="C312" s="330">
        <v>8.7680000000000007</v>
      </c>
      <c r="D312" s="330">
        <v>8.6999999999999993</v>
      </c>
      <c r="E312" s="330">
        <v>0.623</v>
      </c>
      <c r="F312" s="330">
        <v>10.6</v>
      </c>
      <c r="G312" s="330">
        <v>7.3</v>
      </c>
      <c r="H312" s="330">
        <f t="shared" si="18"/>
        <v>8.9183045578050439</v>
      </c>
      <c r="I312" s="330">
        <f t="shared" si="19"/>
        <v>8.6176954421949574</v>
      </c>
      <c r="J312" s="335"/>
      <c r="K312" s="329">
        <v>10</v>
      </c>
      <c r="L312" s="329">
        <v>66</v>
      </c>
      <c r="M312" s="348">
        <v>0.5323</v>
      </c>
      <c r="N312" s="348">
        <v>0.53</v>
      </c>
      <c r="O312" s="348">
        <v>1.3100000000000001E-2</v>
      </c>
      <c r="P312" s="348">
        <v>0.56000000000000005</v>
      </c>
      <c r="Q312" s="348">
        <v>0.5</v>
      </c>
      <c r="R312" s="348">
        <f t="shared" si="22"/>
        <v>0.5354604971223853</v>
      </c>
      <c r="S312" s="348">
        <f t="shared" si="23"/>
        <v>0.52913950287761469</v>
      </c>
    </row>
    <row r="313" spans="1:19" x14ac:dyDescent="0.2">
      <c r="A313" s="324">
        <v>11</v>
      </c>
      <c r="B313" s="324">
        <v>55</v>
      </c>
      <c r="C313" s="326">
        <v>9.1050000000000004</v>
      </c>
      <c r="D313" s="326">
        <v>9.1999999999999993</v>
      </c>
      <c r="E313" s="326">
        <v>0.66400000000000003</v>
      </c>
      <c r="F313" s="326">
        <v>10.6</v>
      </c>
      <c r="G313" s="326">
        <v>7.7</v>
      </c>
      <c r="H313" s="326">
        <f t="shared" si="18"/>
        <v>9.2804861338008333</v>
      </c>
      <c r="I313" s="326">
        <f t="shared" si="19"/>
        <v>8.9295138661991675</v>
      </c>
      <c r="J313" s="335"/>
      <c r="K313" s="324">
        <v>11</v>
      </c>
      <c r="L313" s="324">
        <v>55</v>
      </c>
      <c r="M313" s="347">
        <v>0.52729999999999999</v>
      </c>
      <c r="N313" s="347">
        <v>0.53</v>
      </c>
      <c r="O313" s="347">
        <v>1.4460000000000001E-2</v>
      </c>
      <c r="P313" s="347">
        <v>0.56000000000000005</v>
      </c>
      <c r="Q313" s="347">
        <v>0.5</v>
      </c>
      <c r="R313" s="347">
        <f t="shared" si="22"/>
        <v>0.53112158056439762</v>
      </c>
      <c r="S313" s="347">
        <f t="shared" si="23"/>
        <v>0.52347841943560236</v>
      </c>
    </row>
    <row r="314" spans="1:19" x14ac:dyDescent="0.2">
      <c r="A314" s="329">
        <v>12</v>
      </c>
      <c r="B314" s="329">
        <v>35</v>
      </c>
      <c r="C314" s="330">
        <v>9.4169999999999998</v>
      </c>
      <c r="D314" s="330">
        <v>9.1</v>
      </c>
      <c r="E314" s="330">
        <v>0.79900000000000004</v>
      </c>
      <c r="F314" s="330">
        <v>12.3</v>
      </c>
      <c r="G314" s="330">
        <v>8.4</v>
      </c>
      <c r="H314" s="330">
        <f t="shared" si="18"/>
        <v>9.6817090738150089</v>
      </c>
      <c r="I314" s="330">
        <f t="shared" si="19"/>
        <v>9.1522909261849907</v>
      </c>
      <c r="J314" s="335"/>
      <c r="K314" s="329">
        <v>12</v>
      </c>
      <c r="L314" s="329">
        <v>35</v>
      </c>
      <c r="M314" s="348">
        <v>0.52569999999999995</v>
      </c>
      <c r="N314" s="348">
        <v>0.53</v>
      </c>
      <c r="O314" s="348">
        <v>1.1950000000000001E-2</v>
      </c>
      <c r="P314" s="348">
        <v>0.56000000000000005</v>
      </c>
      <c r="Q314" s="348">
        <v>0.5</v>
      </c>
      <c r="R314" s="348">
        <f t="shared" si="22"/>
        <v>0.52965904059085023</v>
      </c>
      <c r="S314" s="348">
        <f t="shared" si="23"/>
        <v>0.52174095940914966</v>
      </c>
    </row>
    <row r="315" spans="1:19" x14ac:dyDescent="0.2">
      <c r="A315" s="324">
        <v>13</v>
      </c>
      <c r="B315" s="324">
        <v>64</v>
      </c>
      <c r="C315" s="326">
        <v>9.7439999999999998</v>
      </c>
      <c r="D315" s="326">
        <v>9.75</v>
      </c>
      <c r="E315" s="326">
        <v>0.47099999999999997</v>
      </c>
      <c r="F315" s="326">
        <v>10.8</v>
      </c>
      <c r="G315" s="326">
        <v>8.5</v>
      </c>
      <c r="H315" s="326">
        <f t="shared" si="18"/>
        <v>9.8593949999999992</v>
      </c>
      <c r="I315" s="326">
        <f t="shared" si="19"/>
        <v>9.6286050000000003</v>
      </c>
      <c r="J315" s="335"/>
      <c r="K315" s="324">
        <v>13</v>
      </c>
      <c r="L315" s="324">
        <v>64</v>
      </c>
      <c r="M315" s="347">
        <v>0.52359999999999995</v>
      </c>
      <c r="N315" s="347">
        <v>0.52</v>
      </c>
      <c r="O315" s="347">
        <v>1.252E-2</v>
      </c>
      <c r="P315" s="347">
        <v>0.56999999999999995</v>
      </c>
      <c r="Q315" s="347">
        <v>0.5</v>
      </c>
      <c r="R315" s="347">
        <f t="shared" si="22"/>
        <v>0.52666740000000001</v>
      </c>
      <c r="S315" s="347">
        <f t="shared" si="23"/>
        <v>0.5205325999999999</v>
      </c>
    </row>
    <row r="316" spans="1:19" x14ac:dyDescent="0.2">
      <c r="A316" s="329">
        <v>14</v>
      </c>
      <c r="B316" s="329">
        <v>87</v>
      </c>
      <c r="C316" s="330">
        <v>9.7850000000000001</v>
      </c>
      <c r="D316" s="330">
        <v>9.8000000000000007</v>
      </c>
      <c r="E316" s="330">
        <v>0.72599999999999998</v>
      </c>
      <c r="F316" s="330">
        <v>12.3</v>
      </c>
      <c r="G316" s="330">
        <v>5.9</v>
      </c>
      <c r="H316" s="330">
        <f t="shared" si="18"/>
        <v>9.9375573252572789</v>
      </c>
      <c r="I316" s="330">
        <f t="shared" si="19"/>
        <v>9.6324426747427214</v>
      </c>
      <c r="J316" s="335"/>
      <c r="K316" s="329">
        <v>14</v>
      </c>
      <c r="L316" s="329">
        <v>87</v>
      </c>
      <c r="M316" s="348">
        <v>0.52539999999999998</v>
      </c>
      <c r="N316" s="348">
        <v>0.52</v>
      </c>
      <c r="O316" s="348">
        <v>1.274E-2</v>
      </c>
      <c r="P316" s="348">
        <v>0.56000000000000005</v>
      </c>
      <c r="Q316" s="348">
        <v>0.49</v>
      </c>
      <c r="R316" s="348">
        <f t="shared" si="22"/>
        <v>0.52807710788399131</v>
      </c>
      <c r="S316" s="348">
        <f t="shared" si="23"/>
        <v>0.52272289211600864</v>
      </c>
    </row>
    <row r="317" spans="1:19" x14ac:dyDescent="0.2">
      <c r="A317" s="324">
        <v>15</v>
      </c>
      <c r="B317" s="324">
        <v>70</v>
      </c>
      <c r="C317" s="326">
        <v>9.8239999999999998</v>
      </c>
      <c r="D317" s="326">
        <v>9.8000000000000007</v>
      </c>
      <c r="E317" s="326">
        <v>0.53900000000000003</v>
      </c>
      <c r="F317" s="326">
        <v>11.5</v>
      </c>
      <c r="G317" s="326">
        <v>8.4</v>
      </c>
      <c r="H317" s="326">
        <f t="shared" si="18"/>
        <v>9.9502687312045222</v>
      </c>
      <c r="I317" s="326">
        <f t="shared" si="19"/>
        <v>9.6977312687954775</v>
      </c>
      <c r="J317" s="335"/>
      <c r="K317" s="324">
        <v>15</v>
      </c>
      <c r="L317" s="324">
        <v>70</v>
      </c>
      <c r="M317" s="347">
        <v>0.52669999999999995</v>
      </c>
      <c r="N317" s="347">
        <v>0.53</v>
      </c>
      <c r="O317" s="347">
        <v>1.3050000000000001E-2</v>
      </c>
      <c r="P317" s="347">
        <v>0.56999999999999995</v>
      </c>
      <c r="Q317" s="347">
        <v>0.5</v>
      </c>
      <c r="R317" s="347">
        <f t="shared" si="22"/>
        <v>0.52975715573695548</v>
      </c>
      <c r="S317" s="347">
        <f t="shared" si="23"/>
        <v>0.52364284426304442</v>
      </c>
    </row>
    <row r="318" spans="1:19" x14ac:dyDescent="0.2">
      <c r="A318" s="329">
        <v>16</v>
      </c>
      <c r="B318" s="329">
        <v>38</v>
      </c>
      <c r="C318" s="330">
        <v>9.7919999999999998</v>
      </c>
      <c r="D318" s="330">
        <v>9.8000000000000007</v>
      </c>
      <c r="E318" s="330">
        <v>0.60299999999999998</v>
      </c>
      <c r="F318" s="330">
        <v>11.5</v>
      </c>
      <c r="G318" s="330">
        <v>7.8</v>
      </c>
      <c r="H318" s="330">
        <f t="shared" si="18"/>
        <v>9.9837262532060258</v>
      </c>
      <c r="I318" s="330">
        <f t="shared" si="19"/>
        <v>9.6002737467939738</v>
      </c>
      <c r="J318" s="335"/>
      <c r="K318" s="329">
        <v>16</v>
      </c>
      <c r="L318" s="329">
        <v>38</v>
      </c>
      <c r="M318" s="348">
        <v>0.53159999999999996</v>
      </c>
      <c r="N318" s="348">
        <v>0.53</v>
      </c>
      <c r="O318" s="348">
        <v>1.346E-2</v>
      </c>
      <c r="P318" s="348">
        <v>0.56000000000000005</v>
      </c>
      <c r="Q318" s="348">
        <v>0.5</v>
      </c>
      <c r="R318" s="348">
        <f t="shared" si="22"/>
        <v>0.53587966064370329</v>
      </c>
      <c r="S318" s="348">
        <f t="shared" si="23"/>
        <v>0.52732033935629663</v>
      </c>
    </row>
    <row r="319" spans="1:19" x14ac:dyDescent="0.2">
      <c r="A319" s="324">
        <v>17</v>
      </c>
      <c r="B319" s="324">
        <v>30</v>
      </c>
      <c r="C319" s="326">
        <v>10.073</v>
      </c>
      <c r="D319" s="326">
        <v>9.9499999999999993</v>
      </c>
      <c r="E319" s="326">
        <v>0.626</v>
      </c>
      <c r="F319" s="326">
        <v>11.2</v>
      </c>
      <c r="G319" s="326">
        <v>9</v>
      </c>
      <c r="H319" s="326">
        <f t="shared" si="18"/>
        <v>10.297011223052181</v>
      </c>
      <c r="I319" s="326">
        <f t="shared" si="19"/>
        <v>9.8489887769478202</v>
      </c>
      <c r="J319" s="335"/>
      <c r="K319" s="324">
        <v>17</v>
      </c>
      <c r="L319" s="324">
        <v>30</v>
      </c>
      <c r="M319" s="347">
        <v>0.52729999999999999</v>
      </c>
      <c r="N319" s="347">
        <v>0.53</v>
      </c>
      <c r="O319" s="347">
        <v>1.507E-2</v>
      </c>
      <c r="P319" s="347">
        <v>0.56000000000000005</v>
      </c>
      <c r="Q319" s="347">
        <v>0.49</v>
      </c>
      <c r="R319" s="347">
        <f t="shared" si="22"/>
        <v>0.53269273024184716</v>
      </c>
      <c r="S319" s="347">
        <f t="shared" si="23"/>
        <v>0.52190726975815283</v>
      </c>
    </row>
    <row r="320" spans="1:19" x14ac:dyDescent="0.2">
      <c r="A320" s="329">
        <v>18</v>
      </c>
      <c r="B320" s="329">
        <v>21</v>
      </c>
      <c r="C320" s="330">
        <v>9.9</v>
      </c>
      <c r="D320" s="330">
        <v>9.9</v>
      </c>
      <c r="E320" s="330">
        <v>0.40400000000000003</v>
      </c>
      <c r="F320" s="330">
        <v>10.6</v>
      </c>
      <c r="G320" s="330">
        <v>9</v>
      </c>
      <c r="H320" s="330">
        <f t="shared" si="18"/>
        <v>10.072793654204469</v>
      </c>
      <c r="I320" s="330">
        <f t="shared" si="19"/>
        <v>9.7272063457955316</v>
      </c>
      <c r="J320" s="335"/>
      <c r="K320" s="329">
        <v>18</v>
      </c>
      <c r="L320" s="329">
        <v>21</v>
      </c>
      <c r="M320" s="348">
        <v>0.52859999999999996</v>
      </c>
      <c r="N320" s="348">
        <v>0.53</v>
      </c>
      <c r="O320" s="348">
        <v>1.3520000000000001E-2</v>
      </c>
      <c r="P320" s="348">
        <v>0.56000000000000005</v>
      </c>
      <c r="Q320" s="348">
        <v>0.51</v>
      </c>
      <c r="R320" s="348">
        <f t="shared" si="22"/>
        <v>0.53438259951694156</v>
      </c>
      <c r="S320" s="348">
        <f t="shared" si="23"/>
        <v>0.52281740048305836</v>
      </c>
    </row>
    <row r="321" spans="1:19" x14ac:dyDescent="0.2">
      <c r="A321" s="324">
        <v>19</v>
      </c>
      <c r="B321" s="324">
        <v>7</v>
      </c>
      <c r="C321" s="326">
        <v>10.343</v>
      </c>
      <c r="D321" s="326">
        <v>10</v>
      </c>
      <c r="E321" s="326">
        <v>0.93100000000000005</v>
      </c>
      <c r="F321" s="326">
        <v>11.9</v>
      </c>
      <c r="G321" s="326">
        <v>9.1999999999999993</v>
      </c>
      <c r="H321" s="326">
        <f t="shared" si="18"/>
        <v>11.032694451768318</v>
      </c>
      <c r="I321" s="326">
        <f t="shared" si="19"/>
        <v>9.6533055482316819</v>
      </c>
      <c r="J321" s="335"/>
      <c r="K321" s="332">
        <v>19</v>
      </c>
      <c r="L321" s="332">
        <v>7</v>
      </c>
      <c r="M321" s="349">
        <v>0.53139999999999998</v>
      </c>
      <c r="N321" s="349">
        <v>0.53</v>
      </c>
      <c r="O321" s="349">
        <v>1.6760000000000001E-2</v>
      </c>
      <c r="P321" s="349">
        <v>0.55000000000000004</v>
      </c>
      <c r="Q321" s="349">
        <v>0.51</v>
      </c>
      <c r="R321" s="349">
        <f t="shared" si="22"/>
        <v>0.54381598175256385</v>
      </c>
      <c r="S321" s="349">
        <f t="shared" si="23"/>
        <v>0.51898401824743612</v>
      </c>
    </row>
    <row r="322" spans="1:19" x14ac:dyDescent="0.2">
      <c r="A322" s="332"/>
      <c r="B322" s="332"/>
      <c r="C322" s="333"/>
      <c r="D322" s="333"/>
      <c r="E322" s="333"/>
      <c r="F322" s="333"/>
      <c r="G322" s="333"/>
      <c r="H322" s="333"/>
      <c r="I322" s="333"/>
      <c r="J322" s="335"/>
      <c r="K322" s="324"/>
      <c r="L322" s="324"/>
      <c r="M322" s="324"/>
      <c r="N322" s="324"/>
      <c r="O322" s="334"/>
      <c r="P322" s="324"/>
      <c r="Q322" s="324"/>
      <c r="R322" s="326"/>
      <c r="S322" s="326"/>
    </row>
    <row r="323" spans="1:19" x14ac:dyDescent="0.2">
      <c r="A323" s="332"/>
      <c r="B323" s="332"/>
      <c r="C323" s="333"/>
      <c r="D323" s="333"/>
      <c r="E323" s="333"/>
      <c r="F323" s="333"/>
      <c r="G323" s="333"/>
      <c r="H323" s="333"/>
      <c r="I323" s="333"/>
      <c r="J323" s="335"/>
      <c r="K323" s="324"/>
      <c r="L323" s="324"/>
      <c r="M323" s="324"/>
      <c r="N323" s="324"/>
      <c r="O323" s="324"/>
      <c r="P323" s="324"/>
      <c r="Q323" s="324"/>
      <c r="R323" s="326"/>
      <c r="S323" s="326"/>
    </row>
    <row r="324" spans="1:19" x14ac:dyDescent="0.2">
      <c r="A324" s="800" t="s">
        <v>683</v>
      </c>
      <c r="B324" s="800"/>
      <c r="C324" s="800"/>
      <c r="D324" s="800"/>
      <c r="E324" s="800"/>
      <c r="F324" s="800"/>
      <c r="G324" s="800"/>
      <c r="H324" s="800"/>
      <c r="I324" s="801"/>
      <c r="J324" s="335"/>
      <c r="K324" s="800" t="s">
        <v>684</v>
      </c>
      <c r="L324" s="800"/>
      <c r="M324" s="800"/>
      <c r="N324" s="800"/>
      <c r="O324" s="800"/>
      <c r="P324" s="800"/>
      <c r="Q324" s="800"/>
      <c r="R324" s="800"/>
      <c r="S324" s="801"/>
    </row>
    <row r="325" spans="1:19" x14ac:dyDescent="0.2">
      <c r="A325" s="329" t="s">
        <v>504</v>
      </c>
      <c r="B325" s="329" t="s">
        <v>641</v>
      </c>
      <c r="C325" s="330" t="s">
        <v>642</v>
      </c>
      <c r="D325" s="330" t="s">
        <v>643</v>
      </c>
      <c r="E325" s="330" t="s">
        <v>644</v>
      </c>
      <c r="F325" s="330" t="s">
        <v>645</v>
      </c>
      <c r="G325" s="330" t="s">
        <v>646</v>
      </c>
      <c r="H325" s="330" t="s">
        <v>647</v>
      </c>
      <c r="I325" s="330" t="s">
        <v>648</v>
      </c>
      <c r="J325" s="335"/>
      <c r="K325" s="332" t="s">
        <v>504</v>
      </c>
      <c r="L325" s="332" t="s">
        <v>641</v>
      </c>
      <c r="M325" s="333" t="s">
        <v>642</v>
      </c>
      <c r="N325" s="333" t="s">
        <v>643</v>
      </c>
      <c r="O325" s="333" t="s">
        <v>644</v>
      </c>
      <c r="P325" s="333" t="s">
        <v>645</v>
      </c>
      <c r="Q325" s="333" t="s">
        <v>646</v>
      </c>
      <c r="R325" s="333" t="s">
        <v>647</v>
      </c>
      <c r="S325" s="333" t="s">
        <v>648</v>
      </c>
    </row>
    <row r="326" spans="1:19" x14ac:dyDescent="0.2">
      <c r="A326" s="324">
        <v>7</v>
      </c>
      <c r="B326" s="324">
        <v>14</v>
      </c>
      <c r="C326" s="326">
        <v>4.5640000000000001</v>
      </c>
      <c r="D326" s="326">
        <v>4.55</v>
      </c>
      <c r="E326" s="326">
        <v>0.191</v>
      </c>
      <c r="F326" s="326">
        <v>5</v>
      </c>
      <c r="G326" s="326">
        <v>4.2</v>
      </c>
      <c r="H326" s="326">
        <f t="shared" si="18"/>
        <v>4.6640519185223352</v>
      </c>
      <c r="I326" s="326">
        <f t="shared" si="19"/>
        <v>4.4639480814776649</v>
      </c>
      <c r="J326" s="335"/>
      <c r="K326" s="324">
        <v>7</v>
      </c>
      <c r="L326" s="324">
        <v>14</v>
      </c>
      <c r="M326" s="336">
        <v>60.953600000000002</v>
      </c>
      <c r="N326" s="336">
        <v>60.5</v>
      </c>
      <c r="O326" s="336">
        <v>2.8085</v>
      </c>
      <c r="P326" s="336">
        <v>67</v>
      </c>
      <c r="Q326" s="336">
        <v>57</v>
      </c>
      <c r="R326" s="336">
        <f t="shared" si="22"/>
        <v>62.424782267905648</v>
      </c>
      <c r="S326" s="336">
        <f t="shared" si="23"/>
        <v>59.482417732094355</v>
      </c>
    </row>
    <row r="327" spans="1:19" x14ac:dyDescent="0.2">
      <c r="A327" s="329">
        <v>8</v>
      </c>
      <c r="B327" s="329">
        <v>38</v>
      </c>
      <c r="C327" s="330">
        <v>4.6580000000000004</v>
      </c>
      <c r="D327" s="330">
        <v>4.7</v>
      </c>
      <c r="E327" s="330">
        <v>0.29599999999999999</v>
      </c>
      <c r="F327" s="330">
        <v>5.2</v>
      </c>
      <c r="G327" s="330">
        <v>4</v>
      </c>
      <c r="H327" s="330">
        <f t="shared" si="18"/>
        <v>4.7521143796832233</v>
      </c>
      <c r="I327" s="330">
        <f t="shared" si="19"/>
        <v>4.5638856203167775</v>
      </c>
      <c r="J327" s="335"/>
      <c r="K327" s="329">
        <v>8</v>
      </c>
      <c r="L327" s="329">
        <v>39</v>
      </c>
      <c r="M327" s="345">
        <v>59.426900000000003</v>
      </c>
      <c r="N327" s="345">
        <v>59.75</v>
      </c>
      <c r="O327" s="345">
        <v>2.9651999999999998</v>
      </c>
      <c r="P327" s="345">
        <v>67.349999999999994</v>
      </c>
      <c r="Q327" s="345">
        <v>50.1</v>
      </c>
      <c r="R327" s="345">
        <f t="shared" si="22"/>
        <v>60.357531523259176</v>
      </c>
      <c r="S327" s="345">
        <f t="shared" si="23"/>
        <v>58.496268476740831</v>
      </c>
    </row>
    <row r="328" spans="1:19" x14ac:dyDescent="0.2">
      <c r="A328" s="324">
        <v>9</v>
      </c>
      <c r="B328" s="324">
        <v>57</v>
      </c>
      <c r="C328" s="326">
        <v>4.7</v>
      </c>
      <c r="D328" s="326">
        <v>4.7</v>
      </c>
      <c r="E328" s="326">
        <v>0.27300000000000002</v>
      </c>
      <c r="F328" s="326">
        <v>5.2</v>
      </c>
      <c r="G328" s="326">
        <v>3.8</v>
      </c>
      <c r="H328" s="326">
        <f t="shared" si="18"/>
        <v>4.7708730773618369</v>
      </c>
      <c r="I328" s="326">
        <f t="shared" si="19"/>
        <v>4.6291269226381635</v>
      </c>
      <c r="J328" s="335"/>
      <c r="K328" s="324">
        <v>9</v>
      </c>
      <c r="L328" s="324">
        <v>57</v>
      </c>
      <c r="M328" s="336">
        <v>62.737699999999997</v>
      </c>
      <c r="N328" s="336">
        <v>62.7</v>
      </c>
      <c r="O328" s="336">
        <v>3.4399000000000002</v>
      </c>
      <c r="P328" s="336">
        <v>69.05</v>
      </c>
      <c r="Q328" s="336">
        <v>50.5</v>
      </c>
      <c r="R328" s="336">
        <f t="shared" si="22"/>
        <v>63.630726735593335</v>
      </c>
      <c r="S328" s="336">
        <f t="shared" si="23"/>
        <v>61.844673264406659</v>
      </c>
    </row>
    <row r="329" spans="1:19" x14ac:dyDescent="0.2">
      <c r="A329" s="329">
        <v>10</v>
      </c>
      <c r="B329" s="329">
        <v>65</v>
      </c>
      <c r="C329" s="330">
        <v>4.851</v>
      </c>
      <c r="D329" s="330">
        <v>4.8</v>
      </c>
      <c r="E329" s="330">
        <v>0.36899999999999999</v>
      </c>
      <c r="F329" s="330">
        <v>5.8</v>
      </c>
      <c r="G329" s="330">
        <v>4.0999999999999996</v>
      </c>
      <c r="H329" s="330">
        <f t="shared" si="18"/>
        <v>4.9407068814442994</v>
      </c>
      <c r="I329" s="330">
        <f t="shared" si="19"/>
        <v>4.7612931185557006</v>
      </c>
      <c r="J329" s="335"/>
      <c r="K329" s="329">
        <v>10</v>
      </c>
      <c r="L329" s="329">
        <v>66</v>
      </c>
      <c r="M329" s="345">
        <v>64.721199999999996</v>
      </c>
      <c r="N329" s="345">
        <v>63.875</v>
      </c>
      <c r="O329" s="345">
        <v>3.8031000000000001</v>
      </c>
      <c r="P329" s="345">
        <v>73.900000000000006</v>
      </c>
      <c r="Q329" s="345">
        <v>56.5</v>
      </c>
      <c r="R329" s="345">
        <f t="shared" si="22"/>
        <v>65.638733328713258</v>
      </c>
      <c r="S329" s="345">
        <f t="shared" si="23"/>
        <v>63.803666671286734</v>
      </c>
    </row>
    <row r="330" spans="1:19" x14ac:dyDescent="0.2">
      <c r="A330" s="324">
        <v>11</v>
      </c>
      <c r="B330" s="324">
        <v>55</v>
      </c>
      <c r="C330" s="326">
        <v>5.0750000000000002</v>
      </c>
      <c r="D330" s="326">
        <v>5.0999999999999996</v>
      </c>
      <c r="E330" s="326">
        <v>0.33900000000000002</v>
      </c>
      <c r="F330" s="326">
        <v>5.9</v>
      </c>
      <c r="G330" s="326">
        <v>4.4000000000000004</v>
      </c>
      <c r="H330" s="326">
        <f t="shared" si="18"/>
        <v>5.1645930713230159</v>
      </c>
      <c r="I330" s="326">
        <f t="shared" si="19"/>
        <v>4.9854069286769844</v>
      </c>
      <c r="J330" s="335"/>
      <c r="K330" s="324">
        <v>11</v>
      </c>
      <c r="L330" s="324">
        <v>55</v>
      </c>
      <c r="M330" s="336">
        <v>68.421800000000005</v>
      </c>
      <c r="N330" s="336">
        <v>68.3</v>
      </c>
      <c r="O330" s="336">
        <v>3.9701</v>
      </c>
      <c r="P330" s="336">
        <v>78.900000000000006</v>
      </c>
      <c r="Q330" s="336">
        <v>61.5</v>
      </c>
      <c r="R330" s="336">
        <f t="shared" si="22"/>
        <v>69.471043222594403</v>
      </c>
      <c r="S330" s="336">
        <f t="shared" si="23"/>
        <v>67.372556777405606</v>
      </c>
    </row>
    <row r="331" spans="1:19" x14ac:dyDescent="0.2">
      <c r="A331" s="329">
        <v>12</v>
      </c>
      <c r="B331" s="329">
        <v>34</v>
      </c>
      <c r="C331" s="330">
        <v>5.2350000000000003</v>
      </c>
      <c r="D331" s="330">
        <v>5.3</v>
      </c>
      <c r="E331" s="330">
        <v>0.38800000000000001</v>
      </c>
      <c r="F331" s="330">
        <v>6.2</v>
      </c>
      <c r="G331" s="330">
        <v>4.5999999999999996</v>
      </c>
      <c r="H331" s="330">
        <f t="shared" si="18"/>
        <v>5.3654212440291751</v>
      </c>
      <c r="I331" s="330">
        <f t="shared" si="19"/>
        <v>5.1045787559708256</v>
      </c>
      <c r="J331" s="335"/>
      <c r="K331" s="329">
        <v>12</v>
      </c>
      <c r="L331" s="329">
        <v>35</v>
      </c>
      <c r="M331" s="345">
        <v>71.932900000000004</v>
      </c>
      <c r="N331" s="345">
        <v>71.7</v>
      </c>
      <c r="O331" s="345">
        <v>4.1402000000000001</v>
      </c>
      <c r="P331" s="345">
        <v>83.05</v>
      </c>
      <c r="Q331" s="345">
        <v>63.2</v>
      </c>
      <c r="R331" s="345">
        <f t="shared" si="22"/>
        <v>73.304550197007387</v>
      </c>
      <c r="S331" s="345">
        <f t="shared" si="23"/>
        <v>70.56124980299262</v>
      </c>
    </row>
    <row r="332" spans="1:19" x14ac:dyDescent="0.2">
      <c r="A332" s="324">
        <v>13</v>
      </c>
      <c r="B332" s="324">
        <v>62</v>
      </c>
      <c r="C332" s="326">
        <v>5.5419999999999998</v>
      </c>
      <c r="D332" s="326">
        <v>5.6</v>
      </c>
      <c r="E332" s="326">
        <v>0.35399999999999998</v>
      </c>
      <c r="F332" s="326">
        <v>6.2</v>
      </c>
      <c r="G332" s="326">
        <v>4.8</v>
      </c>
      <c r="H332" s="326">
        <f t="shared" si="18"/>
        <v>5.6301177681178123</v>
      </c>
      <c r="I332" s="326">
        <f t="shared" si="19"/>
        <v>5.4538822318821873</v>
      </c>
      <c r="J332" s="335"/>
      <c r="K332" s="324">
        <v>13</v>
      </c>
      <c r="L332" s="324">
        <v>64</v>
      </c>
      <c r="M332" s="336">
        <v>77.0398</v>
      </c>
      <c r="N332" s="336">
        <v>77.375</v>
      </c>
      <c r="O332" s="336">
        <v>4.22</v>
      </c>
      <c r="P332" s="336">
        <v>86.8</v>
      </c>
      <c r="Q332" s="336">
        <v>66.849999999999994</v>
      </c>
      <c r="R332" s="336">
        <f t="shared" si="22"/>
        <v>78.073700000000002</v>
      </c>
      <c r="S332" s="336">
        <f t="shared" si="23"/>
        <v>76.005899999999997</v>
      </c>
    </row>
    <row r="333" spans="1:19" x14ac:dyDescent="0.2">
      <c r="A333" s="329">
        <v>14</v>
      </c>
      <c r="B333" s="329">
        <v>87</v>
      </c>
      <c r="C333" s="330">
        <v>5.6660000000000004</v>
      </c>
      <c r="D333" s="330">
        <v>5.7</v>
      </c>
      <c r="E333" s="330">
        <v>0.312</v>
      </c>
      <c r="F333" s="330">
        <v>6.4</v>
      </c>
      <c r="G333" s="330">
        <v>4.7</v>
      </c>
      <c r="H333" s="330">
        <f t="shared" si="18"/>
        <v>5.7315618257304015</v>
      </c>
      <c r="I333" s="330">
        <f t="shared" si="19"/>
        <v>5.6004381742695992</v>
      </c>
      <c r="J333" s="335"/>
      <c r="K333" s="329">
        <v>14</v>
      </c>
      <c r="L333" s="329">
        <v>87</v>
      </c>
      <c r="M333" s="345">
        <v>78.552899999999994</v>
      </c>
      <c r="N333" s="345">
        <v>78.400000000000006</v>
      </c>
      <c r="O333" s="345">
        <v>4.1287000000000003</v>
      </c>
      <c r="P333" s="345">
        <v>88.6</v>
      </c>
      <c r="Q333" s="345">
        <v>69.650000000000006</v>
      </c>
      <c r="R333" s="345">
        <f t="shared" si="22"/>
        <v>79.420480480426619</v>
      </c>
      <c r="S333" s="345">
        <f t="shared" si="23"/>
        <v>77.685319519573369</v>
      </c>
    </row>
    <row r="334" spans="1:19" x14ac:dyDescent="0.2">
      <c r="A334" s="324">
        <v>15</v>
      </c>
      <c r="B334" s="324">
        <v>70</v>
      </c>
      <c r="C334" s="326">
        <v>5.7389999999999999</v>
      </c>
      <c r="D334" s="326">
        <v>5.7</v>
      </c>
      <c r="E334" s="326">
        <v>0.32600000000000001</v>
      </c>
      <c r="F334" s="326">
        <v>6.5</v>
      </c>
      <c r="G334" s="326">
        <v>4.8</v>
      </c>
      <c r="H334" s="326">
        <f t="shared" si="18"/>
        <v>5.8153703272220305</v>
      </c>
      <c r="I334" s="326">
        <f t="shared" si="19"/>
        <v>5.6626296727779692</v>
      </c>
      <c r="J334" s="335"/>
      <c r="K334" s="324">
        <v>15</v>
      </c>
      <c r="L334" s="324">
        <v>70</v>
      </c>
      <c r="M334" s="336">
        <v>80.391300000000001</v>
      </c>
      <c r="N334" s="336">
        <v>79.924999999999997</v>
      </c>
      <c r="O334" s="336">
        <v>3.4823</v>
      </c>
      <c r="P334" s="336">
        <v>87.85</v>
      </c>
      <c r="Q334" s="336">
        <v>72</v>
      </c>
      <c r="R334" s="336">
        <f t="shared" si="22"/>
        <v>81.207080338911894</v>
      </c>
      <c r="S334" s="336">
        <f t="shared" si="23"/>
        <v>79.575519661088109</v>
      </c>
    </row>
    <row r="335" spans="1:19" x14ac:dyDescent="0.2">
      <c r="A335" s="329">
        <v>16</v>
      </c>
      <c r="B335" s="329">
        <v>38</v>
      </c>
      <c r="C335" s="330">
        <v>5.718</v>
      </c>
      <c r="D335" s="330">
        <v>5.7</v>
      </c>
      <c r="E335" s="330">
        <v>0.20200000000000001</v>
      </c>
      <c r="F335" s="330">
        <v>6.3</v>
      </c>
      <c r="G335" s="330">
        <v>5.3</v>
      </c>
      <c r="H335" s="330">
        <f t="shared" si="18"/>
        <v>5.7822267050540912</v>
      </c>
      <c r="I335" s="330">
        <f t="shared" si="19"/>
        <v>5.6537732949459087</v>
      </c>
      <c r="J335" s="335"/>
      <c r="K335" s="329">
        <v>16</v>
      </c>
      <c r="L335" s="329">
        <v>38</v>
      </c>
      <c r="M335" s="345">
        <v>79.685500000000005</v>
      </c>
      <c r="N335" s="345">
        <v>80.3</v>
      </c>
      <c r="O335" s="345">
        <v>3.0611999999999999</v>
      </c>
      <c r="P335" s="345">
        <v>85.2</v>
      </c>
      <c r="Q335" s="345">
        <v>73.7</v>
      </c>
      <c r="R335" s="345">
        <f t="shared" si="22"/>
        <v>80.658820740156372</v>
      </c>
      <c r="S335" s="345">
        <f t="shared" si="23"/>
        <v>78.712179259843637</v>
      </c>
    </row>
    <row r="336" spans="1:19" x14ac:dyDescent="0.2">
      <c r="A336" s="329">
        <v>17</v>
      </c>
      <c r="B336" s="329">
        <v>30</v>
      </c>
      <c r="C336" s="330">
        <v>5.76</v>
      </c>
      <c r="D336" s="330">
        <v>5.8</v>
      </c>
      <c r="E336" s="330">
        <v>0.34300000000000003</v>
      </c>
      <c r="F336" s="330">
        <v>6.4</v>
      </c>
      <c r="G336" s="330">
        <v>5</v>
      </c>
      <c r="H336" s="330">
        <f t="shared" si="18"/>
        <v>5.882740973653191</v>
      </c>
      <c r="I336" s="330">
        <f t="shared" si="19"/>
        <v>5.6372590263468085</v>
      </c>
      <c r="J336" s="335"/>
      <c r="K336" s="324">
        <v>17</v>
      </c>
      <c r="L336" s="324">
        <v>30</v>
      </c>
      <c r="M336" s="336">
        <v>81.329300000000003</v>
      </c>
      <c r="N336" s="336">
        <v>80.775000000000006</v>
      </c>
      <c r="O336" s="336">
        <v>4.9112</v>
      </c>
      <c r="P336" s="336">
        <v>90.7</v>
      </c>
      <c r="Q336" s="336">
        <v>71</v>
      </c>
      <c r="R336" s="336">
        <f t="shared" si="22"/>
        <v>83.086750349287328</v>
      </c>
      <c r="S336" s="336">
        <f t="shared" si="23"/>
        <v>79.571849650712679</v>
      </c>
    </row>
    <row r="337" spans="1:19" x14ac:dyDescent="0.2">
      <c r="A337" s="324">
        <v>18</v>
      </c>
      <c r="B337" s="324">
        <v>21</v>
      </c>
      <c r="C337" s="326">
        <v>5.8380000000000001</v>
      </c>
      <c r="D337" s="326">
        <v>5.8</v>
      </c>
      <c r="E337" s="326">
        <v>0.27100000000000002</v>
      </c>
      <c r="F337" s="326">
        <v>6.4</v>
      </c>
      <c r="G337" s="326">
        <v>5.3</v>
      </c>
      <c r="H337" s="326">
        <f t="shared" si="18"/>
        <v>5.9539086145777498</v>
      </c>
      <c r="I337" s="326">
        <f t="shared" si="19"/>
        <v>5.7220913854222504</v>
      </c>
      <c r="J337" s="335"/>
      <c r="K337" s="329">
        <v>18</v>
      </c>
      <c r="L337" s="329">
        <v>21</v>
      </c>
      <c r="M337" s="345">
        <v>81.952399999999997</v>
      </c>
      <c r="N337" s="345">
        <v>81.599999999999994</v>
      </c>
      <c r="O337" s="345">
        <v>3.5863</v>
      </c>
      <c r="P337" s="345">
        <v>88.75</v>
      </c>
      <c r="Q337" s="345">
        <v>74.2</v>
      </c>
      <c r="R337" s="345">
        <f t="shared" si="22"/>
        <v>83.486285846716541</v>
      </c>
      <c r="S337" s="345">
        <f t="shared" si="23"/>
        <v>80.418514153283454</v>
      </c>
    </row>
    <row r="338" spans="1:19" x14ac:dyDescent="0.2">
      <c r="A338" s="329">
        <v>19</v>
      </c>
      <c r="B338" s="329">
        <v>7</v>
      </c>
      <c r="C338" s="330">
        <v>5.9710000000000001</v>
      </c>
      <c r="D338" s="330">
        <v>5.9</v>
      </c>
      <c r="E338" s="330">
        <v>0.27500000000000002</v>
      </c>
      <c r="F338" s="330">
        <v>6.4</v>
      </c>
      <c r="G338" s="330">
        <v>5.6</v>
      </c>
      <c r="H338" s="330">
        <f t="shared" si="18"/>
        <v>6.1747228509519738</v>
      </c>
      <c r="I338" s="330">
        <f t="shared" si="19"/>
        <v>5.7672771490480264</v>
      </c>
      <c r="J338" s="335"/>
      <c r="K338" s="332">
        <v>19</v>
      </c>
      <c r="L338" s="332">
        <v>7</v>
      </c>
      <c r="M338" s="346">
        <v>80.599999999999994</v>
      </c>
      <c r="N338" s="346">
        <v>79.25</v>
      </c>
      <c r="O338" s="346">
        <v>5.1269</v>
      </c>
      <c r="P338" s="346">
        <v>89.3</v>
      </c>
      <c r="Q338" s="346">
        <v>75.150000000000006</v>
      </c>
      <c r="R338" s="346">
        <f t="shared" si="22"/>
        <v>84.398060671075172</v>
      </c>
      <c r="S338" s="346">
        <f t="shared" si="23"/>
        <v>76.801939328924817</v>
      </c>
    </row>
    <row r="339" spans="1:19" x14ac:dyDescent="0.2">
      <c r="A339" s="332"/>
      <c r="B339" s="332"/>
      <c r="C339" s="333"/>
      <c r="D339" s="333"/>
      <c r="E339" s="333"/>
      <c r="F339" s="333"/>
      <c r="G339" s="333"/>
      <c r="H339" s="333"/>
      <c r="I339" s="333"/>
      <c r="J339" s="335"/>
      <c r="K339" s="324"/>
      <c r="L339" s="324"/>
      <c r="M339" s="324"/>
      <c r="N339" s="324"/>
      <c r="O339" s="324"/>
      <c r="P339" s="324"/>
      <c r="Q339" s="324"/>
      <c r="R339" s="326"/>
      <c r="S339" s="326"/>
    </row>
    <row r="340" spans="1:19" x14ac:dyDescent="0.2">
      <c r="A340" s="332"/>
      <c r="B340" s="332"/>
      <c r="C340" s="333"/>
      <c r="D340" s="333"/>
      <c r="E340" s="333"/>
      <c r="F340" s="333"/>
      <c r="G340" s="333"/>
      <c r="H340" s="333"/>
      <c r="I340" s="333"/>
      <c r="J340" s="335"/>
      <c r="K340" s="324"/>
      <c r="L340" s="324"/>
      <c r="M340" s="324"/>
      <c r="N340" s="324"/>
      <c r="O340" s="324"/>
      <c r="P340" s="324"/>
      <c r="Q340" s="324"/>
      <c r="R340" s="326"/>
      <c r="S340" s="326"/>
    </row>
    <row r="341" spans="1:19" x14ac:dyDescent="0.2">
      <c r="A341" s="800" t="s">
        <v>715</v>
      </c>
      <c r="B341" s="800"/>
      <c r="C341" s="800"/>
      <c r="D341" s="800"/>
      <c r="E341" s="800"/>
      <c r="F341" s="800"/>
      <c r="G341" s="800"/>
      <c r="H341" s="800"/>
      <c r="I341" s="801"/>
      <c r="J341" s="335"/>
      <c r="K341" s="805" t="s">
        <v>685</v>
      </c>
      <c r="L341" s="806"/>
      <c r="M341" s="806"/>
      <c r="N341" s="806"/>
      <c r="O341" s="806"/>
      <c r="P341" s="806"/>
      <c r="Q341" s="806"/>
      <c r="R341" s="806"/>
      <c r="S341" s="806"/>
    </row>
    <row r="342" spans="1:19" x14ac:dyDescent="0.2">
      <c r="A342" s="329" t="s">
        <v>504</v>
      </c>
      <c r="B342" s="329" t="s">
        <v>641</v>
      </c>
      <c r="C342" s="330" t="s">
        <v>642</v>
      </c>
      <c r="D342" s="330" t="s">
        <v>643</v>
      </c>
      <c r="E342" s="330" t="s">
        <v>644</v>
      </c>
      <c r="F342" s="330" t="s">
        <v>645</v>
      </c>
      <c r="G342" s="330" t="s">
        <v>646</v>
      </c>
      <c r="H342" s="330" t="s">
        <v>647</v>
      </c>
      <c r="I342" s="330" t="s">
        <v>648</v>
      </c>
      <c r="J342" s="335"/>
      <c r="K342" s="353" t="s">
        <v>504</v>
      </c>
      <c r="L342" s="353" t="s">
        <v>641</v>
      </c>
      <c r="M342" s="354" t="s">
        <v>642</v>
      </c>
      <c r="N342" s="354" t="s">
        <v>643</v>
      </c>
      <c r="O342" s="354" t="s">
        <v>644</v>
      </c>
      <c r="P342" s="354" t="s">
        <v>645</v>
      </c>
      <c r="Q342" s="354" t="s">
        <v>646</v>
      </c>
      <c r="R342" s="354" t="s">
        <v>647</v>
      </c>
      <c r="S342" s="354" t="s">
        <v>648</v>
      </c>
    </row>
    <row r="343" spans="1:19" x14ac:dyDescent="0.2">
      <c r="A343" s="324">
        <v>7</v>
      </c>
      <c r="B343" s="324">
        <v>14</v>
      </c>
      <c r="C343" s="326">
        <v>6.6</v>
      </c>
      <c r="D343" s="326">
        <v>6.6</v>
      </c>
      <c r="E343" s="326">
        <v>0.311</v>
      </c>
      <c r="F343" s="326">
        <v>7.3</v>
      </c>
      <c r="G343" s="326">
        <v>6.2</v>
      </c>
      <c r="H343" s="326">
        <f t="shared" ref="H343:H406" si="24">C343+(1.96*E343)/(B343)^0.5</f>
        <v>6.7629117626201367</v>
      </c>
      <c r="I343" s="326">
        <f t="shared" ref="I343:I406" si="25">C343-(1.96*E343)/(B343)^0.5</f>
        <v>6.4370882373798626</v>
      </c>
      <c r="J343" s="335"/>
      <c r="K343" s="355">
        <v>7</v>
      </c>
      <c r="L343" s="355">
        <v>14</v>
      </c>
      <c r="M343" s="356">
        <v>-4.9485999999999999</v>
      </c>
      <c r="N343" s="356">
        <v>-4.9249999999999998</v>
      </c>
      <c r="O343" s="356">
        <v>0.2487</v>
      </c>
      <c r="P343" s="356">
        <v>-4.4800000000000004</v>
      </c>
      <c r="Q343" s="356">
        <v>-5.27</v>
      </c>
      <c r="R343" s="356">
        <f t="shared" si="22"/>
        <v>-4.8183229731073052</v>
      </c>
      <c r="S343" s="356">
        <f t="shared" si="23"/>
        <v>-5.0788770268926946</v>
      </c>
    </row>
    <row r="344" spans="1:19" x14ac:dyDescent="0.2">
      <c r="A344" s="329">
        <v>8</v>
      </c>
      <c r="B344" s="329">
        <v>38</v>
      </c>
      <c r="C344" s="330">
        <v>6.6369999999999996</v>
      </c>
      <c r="D344" s="330">
        <v>6.6</v>
      </c>
      <c r="E344" s="330">
        <v>0.41299999999999998</v>
      </c>
      <c r="F344" s="330">
        <v>7.6</v>
      </c>
      <c r="G344" s="330">
        <v>5.6</v>
      </c>
      <c r="H344" s="330">
        <f t="shared" si="24"/>
        <v>6.7683149959769295</v>
      </c>
      <c r="I344" s="330">
        <f t="shared" si="25"/>
        <v>6.5056850040230696</v>
      </c>
      <c r="J344" s="335"/>
      <c r="K344" s="353">
        <v>8</v>
      </c>
      <c r="L344" s="353">
        <v>39</v>
      </c>
      <c r="M344" s="354">
        <v>-4.6036000000000001</v>
      </c>
      <c r="N344" s="354">
        <v>-4.59</v>
      </c>
      <c r="O344" s="354">
        <v>0.30299999999999999</v>
      </c>
      <c r="P344" s="354">
        <v>-3.93</v>
      </c>
      <c r="Q344" s="354">
        <v>-5.26</v>
      </c>
      <c r="R344" s="354">
        <f t="shared" si="22"/>
        <v>-4.508503092018235</v>
      </c>
      <c r="S344" s="354">
        <f t="shared" si="23"/>
        <v>-4.6986969079817653</v>
      </c>
    </row>
    <row r="345" spans="1:19" x14ac:dyDescent="0.2">
      <c r="A345" s="324">
        <v>9</v>
      </c>
      <c r="B345" s="324">
        <v>57</v>
      </c>
      <c r="C345" s="326">
        <v>6.73</v>
      </c>
      <c r="D345" s="326">
        <v>6.7</v>
      </c>
      <c r="E345" s="326">
        <v>0.4</v>
      </c>
      <c r="F345" s="326">
        <v>8</v>
      </c>
      <c r="G345" s="326">
        <v>6</v>
      </c>
      <c r="H345" s="326">
        <f t="shared" si="24"/>
        <v>6.8338433367939002</v>
      </c>
      <c r="I345" s="326">
        <f t="shared" si="25"/>
        <v>6.6261566632061006</v>
      </c>
      <c r="J345" s="335"/>
      <c r="K345" s="355">
        <v>9</v>
      </c>
      <c r="L345" s="355">
        <v>57</v>
      </c>
      <c r="M345" s="356">
        <v>-4.0453000000000001</v>
      </c>
      <c r="N345" s="356">
        <v>-4.08</v>
      </c>
      <c r="O345" s="356">
        <v>0.29310000000000003</v>
      </c>
      <c r="P345" s="356">
        <v>-3.12</v>
      </c>
      <c r="Q345" s="356">
        <v>-4.6399999999999997</v>
      </c>
      <c r="R345" s="356">
        <f t="shared" si="22"/>
        <v>-3.9692087949642705</v>
      </c>
      <c r="S345" s="356">
        <f t="shared" si="23"/>
        <v>-4.1213912050357298</v>
      </c>
    </row>
    <row r="346" spans="1:19" x14ac:dyDescent="0.2">
      <c r="A346" s="329">
        <v>10</v>
      </c>
      <c r="B346" s="329">
        <v>66</v>
      </c>
      <c r="C346" s="330">
        <v>6.8920000000000003</v>
      </c>
      <c r="D346" s="330">
        <v>6.85</v>
      </c>
      <c r="E346" s="330">
        <v>0.47199999999999998</v>
      </c>
      <c r="F346" s="330">
        <v>7.9</v>
      </c>
      <c r="G346" s="330">
        <v>6</v>
      </c>
      <c r="H346" s="330">
        <f t="shared" si="24"/>
        <v>7.0058744001348003</v>
      </c>
      <c r="I346" s="330">
        <f t="shared" si="25"/>
        <v>6.7781255998652004</v>
      </c>
      <c r="J346" s="335"/>
      <c r="K346" s="353">
        <v>10</v>
      </c>
      <c r="L346" s="353">
        <v>66</v>
      </c>
      <c r="M346" s="354">
        <v>-3.5055000000000001</v>
      </c>
      <c r="N346" s="354">
        <v>-3.53</v>
      </c>
      <c r="O346" s="354">
        <v>0.36530000000000001</v>
      </c>
      <c r="P346" s="354">
        <v>-2.71</v>
      </c>
      <c r="Q346" s="354">
        <v>-4.2</v>
      </c>
      <c r="R346" s="354">
        <f t="shared" si="22"/>
        <v>-3.4173679695566896</v>
      </c>
      <c r="S346" s="354">
        <f t="shared" si="23"/>
        <v>-3.5936320304433105</v>
      </c>
    </row>
    <row r="347" spans="1:19" x14ac:dyDescent="0.2">
      <c r="A347" s="324">
        <v>11</v>
      </c>
      <c r="B347" s="324">
        <v>55</v>
      </c>
      <c r="C347" s="326">
        <v>7.1159999999999997</v>
      </c>
      <c r="D347" s="326">
        <v>7.2</v>
      </c>
      <c r="E347" s="326">
        <v>0.44900000000000001</v>
      </c>
      <c r="F347" s="326">
        <v>8.1</v>
      </c>
      <c r="G347" s="326">
        <v>6.3</v>
      </c>
      <c r="H347" s="326">
        <f t="shared" si="24"/>
        <v>7.2346645693924296</v>
      </c>
      <c r="I347" s="326">
        <f t="shared" si="25"/>
        <v>6.9973354306075697</v>
      </c>
      <c r="J347" s="335"/>
      <c r="K347" s="355">
        <v>11</v>
      </c>
      <c r="L347" s="355">
        <v>55</v>
      </c>
      <c r="M347" s="356">
        <v>-2.7765</v>
      </c>
      <c r="N347" s="356">
        <v>-2.8</v>
      </c>
      <c r="O347" s="356">
        <v>0.49569999999999997</v>
      </c>
      <c r="P347" s="356">
        <v>-1.31</v>
      </c>
      <c r="Q347" s="356">
        <v>-3.85</v>
      </c>
      <c r="R347" s="356">
        <f t="shared" si="22"/>
        <v>-2.6454932582453727</v>
      </c>
      <c r="S347" s="356">
        <f t="shared" si="23"/>
        <v>-2.9075067417546272</v>
      </c>
    </row>
    <row r="348" spans="1:19" x14ac:dyDescent="0.2">
      <c r="A348" s="329">
        <v>12</v>
      </c>
      <c r="B348" s="329">
        <v>34</v>
      </c>
      <c r="C348" s="330">
        <v>7.2149999999999999</v>
      </c>
      <c r="D348" s="330">
        <v>7.1</v>
      </c>
      <c r="E348" s="330">
        <v>0.52200000000000002</v>
      </c>
      <c r="F348" s="330">
        <v>8.6</v>
      </c>
      <c r="G348" s="330">
        <v>6.5</v>
      </c>
      <c r="H348" s="330">
        <f t="shared" si="24"/>
        <v>7.3904636324310031</v>
      </c>
      <c r="I348" s="330">
        <f t="shared" si="25"/>
        <v>7.0395363675689966</v>
      </c>
      <c r="J348" s="335"/>
      <c r="K348" s="353">
        <v>12</v>
      </c>
      <c r="L348" s="353">
        <v>35</v>
      </c>
      <c r="M348" s="354">
        <v>-2.0106000000000002</v>
      </c>
      <c r="N348" s="354">
        <v>-2.06</v>
      </c>
      <c r="O348" s="354">
        <v>0.45150000000000001</v>
      </c>
      <c r="P348" s="354">
        <v>-0.97</v>
      </c>
      <c r="Q348" s="354">
        <v>-2.92</v>
      </c>
      <c r="R348" s="354">
        <f t="shared" si="22"/>
        <v>-1.8610178387641094</v>
      </c>
      <c r="S348" s="354">
        <f t="shared" si="23"/>
        <v>-2.1601821612358907</v>
      </c>
    </row>
    <row r="349" spans="1:19" x14ac:dyDescent="0.2">
      <c r="A349" s="329">
        <v>13</v>
      </c>
      <c r="B349" s="329">
        <v>62</v>
      </c>
      <c r="C349" s="330">
        <v>7.4729999999999999</v>
      </c>
      <c r="D349" s="330">
        <v>7.5</v>
      </c>
      <c r="E349" s="330">
        <v>0.32700000000000001</v>
      </c>
      <c r="F349" s="330">
        <v>8.1999999999999993</v>
      </c>
      <c r="G349" s="330">
        <v>6.5</v>
      </c>
      <c r="H349" s="330">
        <f t="shared" si="24"/>
        <v>7.554396921396962</v>
      </c>
      <c r="I349" s="330">
        <f t="shared" si="25"/>
        <v>7.3916030786030378</v>
      </c>
      <c r="J349" s="335"/>
      <c r="K349" s="355">
        <v>13</v>
      </c>
      <c r="L349" s="355">
        <v>64</v>
      </c>
      <c r="M349" s="356">
        <v>-0.98170000000000002</v>
      </c>
      <c r="N349" s="356">
        <v>-0.97499999999999998</v>
      </c>
      <c r="O349" s="356">
        <v>0.62490000000000001</v>
      </c>
      <c r="P349" s="356">
        <v>0.78</v>
      </c>
      <c r="Q349" s="356">
        <v>-2.2799999999999998</v>
      </c>
      <c r="R349" s="356">
        <f t="shared" si="22"/>
        <v>-0.82859950000000004</v>
      </c>
      <c r="S349" s="356">
        <f t="shared" si="23"/>
        <v>-1.1348005000000001</v>
      </c>
    </row>
    <row r="350" spans="1:19" x14ac:dyDescent="0.2">
      <c r="A350" s="324">
        <v>14</v>
      </c>
      <c r="B350" s="324">
        <v>87</v>
      </c>
      <c r="C350" s="326">
        <v>7.4790000000000001</v>
      </c>
      <c r="D350" s="326">
        <v>7.5</v>
      </c>
      <c r="E350" s="326">
        <v>0.36699999999999999</v>
      </c>
      <c r="F350" s="326">
        <v>8.6</v>
      </c>
      <c r="G350" s="326">
        <v>6.5</v>
      </c>
      <c r="H350" s="326">
        <f t="shared" si="24"/>
        <v>7.556119198855952</v>
      </c>
      <c r="I350" s="326">
        <f t="shared" si="25"/>
        <v>7.4018808011440482</v>
      </c>
      <c r="J350" s="335"/>
      <c r="K350" s="353">
        <v>14</v>
      </c>
      <c r="L350" s="353">
        <v>87</v>
      </c>
      <c r="M350" s="354">
        <v>-0.13780000000000001</v>
      </c>
      <c r="N350" s="354">
        <v>-0.1</v>
      </c>
      <c r="O350" s="354">
        <v>0.65539999999999998</v>
      </c>
      <c r="P350" s="354">
        <v>1.27</v>
      </c>
      <c r="Q350" s="354">
        <v>-2.15</v>
      </c>
      <c r="R350" s="354">
        <f t="shared" si="22"/>
        <v>-7.8139154792628007E-5</v>
      </c>
      <c r="S350" s="354">
        <f t="shared" si="23"/>
        <v>-0.27552186084520736</v>
      </c>
    </row>
    <row r="351" spans="1:19" x14ac:dyDescent="0.2">
      <c r="A351" s="329">
        <v>15</v>
      </c>
      <c r="B351" s="329">
        <v>70</v>
      </c>
      <c r="C351" s="330">
        <v>7.51</v>
      </c>
      <c r="D351" s="330">
        <v>7.5</v>
      </c>
      <c r="E351" s="330">
        <v>0.36399999999999999</v>
      </c>
      <c r="F351" s="330">
        <v>8.8000000000000007</v>
      </c>
      <c r="G351" s="330">
        <v>6.7</v>
      </c>
      <c r="H351" s="330">
        <f t="shared" si="24"/>
        <v>7.5952723899043528</v>
      </c>
      <c r="I351" s="330">
        <f t="shared" si="25"/>
        <v>7.4247276100956467</v>
      </c>
      <c r="J351" s="335"/>
      <c r="K351" s="355">
        <v>15</v>
      </c>
      <c r="L351" s="355">
        <v>70</v>
      </c>
      <c r="M351" s="356">
        <v>0.62709999999999999</v>
      </c>
      <c r="N351" s="356">
        <v>0.68</v>
      </c>
      <c r="O351" s="356">
        <v>0.60360000000000003</v>
      </c>
      <c r="P351" s="356">
        <v>2.2999999999999998</v>
      </c>
      <c r="Q351" s="356">
        <v>-0.67</v>
      </c>
      <c r="R351" s="356">
        <f t="shared" si="22"/>
        <v>0.76850223776447102</v>
      </c>
      <c r="S351" s="356">
        <f t="shared" si="23"/>
        <v>0.48569776223552896</v>
      </c>
    </row>
    <row r="352" spans="1:19" x14ac:dyDescent="0.2">
      <c r="A352" s="324">
        <v>16</v>
      </c>
      <c r="B352" s="324">
        <v>38</v>
      </c>
      <c r="C352" s="326">
        <v>7.4740000000000002</v>
      </c>
      <c r="D352" s="326">
        <v>7.45</v>
      </c>
      <c r="E352" s="326">
        <v>0.35199999999999998</v>
      </c>
      <c r="F352" s="326">
        <v>8.6</v>
      </c>
      <c r="G352" s="326">
        <v>6.9</v>
      </c>
      <c r="H352" s="326">
        <f t="shared" si="24"/>
        <v>7.5859198028665356</v>
      </c>
      <c r="I352" s="326">
        <f t="shared" si="25"/>
        <v>7.3620801971334648</v>
      </c>
      <c r="J352" s="335"/>
      <c r="K352" s="353">
        <v>16</v>
      </c>
      <c r="L352" s="353">
        <v>38</v>
      </c>
      <c r="M352" s="354">
        <v>1.2479</v>
      </c>
      <c r="N352" s="354">
        <v>1.31</v>
      </c>
      <c r="O352" s="354">
        <v>0.50170000000000003</v>
      </c>
      <c r="P352" s="354">
        <v>2.71</v>
      </c>
      <c r="Q352" s="354">
        <v>0.23</v>
      </c>
      <c r="R352" s="354">
        <f t="shared" si="22"/>
        <v>1.4074175144833549</v>
      </c>
      <c r="S352" s="354">
        <f t="shared" si="23"/>
        <v>1.0883824855166451</v>
      </c>
    </row>
    <row r="353" spans="1:19" x14ac:dyDescent="0.2">
      <c r="A353" s="329">
        <v>17</v>
      </c>
      <c r="B353" s="329">
        <v>30</v>
      </c>
      <c r="C353" s="330">
        <v>7.633</v>
      </c>
      <c r="D353" s="330">
        <v>7.65</v>
      </c>
      <c r="E353" s="330">
        <v>0.34599999999999997</v>
      </c>
      <c r="F353" s="330">
        <v>8.4</v>
      </c>
      <c r="G353" s="330">
        <v>7.2</v>
      </c>
      <c r="H353" s="330">
        <f t="shared" si="24"/>
        <v>7.7568145098659009</v>
      </c>
      <c r="I353" s="330">
        <f t="shared" si="25"/>
        <v>7.5091854901340991</v>
      </c>
      <c r="J353" s="335"/>
      <c r="K353" s="355">
        <v>17</v>
      </c>
      <c r="L353" s="355">
        <v>30</v>
      </c>
      <c r="M353" s="356">
        <v>1.7917000000000001</v>
      </c>
      <c r="N353" s="356">
        <v>1.7250000000000001</v>
      </c>
      <c r="O353" s="356">
        <v>0.44919999999999999</v>
      </c>
      <c r="P353" s="356">
        <v>2.79</v>
      </c>
      <c r="Q353" s="356">
        <v>0.82</v>
      </c>
      <c r="R353" s="356">
        <f t="shared" si="22"/>
        <v>1.9524441555831296</v>
      </c>
      <c r="S353" s="356">
        <f t="shared" si="23"/>
        <v>1.6309558444168706</v>
      </c>
    </row>
    <row r="354" spans="1:19" x14ac:dyDescent="0.2">
      <c r="A354" s="324">
        <v>18</v>
      </c>
      <c r="B354" s="324">
        <v>21</v>
      </c>
      <c r="C354" s="326">
        <v>7.5620000000000003</v>
      </c>
      <c r="D354" s="326">
        <v>7.5</v>
      </c>
      <c r="E354" s="326">
        <v>0.372</v>
      </c>
      <c r="F354" s="326">
        <v>8.1999999999999993</v>
      </c>
      <c r="G354" s="326">
        <v>6.8</v>
      </c>
      <c r="H354" s="326">
        <f t="shared" si="24"/>
        <v>7.7211070281288672</v>
      </c>
      <c r="I354" s="326">
        <f t="shared" si="25"/>
        <v>7.4028929718711334</v>
      </c>
      <c r="J354" s="335"/>
      <c r="K354" s="353">
        <v>18</v>
      </c>
      <c r="L354" s="353">
        <v>21</v>
      </c>
      <c r="M354" s="354">
        <v>2.5257000000000001</v>
      </c>
      <c r="N354" s="354">
        <v>2.54</v>
      </c>
      <c r="O354" s="354">
        <v>0.54379999999999995</v>
      </c>
      <c r="P354" s="354">
        <v>3.5</v>
      </c>
      <c r="Q354" s="354">
        <v>1.39</v>
      </c>
      <c r="R354" s="354">
        <f t="shared" si="22"/>
        <v>2.7582871018722521</v>
      </c>
      <c r="S354" s="354">
        <f t="shared" si="23"/>
        <v>2.293112898127748</v>
      </c>
    </row>
    <row r="355" spans="1:19" x14ac:dyDescent="0.2">
      <c r="A355" s="329">
        <v>19</v>
      </c>
      <c r="B355" s="329">
        <v>7</v>
      </c>
      <c r="C355" s="330">
        <v>7.7569999999999997</v>
      </c>
      <c r="D355" s="330">
        <v>7.8</v>
      </c>
      <c r="E355" s="330">
        <v>0.60199999999999998</v>
      </c>
      <c r="F355" s="330">
        <v>8.5</v>
      </c>
      <c r="G355" s="330">
        <v>6.7</v>
      </c>
      <c r="H355" s="330">
        <f t="shared" si="24"/>
        <v>8.2029678409930469</v>
      </c>
      <c r="I355" s="330">
        <f t="shared" si="25"/>
        <v>7.3110321590069525</v>
      </c>
      <c r="J355" s="335"/>
      <c r="K355" s="355">
        <v>19</v>
      </c>
      <c r="L355" s="355">
        <v>7</v>
      </c>
      <c r="M355" s="356">
        <v>2.9228999999999998</v>
      </c>
      <c r="N355" s="356">
        <v>3.16</v>
      </c>
      <c r="O355" s="356">
        <v>0.42180000000000001</v>
      </c>
      <c r="P355" s="356">
        <v>3.27</v>
      </c>
      <c r="Q355" s="356">
        <v>2.1</v>
      </c>
      <c r="R355" s="356">
        <f t="shared" si="22"/>
        <v>3.2353738128419725</v>
      </c>
      <c r="S355" s="356">
        <f t="shared" si="23"/>
        <v>2.6104261871580272</v>
      </c>
    </row>
    <row r="356" spans="1:19" x14ac:dyDescent="0.2">
      <c r="A356" s="332"/>
      <c r="B356" s="332"/>
      <c r="C356" s="333"/>
      <c r="D356" s="333"/>
      <c r="E356" s="333"/>
      <c r="F356" s="333"/>
      <c r="G356" s="333"/>
      <c r="H356" s="333"/>
      <c r="I356" s="333"/>
      <c r="J356" s="350"/>
      <c r="K356" s="342"/>
      <c r="L356" s="342"/>
      <c r="M356" s="343"/>
      <c r="N356" s="343"/>
      <c r="O356" s="343"/>
      <c r="P356" s="343"/>
      <c r="Q356" s="343"/>
      <c r="R356" s="343"/>
      <c r="S356" s="343"/>
    </row>
    <row r="357" spans="1:19" x14ac:dyDescent="0.2">
      <c r="A357" s="332"/>
      <c r="B357" s="332"/>
      <c r="C357" s="333"/>
      <c r="D357" s="333"/>
      <c r="E357" s="333"/>
      <c r="F357" s="333"/>
      <c r="G357" s="333"/>
      <c r="H357" s="333"/>
      <c r="I357" s="333"/>
      <c r="J357" s="350"/>
      <c r="K357" s="342"/>
      <c r="L357" s="342"/>
      <c r="M357" s="343"/>
      <c r="N357" s="343"/>
      <c r="O357" s="343"/>
      <c r="P357" s="343"/>
      <c r="Q357" s="343"/>
      <c r="R357" s="343"/>
      <c r="S357" s="343"/>
    </row>
    <row r="358" spans="1:19" x14ac:dyDescent="0.2">
      <c r="A358" s="800" t="s">
        <v>686</v>
      </c>
      <c r="B358" s="800"/>
      <c r="C358" s="800"/>
      <c r="D358" s="800"/>
      <c r="E358" s="800"/>
      <c r="F358" s="800"/>
      <c r="G358" s="800"/>
      <c r="H358" s="800"/>
      <c r="I358" s="801"/>
      <c r="J358" s="350"/>
      <c r="K358" s="342"/>
      <c r="L358" s="342"/>
      <c r="M358" s="343"/>
      <c r="N358" s="343"/>
      <c r="O358" s="343"/>
      <c r="P358" s="343"/>
      <c r="Q358" s="343"/>
      <c r="R358" s="343"/>
      <c r="S358" s="343"/>
    </row>
    <row r="359" spans="1:19" x14ac:dyDescent="0.2">
      <c r="A359" s="329" t="s">
        <v>504</v>
      </c>
      <c r="B359" s="329" t="s">
        <v>641</v>
      </c>
      <c r="C359" s="330" t="s">
        <v>642</v>
      </c>
      <c r="D359" s="330" t="s">
        <v>643</v>
      </c>
      <c r="E359" s="330" t="s">
        <v>644</v>
      </c>
      <c r="F359" s="330" t="s">
        <v>645</v>
      </c>
      <c r="G359" s="330" t="s">
        <v>646</v>
      </c>
      <c r="H359" s="330" t="s">
        <v>647</v>
      </c>
      <c r="I359" s="330" t="s">
        <v>648</v>
      </c>
      <c r="J359" s="350"/>
      <c r="K359" s="342"/>
      <c r="L359" s="342"/>
      <c r="M359" s="343"/>
      <c r="N359" s="343"/>
      <c r="O359" s="343"/>
      <c r="P359" s="343"/>
      <c r="Q359" s="343"/>
      <c r="R359" s="343"/>
      <c r="S359" s="343"/>
    </row>
    <row r="360" spans="1:19" x14ac:dyDescent="0.2">
      <c r="A360" s="324">
        <v>7</v>
      </c>
      <c r="B360" s="324">
        <v>14</v>
      </c>
      <c r="C360" s="326">
        <v>53.570999999999998</v>
      </c>
      <c r="D360" s="326">
        <v>53.1</v>
      </c>
      <c r="E360" s="326">
        <v>1.7949999999999999</v>
      </c>
      <c r="F360" s="326">
        <v>57.8</v>
      </c>
      <c r="G360" s="326">
        <v>51.2</v>
      </c>
      <c r="H360" s="326">
        <f t="shared" si="24"/>
        <v>54.511278501296289</v>
      </c>
      <c r="I360" s="326">
        <f t="shared" si="25"/>
        <v>52.630721498703707</v>
      </c>
      <c r="J360" s="350"/>
      <c r="K360" s="342"/>
      <c r="L360" s="342"/>
      <c r="M360" s="343"/>
      <c r="N360" s="343"/>
      <c r="O360" s="343"/>
      <c r="P360" s="343"/>
      <c r="Q360" s="343"/>
      <c r="R360" s="343"/>
      <c r="S360" s="343"/>
    </row>
    <row r="361" spans="1:19" x14ac:dyDescent="0.2">
      <c r="A361" s="329">
        <v>8</v>
      </c>
      <c r="B361" s="329">
        <v>39</v>
      </c>
      <c r="C361" s="330">
        <v>52.881999999999998</v>
      </c>
      <c r="D361" s="330">
        <v>52.7</v>
      </c>
      <c r="E361" s="330">
        <v>1.3320000000000001</v>
      </c>
      <c r="F361" s="330">
        <v>55.7</v>
      </c>
      <c r="G361" s="330">
        <v>49.8</v>
      </c>
      <c r="H361" s="330">
        <f t="shared" si="24"/>
        <v>53.300049773702014</v>
      </c>
      <c r="I361" s="330">
        <f t="shared" si="25"/>
        <v>52.463950226297982</v>
      </c>
      <c r="J361" s="350"/>
      <c r="K361" s="342"/>
      <c r="L361" s="342"/>
      <c r="M361" s="343"/>
      <c r="N361" s="343"/>
      <c r="O361" s="343"/>
      <c r="P361" s="343"/>
      <c r="Q361" s="343"/>
      <c r="R361" s="343"/>
      <c r="S361" s="343"/>
    </row>
    <row r="362" spans="1:19" x14ac:dyDescent="0.2">
      <c r="A362" s="329">
        <v>9</v>
      </c>
      <c r="B362" s="329">
        <v>57</v>
      </c>
      <c r="C362" s="330">
        <v>53.192999999999998</v>
      </c>
      <c r="D362" s="330">
        <v>53.4</v>
      </c>
      <c r="E362" s="330">
        <v>1.657</v>
      </c>
      <c r="F362" s="330">
        <v>56.3</v>
      </c>
      <c r="G362" s="330">
        <v>46.6</v>
      </c>
      <c r="H362" s="330">
        <f t="shared" si="24"/>
        <v>53.623171022668728</v>
      </c>
      <c r="I362" s="330">
        <f t="shared" si="25"/>
        <v>52.762828977331267</v>
      </c>
      <c r="J362" s="350"/>
      <c r="K362" s="342"/>
      <c r="L362" s="342"/>
      <c r="M362" s="343"/>
      <c r="N362" s="343"/>
      <c r="O362" s="343"/>
      <c r="P362" s="343"/>
      <c r="Q362" s="343"/>
      <c r="R362" s="343"/>
      <c r="S362" s="343"/>
    </row>
    <row r="363" spans="1:19" x14ac:dyDescent="0.2">
      <c r="A363" s="324">
        <v>10</v>
      </c>
      <c r="B363" s="324">
        <v>66</v>
      </c>
      <c r="C363" s="326">
        <v>53.177</v>
      </c>
      <c r="D363" s="326">
        <v>53.1</v>
      </c>
      <c r="E363" s="326">
        <v>1.4410000000000001</v>
      </c>
      <c r="F363" s="326">
        <v>56.7</v>
      </c>
      <c r="G363" s="326">
        <v>49.2</v>
      </c>
      <c r="H363" s="326">
        <f t="shared" si="24"/>
        <v>53.524654683462387</v>
      </c>
      <c r="I363" s="326">
        <f t="shared" si="25"/>
        <v>52.829345316537612</v>
      </c>
      <c r="J363" s="350"/>
      <c r="K363" s="342"/>
      <c r="L363" s="342"/>
      <c r="M363" s="343"/>
      <c r="N363" s="343"/>
      <c r="O363" s="343"/>
      <c r="P363" s="343"/>
      <c r="Q363" s="343"/>
      <c r="R363" s="343"/>
      <c r="S363" s="343"/>
    </row>
    <row r="364" spans="1:19" x14ac:dyDescent="0.2">
      <c r="A364" s="329">
        <v>11</v>
      </c>
      <c r="B364" s="329">
        <v>55</v>
      </c>
      <c r="C364" s="330">
        <v>53.529000000000003</v>
      </c>
      <c r="D364" s="330">
        <v>53.4</v>
      </c>
      <c r="E364" s="330">
        <v>1.4259999999999999</v>
      </c>
      <c r="F364" s="330">
        <v>57</v>
      </c>
      <c r="G364" s="330">
        <v>49.7</v>
      </c>
      <c r="H364" s="330">
        <f t="shared" si="24"/>
        <v>53.905872329518054</v>
      </c>
      <c r="I364" s="330">
        <f t="shared" si="25"/>
        <v>53.152127670481953</v>
      </c>
      <c r="J364" s="350"/>
      <c r="K364" s="342"/>
      <c r="L364" s="342"/>
      <c r="M364" s="343"/>
      <c r="N364" s="343"/>
      <c r="O364" s="343"/>
      <c r="P364" s="343"/>
      <c r="Q364" s="343"/>
      <c r="R364" s="343"/>
      <c r="S364" s="343"/>
    </row>
    <row r="365" spans="1:19" x14ac:dyDescent="0.2">
      <c r="A365" s="324">
        <v>12</v>
      </c>
      <c r="B365" s="324">
        <v>35</v>
      </c>
      <c r="C365" s="326">
        <v>54.3</v>
      </c>
      <c r="D365" s="326">
        <v>54.1</v>
      </c>
      <c r="E365" s="326">
        <v>1.6519999999999999</v>
      </c>
      <c r="F365" s="326">
        <v>58</v>
      </c>
      <c r="G365" s="326">
        <v>50.6</v>
      </c>
      <c r="H365" s="326">
        <f t="shared" si="24"/>
        <v>54.847308372894112</v>
      </c>
      <c r="I365" s="326">
        <f t="shared" si="25"/>
        <v>53.752691627105882</v>
      </c>
      <c r="J365" s="350"/>
      <c r="K365" s="342"/>
      <c r="L365" s="342"/>
      <c r="M365" s="343"/>
      <c r="N365" s="343"/>
      <c r="O365" s="343"/>
      <c r="P365" s="343"/>
      <c r="Q365" s="343"/>
      <c r="R365" s="343"/>
      <c r="S365" s="343"/>
    </row>
    <row r="366" spans="1:19" x14ac:dyDescent="0.2">
      <c r="A366" s="329">
        <v>13</v>
      </c>
      <c r="B366" s="329">
        <v>64</v>
      </c>
      <c r="C366" s="330">
        <v>54.933</v>
      </c>
      <c r="D366" s="330">
        <v>54.85</v>
      </c>
      <c r="E366" s="330">
        <v>1.484</v>
      </c>
      <c r="F366" s="330">
        <v>57.7</v>
      </c>
      <c r="G366" s="330">
        <v>50.7</v>
      </c>
      <c r="H366" s="330">
        <f t="shared" si="24"/>
        <v>55.296579999999999</v>
      </c>
      <c r="I366" s="330">
        <f t="shared" si="25"/>
        <v>54.569420000000001</v>
      </c>
      <c r="J366" s="350"/>
      <c r="K366" s="342"/>
      <c r="L366" s="342"/>
      <c r="M366" s="343"/>
      <c r="N366" s="343"/>
      <c r="O366" s="343"/>
      <c r="P366" s="343"/>
      <c r="Q366" s="343"/>
      <c r="R366" s="343"/>
      <c r="S366" s="343"/>
    </row>
    <row r="367" spans="1:19" x14ac:dyDescent="0.2">
      <c r="A367" s="324">
        <v>14</v>
      </c>
      <c r="B367" s="324">
        <v>87</v>
      </c>
      <c r="C367" s="326">
        <v>55.487000000000002</v>
      </c>
      <c r="D367" s="326">
        <v>55.5</v>
      </c>
      <c r="E367" s="326">
        <v>1.782</v>
      </c>
      <c r="F367" s="326">
        <v>60.7</v>
      </c>
      <c r="G367" s="326">
        <v>51.7</v>
      </c>
      <c r="H367" s="326">
        <f t="shared" si="24"/>
        <v>55.861458889267865</v>
      </c>
      <c r="I367" s="326">
        <f t="shared" si="25"/>
        <v>55.112541110732138</v>
      </c>
      <c r="J367" s="350"/>
      <c r="K367" s="342"/>
      <c r="L367" s="342"/>
      <c r="M367" s="343"/>
      <c r="N367" s="343"/>
      <c r="O367" s="343"/>
      <c r="P367" s="343"/>
      <c r="Q367" s="343"/>
      <c r="R367" s="343"/>
      <c r="S367" s="343"/>
    </row>
    <row r="368" spans="1:19" x14ac:dyDescent="0.2">
      <c r="A368" s="329">
        <v>15</v>
      </c>
      <c r="B368" s="329">
        <v>70</v>
      </c>
      <c r="C368" s="330">
        <v>55.686999999999998</v>
      </c>
      <c r="D368" s="330">
        <v>55.85</v>
      </c>
      <c r="E368" s="330">
        <v>1.6879999999999999</v>
      </c>
      <c r="F368" s="330">
        <v>59.6</v>
      </c>
      <c r="G368" s="330">
        <v>51.9</v>
      </c>
      <c r="H368" s="330">
        <f t="shared" si="24"/>
        <v>56.082438994941064</v>
      </c>
      <c r="I368" s="330">
        <f t="shared" si="25"/>
        <v>55.291561005058931</v>
      </c>
      <c r="J368" s="350"/>
      <c r="K368" s="351"/>
      <c r="L368" s="342"/>
      <c r="M368" s="343"/>
      <c r="N368" s="343"/>
      <c r="O368" s="343"/>
      <c r="P368" s="343"/>
      <c r="Q368" s="343"/>
      <c r="R368" s="343"/>
      <c r="S368" s="343"/>
    </row>
    <row r="369" spans="1:19" x14ac:dyDescent="0.2">
      <c r="A369" s="324">
        <v>16</v>
      </c>
      <c r="B369" s="324">
        <v>38</v>
      </c>
      <c r="C369" s="326">
        <v>55.905000000000001</v>
      </c>
      <c r="D369" s="326">
        <v>55.7</v>
      </c>
      <c r="E369" s="326">
        <v>1.6240000000000001</v>
      </c>
      <c r="F369" s="326">
        <v>60.2</v>
      </c>
      <c r="G369" s="326">
        <v>53</v>
      </c>
      <c r="H369" s="326">
        <f t="shared" si="24"/>
        <v>56.421357272316065</v>
      </c>
      <c r="I369" s="326">
        <f t="shared" si="25"/>
        <v>55.388642727683937</v>
      </c>
      <c r="J369" s="350"/>
      <c r="K369" s="342"/>
      <c r="L369" s="342"/>
      <c r="M369" s="343"/>
      <c r="N369" s="343"/>
      <c r="O369" s="343"/>
      <c r="P369" s="343"/>
      <c r="Q369" s="343"/>
      <c r="R369" s="343"/>
      <c r="S369" s="343"/>
    </row>
    <row r="370" spans="1:19" x14ac:dyDescent="0.2">
      <c r="A370" s="329">
        <v>17</v>
      </c>
      <c r="B370" s="329">
        <v>30</v>
      </c>
      <c r="C370" s="330">
        <v>56.44</v>
      </c>
      <c r="D370" s="330">
        <v>56.6</v>
      </c>
      <c r="E370" s="330">
        <v>1.833</v>
      </c>
      <c r="F370" s="330">
        <v>59.6</v>
      </c>
      <c r="G370" s="330">
        <v>53.1</v>
      </c>
      <c r="H370" s="330">
        <f t="shared" si="24"/>
        <v>57.095930625965885</v>
      </c>
      <c r="I370" s="330">
        <f t="shared" si="25"/>
        <v>55.784069374034111</v>
      </c>
      <c r="J370" s="350"/>
      <c r="K370" s="342"/>
      <c r="L370" s="342"/>
      <c r="M370" s="343"/>
      <c r="N370" s="343"/>
      <c r="O370" s="343"/>
      <c r="P370" s="343"/>
      <c r="Q370" s="343"/>
      <c r="R370" s="343"/>
      <c r="S370" s="343"/>
    </row>
    <row r="371" spans="1:19" x14ac:dyDescent="0.2">
      <c r="A371" s="324">
        <v>18</v>
      </c>
      <c r="B371" s="324">
        <v>21</v>
      </c>
      <c r="C371" s="326">
        <v>56.41</v>
      </c>
      <c r="D371" s="326">
        <v>56.1</v>
      </c>
      <c r="E371" s="326">
        <v>1.6339999999999999</v>
      </c>
      <c r="F371" s="326">
        <v>59.8</v>
      </c>
      <c r="G371" s="326">
        <v>53.9</v>
      </c>
      <c r="H371" s="326">
        <f t="shared" si="24"/>
        <v>57.108873343985394</v>
      </c>
      <c r="I371" s="326">
        <f t="shared" si="25"/>
        <v>55.711126656014599</v>
      </c>
      <c r="J371" s="350"/>
      <c r="K371" s="342"/>
      <c r="L371" s="342"/>
      <c r="M371" s="343"/>
      <c r="N371" s="343"/>
      <c r="O371" s="343"/>
      <c r="P371" s="343"/>
      <c r="Q371" s="343"/>
      <c r="R371" s="343"/>
      <c r="S371" s="343"/>
    </row>
    <row r="372" spans="1:19" x14ac:dyDescent="0.2">
      <c r="A372" s="329">
        <v>19</v>
      </c>
      <c r="B372" s="329">
        <v>7</v>
      </c>
      <c r="C372" s="330">
        <v>56.557000000000002</v>
      </c>
      <c r="D372" s="330">
        <v>56.9</v>
      </c>
      <c r="E372" s="330">
        <v>3.1389999999999998</v>
      </c>
      <c r="F372" s="330">
        <v>60.1</v>
      </c>
      <c r="G372" s="330">
        <v>50.6</v>
      </c>
      <c r="H372" s="330">
        <f t="shared" si="24"/>
        <v>58.882403742320889</v>
      </c>
      <c r="I372" s="330">
        <f t="shared" si="25"/>
        <v>54.231596257679115</v>
      </c>
      <c r="J372" s="350"/>
      <c r="K372" s="342"/>
      <c r="L372" s="342"/>
      <c r="M372" s="343"/>
      <c r="N372" s="343"/>
      <c r="O372" s="343"/>
      <c r="P372" s="343"/>
      <c r="Q372" s="343"/>
      <c r="R372" s="343"/>
      <c r="S372" s="343"/>
    </row>
    <row r="373" spans="1:19" x14ac:dyDescent="0.2">
      <c r="A373" s="332"/>
      <c r="B373" s="332"/>
      <c r="C373" s="333"/>
      <c r="D373" s="333"/>
      <c r="E373" s="333"/>
      <c r="F373" s="333"/>
      <c r="G373" s="333"/>
      <c r="H373" s="333"/>
      <c r="I373" s="333"/>
      <c r="J373" s="350"/>
      <c r="K373" s="342"/>
      <c r="L373" s="342"/>
      <c r="M373" s="343"/>
      <c r="N373" s="343"/>
      <c r="O373" s="343"/>
      <c r="P373" s="343"/>
      <c r="Q373" s="343"/>
      <c r="R373" s="343"/>
      <c r="S373" s="343"/>
    </row>
    <row r="374" spans="1:19" x14ac:dyDescent="0.2">
      <c r="A374" s="332"/>
      <c r="B374" s="332"/>
      <c r="C374" s="333"/>
      <c r="D374" s="333"/>
      <c r="E374" s="333"/>
      <c r="F374" s="333"/>
      <c r="G374" s="333"/>
      <c r="H374" s="333"/>
      <c r="I374" s="333"/>
      <c r="J374" s="350"/>
      <c r="K374" s="342"/>
      <c r="L374" s="342"/>
      <c r="M374" s="343"/>
      <c r="N374" s="343"/>
      <c r="O374" s="343"/>
      <c r="P374" s="343"/>
      <c r="Q374" s="343"/>
      <c r="R374" s="343"/>
      <c r="S374" s="343"/>
    </row>
    <row r="375" spans="1:19" x14ac:dyDescent="0.2">
      <c r="A375" s="800" t="s">
        <v>687</v>
      </c>
      <c r="B375" s="800"/>
      <c r="C375" s="800"/>
      <c r="D375" s="800"/>
      <c r="E375" s="800"/>
      <c r="F375" s="800"/>
      <c r="G375" s="800"/>
      <c r="H375" s="800"/>
      <c r="I375" s="801"/>
      <c r="J375" s="350"/>
      <c r="K375" s="342"/>
      <c r="L375" s="342"/>
      <c r="M375" s="343"/>
      <c r="N375" s="343"/>
      <c r="O375" s="343"/>
      <c r="P375" s="343"/>
      <c r="Q375" s="343"/>
      <c r="R375" s="343"/>
      <c r="S375" s="343"/>
    </row>
    <row r="376" spans="1:19" x14ac:dyDescent="0.2">
      <c r="A376" s="324" t="s">
        <v>504</v>
      </c>
      <c r="B376" s="324" t="s">
        <v>641</v>
      </c>
      <c r="C376" s="326" t="s">
        <v>642</v>
      </c>
      <c r="D376" s="326" t="s">
        <v>643</v>
      </c>
      <c r="E376" s="326" t="s">
        <v>644</v>
      </c>
      <c r="F376" s="326" t="s">
        <v>645</v>
      </c>
      <c r="G376" s="326" t="s">
        <v>646</v>
      </c>
      <c r="H376" s="326" t="s">
        <v>647</v>
      </c>
      <c r="I376" s="326" t="s">
        <v>648</v>
      </c>
      <c r="J376" s="350"/>
      <c r="K376" s="342"/>
      <c r="L376" s="342"/>
      <c r="M376" s="343"/>
      <c r="N376" s="343"/>
      <c r="O376" s="343"/>
      <c r="P376" s="343"/>
      <c r="Q376" s="343"/>
      <c r="R376" s="343"/>
      <c r="S376" s="343"/>
    </row>
    <row r="377" spans="1:19" x14ac:dyDescent="0.2">
      <c r="A377" s="329">
        <v>7</v>
      </c>
      <c r="B377" s="329">
        <v>14</v>
      </c>
      <c r="C377" s="330">
        <v>19.457000000000001</v>
      </c>
      <c r="D377" s="330">
        <v>18.95</v>
      </c>
      <c r="E377" s="330">
        <v>2.3929999999999998</v>
      </c>
      <c r="F377" s="330">
        <v>24.6</v>
      </c>
      <c r="G377" s="330">
        <v>16.399999999999999</v>
      </c>
      <c r="H377" s="330">
        <f t="shared" si="24"/>
        <v>20.710530057717005</v>
      </c>
      <c r="I377" s="330">
        <f t="shared" si="25"/>
        <v>18.203469942282997</v>
      </c>
      <c r="J377" s="350"/>
      <c r="K377" s="342"/>
      <c r="L377" s="342"/>
      <c r="M377" s="343"/>
      <c r="N377" s="343"/>
      <c r="O377" s="343"/>
      <c r="P377" s="343"/>
      <c r="Q377" s="343"/>
      <c r="R377" s="343"/>
      <c r="S377" s="343"/>
    </row>
    <row r="378" spans="1:19" x14ac:dyDescent="0.2">
      <c r="A378" s="324">
        <v>8</v>
      </c>
      <c r="B378" s="324">
        <v>39</v>
      </c>
      <c r="C378" s="326">
        <v>20.741</v>
      </c>
      <c r="D378" s="326">
        <v>19.5</v>
      </c>
      <c r="E378" s="326">
        <v>3.391</v>
      </c>
      <c r="F378" s="326">
        <v>28.2</v>
      </c>
      <c r="G378" s="326">
        <v>16.3</v>
      </c>
      <c r="H378" s="326">
        <f t="shared" si="24"/>
        <v>21.805269356323979</v>
      </c>
      <c r="I378" s="326">
        <f t="shared" si="25"/>
        <v>19.67673064367602</v>
      </c>
      <c r="J378" s="350"/>
      <c r="K378" s="342"/>
      <c r="L378" s="342"/>
      <c r="M378" s="343"/>
      <c r="N378" s="343"/>
      <c r="O378" s="343"/>
      <c r="P378" s="343"/>
      <c r="Q378" s="343"/>
      <c r="R378" s="343"/>
      <c r="S378" s="343"/>
    </row>
    <row r="379" spans="1:19" x14ac:dyDescent="0.2">
      <c r="A379" s="329">
        <v>9</v>
      </c>
      <c r="B379" s="329">
        <v>57</v>
      </c>
      <c r="C379" s="330">
        <v>20.46</v>
      </c>
      <c r="D379" s="330">
        <v>19.8</v>
      </c>
      <c r="E379" s="330">
        <v>2.8450000000000002</v>
      </c>
      <c r="F379" s="330">
        <v>30.7</v>
      </c>
      <c r="G379" s="330">
        <v>16.5</v>
      </c>
      <c r="H379" s="330">
        <f t="shared" si="24"/>
        <v>21.198585732946611</v>
      </c>
      <c r="I379" s="330">
        <f t="shared" si="25"/>
        <v>19.72141426705339</v>
      </c>
      <c r="J379" s="350"/>
      <c r="K379" s="342"/>
      <c r="L379" s="342"/>
      <c r="M379" s="343"/>
      <c r="N379" s="343"/>
      <c r="O379" s="343"/>
      <c r="P379" s="343"/>
      <c r="Q379" s="343"/>
      <c r="R379" s="343"/>
      <c r="S379" s="343"/>
    </row>
    <row r="380" spans="1:19" x14ac:dyDescent="0.2">
      <c r="A380" s="324">
        <v>10</v>
      </c>
      <c r="B380" s="324">
        <v>66</v>
      </c>
      <c r="C380" s="326">
        <v>21.491</v>
      </c>
      <c r="D380" s="326">
        <v>20.8</v>
      </c>
      <c r="E380" s="326">
        <v>3.2509999999999999</v>
      </c>
      <c r="F380" s="326">
        <v>31.7</v>
      </c>
      <c r="G380" s="326">
        <v>15.1</v>
      </c>
      <c r="H380" s="326">
        <f t="shared" si="24"/>
        <v>22.275334056860668</v>
      </c>
      <c r="I380" s="326">
        <f t="shared" si="25"/>
        <v>20.706665943139331</v>
      </c>
      <c r="J380" s="350"/>
      <c r="K380" s="342"/>
      <c r="L380" s="342"/>
      <c r="M380" s="343"/>
      <c r="N380" s="343"/>
      <c r="O380" s="343"/>
      <c r="P380" s="343"/>
      <c r="Q380" s="343"/>
      <c r="R380" s="343"/>
      <c r="S380" s="343"/>
    </row>
    <row r="381" spans="1:19" x14ac:dyDescent="0.2">
      <c r="A381" s="329">
        <v>11</v>
      </c>
      <c r="B381" s="329">
        <v>55</v>
      </c>
      <c r="C381" s="330">
        <v>22.196000000000002</v>
      </c>
      <c r="D381" s="330">
        <v>21.2</v>
      </c>
      <c r="E381" s="330">
        <v>3.5129999999999999</v>
      </c>
      <c r="F381" s="330">
        <v>32.799999999999997</v>
      </c>
      <c r="G381" s="330">
        <v>17.399999999999999</v>
      </c>
      <c r="H381" s="330">
        <f t="shared" si="24"/>
        <v>23.124437933798681</v>
      </c>
      <c r="I381" s="330">
        <f t="shared" si="25"/>
        <v>21.267562066201322</v>
      </c>
      <c r="J381" s="350"/>
      <c r="K381" s="342"/>
      <c r="L381" s="342"/>
      <c r="M381" s="343"/>
      <c r="N381" s="343"/>
      <c r="O381" s="343"/>
      <c r="P381" s="343"/>
      <c r="Q381" s="343"/>
      <c r="R381" s="343"/>
      <c r="S381" s="343"/>
    </row>
    <row r="382" spans="1:19" x14ac:dyDescent="0.2">
      <c r="A382" s="324">
        <v>12</v>
      </c>
      <c r="B382" s="324">
        <v>35</v>
      </c>
      <c r="C382" s="326">
        <v>23.863</v>
      </c>
      <c r="D382" s="326">
        <v>22.7</v>
      </c>
      <c r="E382" s="326">
        <v>3.7719999999999998</v>
      </c>
      <c r="F382" s="326">
        <v>36.1</v>
      </c>
      <c r="G382" s="326">
        <v>18.8</v>
      </c>
      <c r="H382" s="326">
        <f t="shared" si="24"/>
        <v>25.112665364743698</v>
      </c>
      <c r="I382" s="326">
        <f t="shared" si="25"/>
        <v>22.613334635256301</v>
      </c>
      <c r="J382" s="350"/>
      <c r="K382" s="342"/>
      <c r="L382" s="342"/>
      <c r="M382" s="343"/>
      <c r="N382" s="343"/>
      <c r="O382" s="343"/>
      <c r="P382" s="343"/>
      <c r="Q382" s="343"/>
      <c r="R382" s="343"/>
      <c r="S382" s="343"/>
    </row>
    <row r="383" spans="1:19" x14ac:dyDescent="0.2">
      <c r="A383" s="329">
        <v>13</v>
      </c>
      <c r="B383" s="329">
        <v>64</v>
      </c>
      <c r="C383" s="330">
        <v>24.053000000000001</v>
      </c>
      <c r="D383" s="330">
        <v>23.55</v>
      </c>
      <c r="E383" s="330">
        <v>2.8010000000000002</v>
      </c>
      <c r="F383" s="330">
        <v>31.2</v>
      </c>
      <c r="G383" s="330">
        <v>18.899999999999999</v>
      </c>
      <c r="H383" s="330">
        <f t="shared" si="24"/>
        <v>24.739245</v>
      </c>
      <c r="I383" s="330">
        <f t="shared" si="25"/>
        <v>23.366755000000001</v>
      </c>
      <c r="J383" s="350"/>
      <c r="K383" s="342"/>
      <c r="L383" s="342"/>
      <c r="M383" s="343"/>
      <c r="N383" s="343"/>
      <c r="O383" s="343"/>
      <c r="P383" s="343"/>
      <c r="Q383" s="343"/>
      <c r="R383" s="343"/>
      <c r="S383" s="343"/>
    </row>
    <row r="384" spans="1:19" x14ac:dyDescent="0.2">
      <c r="A384" s="324">
        <v>14</v>
      </c>
      <c r="B384" s="324">
        <v>87</v>
      </c>
      <c r="C384" s="326">
        <v>25.885000000000002</v>
      </c>
      <c r="D384" s="326">
        <v>25.3</v>
      </c>
      <c r="E384" s="326">
        <v>3.6219999999999999</v>
      </c>
      <c r="F384" s="326">
        <v>40.5</v>
      </c>
      <c r="G384" s="326">
        <v>19.5</v>
      </c>
      <c r="H384" s="326">
        <f t="shared" si="24"/>
        <v>26.64610555383177</v>
      </c>
      <c r="I384" s="326">
        <f t="shared" si="25"/>
        <v>25.123894446168233</v>
      </c>
      <c r="J384" s="350"/>
      <c r="K384" s="351"/>
      <c r="L384" s="342"/>
      <c r="M384" s="343"/>
      <c r="N384" s="343"/>
      <c r="O384" s="343"/>
      <c r="P384" s="343"/>
      <c r="Q384" s="343"/>
      <c r="R384" s="343"/>
      <c r="S384" s="343"/>
    </row>
    <row r="385" spans="1:19" x14ac:dyDescent="0.2">
      <c r="A385" s="329">
        <v>15</v>
      </c>
      <c r="B385" s="329">
        <v>70</v>
      </c>
      <c r="C385" s="330">
        <v>26.861000000000001</v>
      </c>
      <c r="D385" s="330">
        <v>26.25</v>
      </c>
      <c r="E385" s="330">
        <v>3.5760000000000001</v>
      </c>
      <c r="F385" s="330">
        <v>39.200000000000003</v>
      </c>
      <c r="G385" s="330">
        <v>20.7</v>
      </c>
      <c r="H385" s="330">
        <f t="shared" si="24"/>
        <v>27.698730951368042</v>
      </c>
      <c r="I385" s="330">
        <f t="shared" si="25"/>
        <v>26.02326904863196</v>
      </c>
      <c r="J385" s="350"/>
      <c r="K385" s="342"/>
      <c r="L385" s="342"/>
      <c r="M385" s="343"/>
      <c r="N385" s="343"/>
      <c r="O385" s="343"/>
      <c r="P385" s="343"/>
      <c r="Q385" s="343"/>
      <c r="R385" s="343"/>
      <c r="S385" s="343"/>
    </row>
    <row r="386" spans="1:19" x14ac:dyDescent="0.2">
      <c r="A386" s="324">
        <v>16</v>
      </c>
      <c r="B386" s="324">
        <v>38</v>
      </c>
      <c r="C386" s="326">
        <v>28.010999999999999</v>
      </c>
      <c r="D386" s="326">
        <v>27.05</v>
      </c>
      <c r="E386" s="326">
        <v>4.1580000000000004</v>
      </c>
      <c r="F386" s="326">
        <v>41.2</v>
      </c>
      <c r="G386" s="326">
        <v>22.5</v>
      </c>
      <c r="H386" s="326">
        <f t="shared" si="24"/>
        <v>29.333052671360953</v>
      </c>
      <c r="I386" s="326">
        <f t="shared" si="25"/>
        <v>26.688947328639046</v>
      </c>
      <c r="J386" s="350"/>
      <c r="K386" s="342"/>
      <c r="L386" s="342"/>
      <c r="M386" s="343"/>
      <c r="N386" s="343"/>
      <c r="O386" s="343"/>
      <c r="P386" s="343"/>
      <c r="Q386" s="343"/>
      <c r="R386" s="343"/>
      <c r="S386" s="343"/>
    </row>
    <row r="387" spans="1:19" x14ac:dyDescent="0.2">
      <c r="A387" s="329">
        <v>17</v>
      </c>
      <c r="B387" s="329">
        <v>30</v>
      </c>
      <c r="C387" s="330">
        <v>28.88</v>
      </c>
      <c r="D387" s="330">
        <v>27.2</v>
      </c>
      <c r="E387" s="330">
        <v>3.7719999999999998</v>
      </c>
      <c r="F387" s="330">
        <v>37.5</v>
      </c>
      <c r="G387" s="330">
        <v>24.2</v>
      </c>
      <c r="H387" s="330">
        <f t="shared" si="24"/>
        <v>30.229792864780862</v>
      </c>
      <c r="I387" s="330">
        <f t="shared" si="25"/>
        <v>27.530207135219136</v>
      </c>
      <c r="J387" s="350"/>
      <c r="K387" s="342"/>
      <c r="L387" s="342"/>
      <c r="M387" s="343"/>
      <c r="N387" s="343"/>
      <c r="O387" s="343"/>
      <c r="P387" s="343"/>
      <c r="Q387" s="343"/>
      <c r="R387" s="343"/>
      <c r="S387" s="343"/>
    </row>
    <row r="388" spans="1:19" x14ac:dyDescent="0.2">
      <c r="A388" s="329">
        <v>18</v>
      </c>
      <c r="B388" s="329">
        <v>21</v>
      </c>
      <c r="C388" s="330">
        <v>28.347999999999999</v>
      </c>
      <c r="D388" s="330">
        <v>28.3</v>
      </c>
      <c r="E388" s="330">
        <v>1.893</v>
      </c>
      <c r="F388" s="330">
        <v>32</v>
      </c>
      <c r="G388" s="330">
        <v>24.6</v>
      </c>
      <c r="H388" s="330">
        <f t="shared" si="24"/>
        <v>29.157649473784797</v>
      </c>
      <c r="I388" s="330">
        <f t="shared" si="25"/>
        <v>27.538350526215201</v>
      </c>
      <c r="J388" s="350"/>
      <c r="K388" s="342"/>
      <c r="L388" s="342"/>
      <c r="M388" s="343"/>
      <c r="N388" s="343"/>
      <c r="O388" s="343"/>
      <c r="P388" s="343"/>
      <c r="Q388" s="343"/>
      <c r="R388" s="343"/>
      <c r="S388" s="343"/>
    </row>
    <row r="389" spans="1:19" x14ac:dyDescent="0.2">
      <c r="A389" s="324">
        <v>19</v>
      </c>
      <c r="B389" s="324">
        <v>7</v>
      </c>
      <c r="C389" s="326">
        <v>30.829000000000001</v>
      </c>
      <c r="D389" s="326">
        <v>28</v>
      </c>
      <c r="E389" s="326">
        <v>4.7969999999999997</v>
      </c>
      <c r="F389" s="326">
        <v>37</v>
      </c>
      <c r="G389" s="326">
        <v>25.4</v>
      </c>
      <c r="H389" s="326">
        <f t="shared" si="24"/>
        <v>34.382667330969518</v>
      </c>
      <c r="I389" s="326">
        <f t="shared" si="25"/>
        <v>27.275332669030487</v>
      </c>
      <c r="J389" s="350"/>
      <c r="K389" s="342"/>
      <c r="L389" s="342"/>
      <c r="M389" s="343"/>
      <c r="N389" s="343"/>
      <c r="O389" s="343"/>
      <c r="P389" s="343"/>
      <c r="Q389" s="343"/>
      <c r="R389" s="343"/>
      <c r="S389" s="343"/>
    </row>
    <row r="390" spans="1:19" x14ac:dyDescent="0.2">
      <c r="A390" s="332"/>
      <c r="B390" s="332"/>
      <c r="C390" s="333"/>
      <c r="D390" s="333"/>
      <c r="E390" s="333"/>
      <c r="F390" s="333"/>
      <c r="G390" s="333"/>
      <c r="H390" s="333"/>
      <c r="I390" s="333"/>
      <c r="J390" s="350"/>
      <c r="K390" s="342"/>
      <c r="L390" s="342"/>
      <c r="M390" s="343"/>
      <c r="N390" s="343"/>
      <c r="O390" s="343"/>
      <c r="P390" s="343"/>
      <c r="Q390" s="343"/>
      <c r="R390" s="343"/>
      <c r="S390" s="343"/>
    </row>
    <row r="391" spans="1:19" x14ac:dyDescent="0.2">
      <c r="A391" s="332"/>
      <c r="B391" s="332"/>
      <c r="C391" s="333"/>
      <c r="D391" s="333"/>
      <c r="E391" s="333"/>
      <c r="F391" s="333"/>
      <c r="G391" s="333"/>
      <c r="H391" s="333"/>
      <c r="I391" s="333"/>
      <c r="J391" s="350"/>
      <c r="K391" s="342"/>
      <c r="L391" s="342"/>
      <c r="M391" s="343"/>
      <c r="N391" s="343"/>
      <c r="O391" s="343"/>
      <c r="P391" s="343"/>
      <c r="Q391" s="343"/>
      <c r="R391" s="343"/>
      <c r="S391" s="343"/>
    </row>
    <row r="392" spans="1:19" x14ac:dyDescent="0.2">
      <c r="A392" s="800" t="s">
        <v>688</v>
      </c>
      <c r="B392" s="800"/>
      <c r="C392" s="800"/>
      <c r="D392" s="800"/>
      <c r="E392" s="800"/>
      <c r="F392" s="800"/>
      <c r="G392" s="800"/>
      <c r="H392" s="800"/>
      <c r="I392" s="801"/>
      <c r="J392" s="350"/>
      <c r="K392" s="342"/>
      <c r="L392" s="342"/>
      <c r="M392" s="343"/>
      <c r="N392" s="343"/>
      <c r="O392" s="343"/>
      <c r="P392" s="343"/>
      <c r="Q392" s="343"/>
      <c r="R392" s="343"/>
      <c r="S392" s="343"/>
    </row>
    <row r="393" spans="1:19" x14ac:dyDescent="0.2">
      <c r="A393" s="324" t="s">
        <v>504</v>
      </c>
      <c r="B393" s="324" t="s">
        <v>641</v>
      </c>
      <c r="C393" s="326" t="s">
        <v>642</v>
      </c>
      <c r="D393" s="326" t="s">
        <v>643</v>
      </c>
      <c r="E393" s="326" t="s">
        <v>644</v>
      </c>
      <c r="F393" s="326" t="s">
        <v>645</v>
      </c>
      <c r="G393" s="326" t="s">
        <v>646</v>
      </c>
      <c r="H393" s="326" t="s">
        <v>647</v>
      </c>
      <c r="I393" s="326" t="s">
        <v>648</v>
      </c>
      <c r="J393" s="350"/>
      <c r="K393" s="342"/>
      <c r="L393" s="342"/>
      <c r="M393" s="343"/>
      <c r="N393" s="343"/>
      <c r="O393" s="343"/>
      <c r="P393" s="343"/>
      <c r="Q393" s="343"/>
      <c r="R393" s="343"/>
      <c r="S393" s="343"/>
    </row>
    <row r="394" spans="1:19" x14ac:dyDescent="0.2">
      <c r="A394" s="329">
        <v>7</v>
      </c>
      <c r="B394" s="329">
        <v>14</v>
      </c>
      <c r="C394" s="330">
        <v>20.721</v>
      </c>
      <c r="D394" s="330">
        <v>20.3</v>
      </c>
      <c r="E394" s="330">
        <v>2.1019999999999999</v>
      </c>
      <c r="F394" s="330">
        <v>25.2</v>
      </c>
      <c r="G394" s="330">
        <v>17.7</v>
      </c>
      <c r="H394" s="330">
        <f t="shared" si="24"/>
        <v>21.822094935779834</v>
      </c>
      <c r="I394" s="330">
        <f t="shared" si="25"/>
        <v>19.619905064220166</v>
      </c>
      <c r="J394" s="350"/>
      <c r="K394" s="342"/>
      <c r="L394" s="342"/>
      <c r="M394" s="343"/>
      <c r="N394" s="343"/>
      <c r="O394" s="343"/>
      <c r="P394" s="343"/>
      <c r="Q394" s="343"/>
      <c r="R394" s="343"/>
      <c r="S394" s="343"/>
    </row>
    <row r="395" spans="1:19" x14ac:dyDescent="0.2">
      <c r="A395" s="324">
        <v>8</v>
      </c>
      <c r="B395" s="324">
        <v>39</v>
      </c>
      <c r="C395" s="326">
        <v>21.628</v>
      </c>
      <c r="D395" s="326">
        <v>20.399999999999999</v>
      </c>
      <c r="E395" s="326">
        <v>3.1120000000000001</v>
      </c>
      <c r="F395" s="326">
        <v>28.9</v>
      </c>
      <c r="G395" s="326">
        <v>17.2</v>
      </c>
      <c r="H395" s="326">
        <f t="shared" si="24"/>
        <v>22.604704876697205</v>
      </c>
      <c r="I395" s="326">
        <f t="shared" si="25"/>
        <v>20.651295123302795</v>
      </c>
      <c r="J395" s="350"/>
      <c r="K395" s="342"/>
      <c r="L395" s="342"/>
      <c r="M395" s="343"/>
      <c r="N395" s="343"/>
      <c r="O395" s="343"/>
      <c r="P395" s="343"/>
      <c r="Q395" s="343"/>
      <c r="R395" s="343"/>
      <c r="S395" s="343"/>
    </row>
    <row r="396" spans="1:19" x14ac:dyDescent="0.2">
      <c r="A396" s="329">
        <v>9</v>
      </c>
      <c r="B396" s="329">
        <v>57</v>
      </c>
      <c r="C396" s="330">
        <v>21.518999999999998</v>
      </c>
      <c r="D396" s="330">
        <v>20.8</v>
      </c>
      <c r="E396" s="330">
        <v>2.5329999999999999</v>
      </c>
      <c r="F396" s="330">
        <v>30.1</v>
      </c>
      <c r="G396" s="330">
        <v>17.600000000000001</v>
      </c>
      <c r="H396" s="330">
        <f t="shared" si="24"/>
        <v>22.176587930247365</v>
      </c>
      <c r="I396" s="330">
        <f t="shared" si="25"/>
        <v>20.861412069752632</v>
      </c>
      <c r="J396" s="350"/>
      <c r="K396" s="342"/>
      <c r="L396" s="342"/>
      <c r="M396" s="343"/>
      <c r="N396" s="343"/>
      <c r="O396" s="343"/>
      <c r="P396" s="343"/>
      <c r="Q396" s="343"/>
      <c r="R396" s="343"/>
      <c r="S396" s="343"/>
    </row>
    <row r="397" spans="1:19" x14ac:dyDescent="0.2">
      <c r="A397" s="324">
        <v>10</v>
      </c>
      <c r="B397" s="324">
        <v>66</v>
      </c>
      <c r="C397" s="326">
        <v>22.632000000000001</v>
      </c>
      <c r="D397" s="326">
        <v>21.9</v>
      </c>
      <c r="E397" s="326">
        <v>3.105</v>
      </c>
      <c r="F397" s="326">
        <v>32</v>
      </c>
      <c r="G397" s="326">
        <v>17</v>
      </c>
      <c r="H397" s="326">
        <f t="shared" si="24"/>
        <v>23.381110195802023</v>
      </c>
      <c r="I397" s="326">
        <f t="shared" si="25"/>
        <v>21.88288980419798</v>
      </c>
      <c r="J397" s="350"/>
      <c r="K397" s="342"/>
      <c r="L397" s="342"/>
      <c r="M397" s="343"/>
      <c r="N397" s="343"/>
      <c r="O397" s="343"/>
      <c r="P397" s="343"/>
      <c r="Q397" s="343"/>
      <c r="R397" s="343"/>
      <c r="S397" s="343"/>
    </row>
    <row r="398" spans="1:19" x14ac:dyDescent="0.2">
      <c r="A398" s="329">
        <v>11</v>
      </c>
      <c r="B398" s="329">
        <v>55</v>
      </c>
      <c r="C398" s="330">
        <v>23.395</v>
      </c>
      <c r="D398" s="330">
        <v>22.8</v>
      </c>
      <c r="E398" s="330">
        <v>3.1019999999999999</v>
      </c>
      <c r="F398" s="330">
        <v>33.799999999999997</v>
      </c>
      <c r="G398" s="330">
        <v>18.8</v>
      </c>
      <c r="H398" s="330">
        <f t="shared" si="24"/>
        <v>24.214816245557504</v>
      </c>
      <c r="I398" s="330">
        <f t="shared" si="25"/>
        <v>22.575183754442495</v>
      </c>
      <c r="J398" s="350"/>
      <c r="K398" s="342"/>
      <c r="L398" s="342"/>
      <c r="M398" s="343"/>
      <c r="N398" s="343"/>
      <c r="O398" s="343"/>
      <c r="P398" s="343"/>
      <c r="Q398" s="343"/>
      <c r="R398" s="343"/>
      <c r="S398" s="343"/>
    </row>
    <row r="399" spans="1:19" x14ac:dyDescent="0.2">
      <c r="A399" s="324">
        <v>12</v>
      </c>
      <c r="B399" s="324">
        <v>35</v>
      </c>
      <c r="C399" s="326">
        <v>24.994</v>
      </c>
      <c r="D399" s="326">
        <v>24.2</v>
      </c>
      <c r="E399" s="326">
        <v>3.5230000000000001</v>
      </c>
      <c r="F399" s="326">
        <v>36.700000000000003</v>
      </c>
      <c r="G399" s="326">
        <v>18.899999999999999</v>
      </c>
      <c r="H399" s="326">
        <f t="shared" si="24"/>
        <v>26.161171548248156</v>
      </c>
      <c r="I399" s="326">
        <f t="shared" si="25"/>
        <v>23.826828451751844</v>
      </c>
      <c r="J399" s="350"/>
      <c r="K399" s="342"/>
      <c r="L399" s="342"/>
      <c r="M399" s="343"/>
      <c r="N399" s="343"/>
      <c r="O399" s="343"/>
      <c r="P399" s="343"/>
      <c r="Q399" s="343"/>
      <c r="R399" s="343"/>
      <c r="S399" s="343"/>
    </row>
    <row r="400" spans="1:19" x14ac:dyDescent="0.2">
      <c r="A400" s="329">
        <v>13</v>
      </c>
      <c r="B400" s="329">
        <v>64</v>
      </c>
      <c r="C400" s="330">
        <v>25.672000000000001</v>
      </c>
      <c r="D400" s="330">
        <v>25.4</v>
      </c>
      <c r="E400" s="330">
        <v>2.5579999999999998</v>
      </c>
      <c r="F400" s="330">
        <v>32.1</v>
      </c>
      <c r="G400" s="330">
        <v>20.5</v>
      </c>
      <c r="H400" s="330">
        <f t="shared" si="24"/>
        <v>26.29871</v>
      </c>
      <c r="I400" s="330">
        <f t="shared" si="25"/>
        <v>25.045290000000001</v>
      </c>
      <c r="J400" s="350"/>
      <c r="K400" s="351"/>
      <c r="L400" s="342"/>
      <c r="M400" s="343"/>
      <c r="N400" s="343"/>
      <c r="O400" s="343"/>
      <c r="P400" s="343"/>
      <c r="Q400" s="343"/>
      <c r="R400" s="343"/>
      <c r="S400" s="343"/>
    </row>
    <row r="401" spans="1:19" x14ac:dyDescent="0.2">
      <c r="A401" s="329">
        <v>14</v>
      </c>
      <c r="B401" s="329">
        <v>87</v>
      </c>
      <c r="C401" s="330">
        <v>27.762</v>
      </c>
      <c r="D401" s="330">
        <v>27.3</v>
      </c>
      <c r="E401" s="330">
        <v>3.302</v>
      </c>
      <c r="F401" s="330">
        <v>39.4</v>
      </c>
      <c r="G401" s="330">
        <v>21.5</v>
      </c>
      <c r="H401" s="330">
        <f t="shared" si="24"/>
        <v>28.455862655646744</v>
      </c>
      <c r="I401" s="330">
        <f t="shared" si="25"/>
        <v>27.068137344353257</v>
      </c>
      <c r="J401" s="350"/>
      <c r="K401" s="342"/>
      <c r="L401" s="342"/>
      <c r="M401" s="343"/>
      <c r="N401" s="343"/>
      <c r="O401" s="343"/>
      <c r="P401" s="343"/>
      <c r="Q401" s="343"/>
      <c r="R401" s="343"/>
      <c r="S401" s="343"/>
    </row>
    <row r="402" spans="1:19" x14ac:dyDescent="0.2">
      <c r="A402" s="324">
        <v>15</v>
      </c>
      <c r="B402" s="324">
        <v>70</v>
      </c>
      <c r="C402" s="326">
        <v>28.907</v>
      </c>
      <c r="D402" s="326">
        <v>28.75</v>
      </c>
      <c r="E402" s="326">
        <v>3.4489999999999998</v>
      </c>
      <c r="F402" s="326">
        <v>42.1</v>
      </c>
      <c r="G402" s="326">
        <v>22.2</v>
      </c>
      <c r="H402" s="326">
        <f t="shared" si="24"/>
        <v>29.714979320824487</v>
      </c>
      <c r="I402" s="326">
        <f t="shared" si="25"/>
        <v>28.099020679175513</v>
      </c>
      <c r="J402" s="350"/>
      <c r="K402" s="342"/>
      <c r="L402" s="342"/>
      <c r="M402" s="343"/>
      <c r="N402" s="343"/>
      <c r="O402" s="343"/>
      <c r="P402" s="343"/>
      <c r="Q402" s="343"/>
      <c r="R402" s="343"/>
      <c r="S402" s="343"/>
    </row>
    <row r="403" spans="1:19" x14ac:dyDescent="0.2">
      <c r="A403" s="329">
        <v>16</v>
      </c>
      <c r="B403" s="329">
        <v>38</v>
      </c>
      <c r="C403" s="330">
        <v>29.692</v>
      </c>
      <c r="D403" s="330">
        <v>28.35</v>
      </c>
      <c r="E403" s="330">
        <v>3.71</v>
      </c>
      <c r="F403" s="330">
        <v>41.8</v>
      </c>
      <c r="G403" s="330">
        <v>25</v>
      </c>
      <c r="H403" s="330">
        <f t="shared" si="24"/>
        <v>30.871609285894454</v>
      </c>
      <c r="I403" s="330">
        <f t="shared" si="25"/>
        <v>28.512390714105546</v>
      </c>
      <c r="J403" s="350"/>
      <c r="K403" s="342"/>
      <c r="L403" s="342"/>
      <c r="M403" s="343"/>
      <c r="N403" s="343"/>
      <c r="O403" s="343"/>
      <c r="P403" s="343"/>
      <c r="Q403" s="343"/>
      <c r="R403" s="343"/>
      <c r="S403" s="343"/>
    </row>
    <row r="404" spans="1:19" x14ac:dyDescent="0.2">
      <c r="A404" s="324">
        <v>17</v>
      </c>
      <c r="B404" s="324">
        <v>30</v>
      </c>
      <c r="C404" s="326">
        <v>30.882999999999999</v>
      </c>
      <c r="D404" s="326">
        <v>29.8</v>
      </c>
      <c r="E404" s="326">
        <v>3.496</v>
      </c>
      <c r="F404" s="326">
        <v>39.9</v>
      </c>
      <c r="G404" s="326">
        <v>26.7</v>
      </c>
      <c r="H404" s="326">
        <f t="shared" si="24"/>
        <v>32.13402753321153</v>
      </c>
      <c r="I404" s="326">
        <f t="shared" si="25"/>
        <v>29.631972466788465</v>
      </c>
      <c r="J404" s="350"/>
      <c r="K404" s="342"/>
      <c r="L404" s="342"/>
      <c r="M404" s="343"/>
      <c r="N404" s="343"/>
      <c r="O404" s="343"/>
      <c r="P404" s="343"/>
      <c r="Q404" s="343"/>
      <c r="R404" s="343"/>
      <c r="S404" s="343"/>
    </row>
    <row r="405" spans="1:19" x14ac:dyDescent="0.2">
      <c r="A405" s="329">
        <v>18</v>
      </c>
      <c r="B405" s="329">
        <v>21</v>
      </c>
      <c r="C405" s="330">
        <v>30.61</v>
      </c>
      <c r="D405" s="330">
        <v>31.1</v>
      </c>
      <c r="E405" s="330">
        <v>1.9339999999999999</v>
      </c>
      <c r="F405" s="330">
        <v>34</v>
      </c>
      <c r="G405" s="330">
        <v>26.8</v>
      </c>
      <c r="H405" s="330">
        <f t="shared" si="24"/>
        <v>31.437185463444163</v>
      </c>
      <c r="I405" s="330">
        <f t="shared" si="25"/>
        <v>29.782814536555836</v>
      </c>
      <c r="J405" s="350"/>
      <c r="K405" s="342"/>
      <c r="L405" s="342"/>
      <c r="M405" s="343"/>
      <c r="N405" s="343"/>
      <c r="O405" s="343"/>
      <c r="P405" s="343"/>
      <c r="Q405" s="343"/>
      <c r="R405" s="343"/>
      <c r="S405" s="343"/>
    </row>
    <row r="406" spans="1:19" x14ac:dyDescent="0.2">
      <c r="A406" s="324">
        <v>19</v>
      </c>
      <c r="B406" s="324">
        <v>7</v>
      </c>
      <c r="C406" s="326">
        <v>32.929000000000002</v>
      </c>
      <c r="D406" s="326">
        <v>30.5</v>
      </c>
      <c r="E406" s="326">
        <v>4.3380000000000001</v>
      </c>
      <c r="F406" s="326">
        <v>39.5</v>
      </c>
      <c r="G406" s="326">
        <v>27.7</v>
      </c>
      <c r="H406" s="326">
        <f t="shared" si="24"/>
        <v>36.142635372471496</v>
      </c>
      <c r="I406" s="326">
        <f t="shared" si="25"/>
        <v>29.715364627528508</v>
      </c>
      <c r="J406" s="350"/>
      <c r="K406" s="342"/>
      <c r="L406" s="342"/>
      <c r="M406" s="343"/>
      <c r="N406" s="343"/>
      <c r="O406" s="343"/>
      <c r="P406" s="343"/>
      <c r="Q406" s="343"/>
      <c r="R406" s="343"/>
      <c r="S406" s="343"/>
    </row>
    <row r="407" spans="1:19" x14ac:dyDescent="0.2">
      <c r="A407" s="342"/>
      <c r="B407" s="342"/>
      <c r="C407" s="343"/>
      <c r="D407" s="343"/>
      <c r="E407" s="343"/>
      <c r="F407" s="343"/>
      <c r="G407" s="343"/>
      <c r="H407" s="343"/>
      <c r="I407" s="343"/>
      <c r="J407" s="350"/>
      <c r="K407" s="342"/>
      <c r="L407" s="342"/>
      <c r="M407" s="343"/>
      <c r="N407" s="343"/>
      <c r="O407" s="343"/>
      <c r="P407" s="343"/>
      <c r="Q407" s="343"/>
      <c r="R407" s="343"/>
      <c r="S407" s="343"/>
    </row>
    <row r="408" spans="1:19" x14ac:dyDescent="0.2">
      <c r="A408" s="342"/>
      <c r="B408" s="342"/>
      <c r="C408" s="343"/>
      <c r="D408" s="343"/>
      <c r="E408" s="343"/>
      <c r="F408" s="343"/>
      <c r="G408" s="343"/>
      <c r="H408" s="343"/>
      <c r="I408" s="343"/>
      <c r="J408" s="350"/>
      <c r="K408" s="342"/>
      <c r="L408" s="342"/>
      <c r="M408" s="343"/>
      <c r="N408" s="343"/>
      <c r="O408" s="343"/>
      <c r="P408" s="343"/>
      <c r="Q408" s="343"/>
      <c r="R408" s="343"/>
      <c r="S408" s="343"/>
    </row>
    <row r="409" spans="1:19" x14ac:dyDescent="0.2">
      <c r="A409" s="800" t="s">
        <v>689</v>
      </c>
      <c r="B409" s="800"/>
      <c r="C409" s="800"/>
      <c r="D409" s="800"/>
      <c r="E409" s="800"/>
      <c r="F409" s="800"/>
      <c r="G409" s="800"/>
      <c r="H409" s="800"/>
      <c r="I409" s="801"/>
      <c r="J409" s="350"/>
      <c r="K409" s="342"/>
      <c r="L409" s="342"/>
      <c r="M409" s="343"/>
      <c r="N409" s="343"/>
      <c r="O409" s="343"/>
      <c r="P409" s="343"/>
      <c r="Q409" s="343"/>
      <c r="R409" s="343"/>
      <c r="S409" s="343"/>
    </row>
    <row r="410" spans="1:19" x14ac:dyDescent="0.2">
      <c r="A410" s="324" t="s">
        <v>504</v>
      </c>
      <c r="B410" s="324" t="s">
        <v>641</v>
      </c>
      <c r="C410" s="326" t="s">
        <v>642</v>
      </c>
      <c r="D410" s="326" t="s">
        <v>643</v>
      </c>
      <c r="E410" s="326" t="s">
        <v>644</v>
      </c>
      <c r="F410" s="326" t="s">
        <v>645</v>
      </c>
      <c r="G410" s="326" t="s">
        <v>646</v>
      </c>
      <c r="H410" s="326" t="s">
        <v>647</v>
      </c>
      <c r="I410" s="326" t="s">
        <v>648</v>
      </c>
      <c r="J410" s="350"/>
      <c r="K410" s="342"/>
      <c r="L410" s="342"/>
      <c r="M410" s="343"/>
      <c r="N410" s="343"/>
      <c r="O410" s="343"/>
      <c r="P410" s="343"/>
      <c r="Q410" s="343"/>
      <c r="R410" s="343"/>
      <c r="S410" s="343"/>
    </row>
    <row r="411" spans="1:19" x14ac:dyDescent="0.2">
      <c r="A411" s="329">
        <v>7</v>
      </c>
      <c r="B411" s="329">
        <v>14</v>
      </c>
      <c r="C411" s="330">
        <v>19.120999999999999</v>
      </c>
      <c r="D411" s="330">
        <v>19.100000000000001</v>
      </c>
      <c r="E411" s="330">
        <v>1.3839999999999999</v>
      </c>
      <c r="F411" s="330">
        <v>22.2</v>
      </c>
      <c r="G411" s="330">
        <v>16.7</v>
      </c>
      <c r="H411" s="330">
        <f t="shared" ref="H411:H440" si="26">C411+(1.96*E411)/(B411)^0.5</f>
        <v>19.845983535261318</v>
      </c>
      <c r="I411" s="330">
        <f t="shared" ref="I411:I440" si="27">C411-(1.96*E411)/(B411)^0.5</f>
        <v>18.396016464738679</v>
      </c>
      <c r="J411" s="350"/>
      <c r="K411" s="342"/>
      <c r="L411" s="342"/>
      <c r="M411" s="343"/>
      <c r="N411" s="343"/>
      <c r="O411" s="343"/>
      <c r="P411" s="343"/>
      <c r="Q411" s="343"/>
      <c r="R411" s="343"/>
      <c r="S411" s="343"/>
    </row>
    <row r="412" spans="1:19" x14ac:dyDescent="0.2">
      <c r="A412" s="324">
        <v>8</v>
      </c>
      <c r="B412" s="324">
        <v>39</v>
      </c>
      <c r="C412" s="326">
        <v>19.873999999999999</v>
      </c>
      <c r="D412" s="326">
        <v>19.399999999999999</v>
      </c>
      <c r="E412" s="326">
        <v>1.869</v>
      </c>
      <c r="F412" s="326">
        <v>24.5</v>
      </c>
      <c r="G412" s="326">
        <v>16.8</v>
      </c>
      <c r="H412" s="326">
        <f t="shared" si="26"/>
        <v>20.460587858144947</v>
      </c>
      <c r="I412" s="326">
        <f t="shared" si="27"/>
        <v>19.28741214185505</v>
      </c>
      <c r="J412" s="350"/>
      <c r="K412" s="342"/>
      <c r="L412" s="342"/>
      <c r="M412" s="343"/>
      <c r="N412" s="343"/>
      <c r="O412" s="343"/>
      <c r="P412" s="343"/>
      <c r="Q412" s="343"/>
      <c r="R412" s="343"/>
      <c r="S412" s="343"/>
    </row>
    <row r="413" spans="1:19" x14ac:dyDescent="0.2">
      <c r="A413" s="329">
        <v>9</v>
      </c>
      <c r="B413" s="329">
        <v>57</v>
      </c>
      <c r="C413" s="330">
        <v>19.806999999999999</v>
      </c>
      <c r="D413" s="330">
        <v>19.8</v>
      </c>
      <c r="E413" s="330">
        <v>1.482</v>
      </c>
      <c r="F413" s="330">
        <v>24.4</v>
      </c>
      <c r="G413" s="330">
        <v>17</v>
      </c>
      <c r="H413" s="330">
        <f t="shared" si="26"/>
        <v>20.191739562821397</v>
      </c>
      <c r="I413" s="330">
        <f t="shared" si="27"/>
        <v>19.422260437178601</v>
      </c>
      <c r="J413" s="350"/>
      <c r="K413" s="342"/>
      <c r="L413" s="342"/>
      <c r="M413" s="343"/>
      <c r="N413" s="343"/>
      <c r="O413" s="343"/>
      <c r="P413" s="343"/>
      <c r="Q413" s="343"/>
      <c r="R413" s="343"/>
      <c r="S413" s="343"/>
    </row>
    <row r="414" spans="1:19" x14ac:dyDescent="0.2">
      <c r="A414" s="329">
        <v>10</v>
      </c>
      <c r="B414" s="329">
        <v>66</v>
      </c>
      <c r="C414" s="330">
        <v>20.585999999999999</v>
      </c>
      <c r="D414" s="330">
        <v>20.25</v>
      </c>
      <c r="E414" s="330">
        <v>1.964</v>
      </c>
      <c r="F414" s="330">
        <v>27.6</v>
      </c>
      <c r="G414" s="330">
        <v>16.600000000000001</v>
      </c>
      <c r="H414" s="330">
        <f t="shared" si="26"/>
        <v>21.059833309035483</v>
      </c>
      <c r="I414" s="330">
        <f t="shared" si="27"/>
        <v>20.112166690964514</v>
      </c>
      <c r="J414" s="350"/>
      <c r="K414" s="342"/>
      <c r="L414" s="342"/>
      <c r="M414" s="343"/>
      <c r="N414" s="343"/>
      <c r="O414" s="343"/>
      <c r="P414" s="343"/>
      <c r="Q414" s="343"/>
      <c r="R414" s="343"/>
      <c r="S414" s="343"/>
    </row>
    <row r="415" spans="1:19" x14ac:dyDescent="0.2">
      <c r="A415" s="324">
        <v>11</v>
      </c>
      <c r="B415" s="324">
        <v>55</v>
      </c>
      <c r="C415" s="326">
        <v>21.08</v>
      </c>
      <c r="D415" s="326">
        <v>20.9</v>
      </c>
      <c r="E415" s="326">
        <v>2.0470000000000002</v>
      </c>
      <c r="F415" s="326">
        <v>27.5</v>
      </c>
      <c r="G415" s="326">
        <v>17.5</v>
      </c>
      <c r="H415" s="326">
        <f t="shared" si="26"/>
        <v>21.620994150437202</v>
      </c>
      <c r="I415" s="326">
        <f t="shared" si="27"/>
        <v>20.539005849562795</v>
      </c>
      <c r="J415" s="350"/>
      <c r="K415" s="342"/>
      <c r="L415" s="342"/>
      <c r="M415" s="343"/>
      <c r="N415" s="343"/>
      <c r="O415" s="343"/>
      <c r="P415" s="343"/>
      <c r="Q415" s="343"/>
      <c r="R415" s="343"/>
      <c r="S415" s="343"/>
    </row>
    <row r="416" spans="1:19" x14ac:dyDescent="0.2">
      <c r="A416" s="329">
        <v>12</v>
      </c>
      <c r="B416" s="329">
        <v>35</v>
      </c>
      <c r="C416" s="330">
        <v>22.402999999999999</v>
      </c>
      <c r="D416" s="330">
        <v>22.2</v>
      </c>
      <c r="E416" s="330">
        <v>2.13</v>
      </c>
      <c r="F416" s="330">
        <v>29.7</v>
      </c>
      <c r="G416" s="330">
        <v>18.399999999999999</v>
      </c>
      <c r="H416" s="330">
        <f t="shared" si="26"/>
        <v>23.108669996528121</v>
      </c>
      <c r="I416" s="330">
        <f t="shared" si="27"/>
        <v>21.697330003471876</v>
      </c>
      <c r="J416" s="350"/>
      <c r="K416" s="351"/>
      <c r="L416" s="342"/>
      <c r="M416" s="343"/>
      <c r="N416" s="343"/>
      <c r="O416" s="343"/>
      <c r="P416" s="343"/>
      <c r="Q416" s="343"/>
      <c r="R416" s="343"/>
      <c r="S416" s="343"/>
    </row>
    <row r="417" spans="1:19" x14ac:dyDescent="0.2">
      <c r="A417" s="324">
        <v>13</v>
      </c>
      <c r="B417" s="324">
        <v>64</v>
      </c>
      <c r="C417" s="326">
        <v>23.295000000000002</v>
      </c>
      <c r="D417" s="326">
        <v>23.45</v>
      </c>
      <c r="E417" s="326">
        <v>1.7030000000000001</v>
      </c>
      <c r="F417" s="326">
        <v>26.9</v>
      </c>
      <c r="G417" s="326">
        <v>19.600000000000001</v>
      </c>
      <c r="H417" s="326">
        <f t="shared" si="26"/>
        <v>23.712235000000003</v>
      </c>
      <c r="I417" s="326">
        <f t="shared" si="27"/>
        <v>22.877765</v>
      </c>
      <c r="J417" s="350"/>
      <c r="K417" s="342"/>
      <c r="L417" s="342"/>
      <c r="M417" s="343"/>
      <c r="N417" s="343"/>
      <c r="O417" s="343"/>
      <c r="P417" s="343"/>
      <c r="Q417" s="343"/>
      <c r="R417" s="343"/>
      <c r="S417" s="343"/>
    </row>
    <row r="418" spans="1:19" x14ac:dyDescent="0.2">
      <c r="A418" s="329">
        <v>14</v>
      </c>
      <c r="B418" s="329">
        <v>87</v>
      </c>
      <c r="C418" s="330">
        <v>24.568000000000001</v>
      </c>
      <c r="D418" s="330">
        <v>24.6</v>
      </c>
      <c r="E418" s="330">
        <v>2.0129999999999999</v>
      </c>
      <c r="F418" s="330">
        <v>32.9</v>
      </c>
      <c r="G418" s="330">
        <v>20.100000000000001</v>
      </c>
      <c r="H418" s="330">
        <f t="shared" si="26"/>
        <v>24.990999856395185</v>
      </c>
      <c r="I418" s="330">
        <f t="shared" si="27"/>
        <v>24.145000143604818</v>
      </c>
      <c r="J418" s="350"/>
      <c r="K418" s="342"/>
      <c r="L418" s="342"/>
      <c r="M418" s="343"/>
      <c r="N418" s="343"/>
      <c r="O418" s="343"/>
      <c r="P418" s="343"/>
      <c r="Q418" s="343"/>
      <c r="R418" s="343"/>
      <c r="S418" s="343"/>
    </row>
    <row r="419" spans="1:19" x14ac:dyDescent="0.2">
      <c r="A419" s="324">
        <v>15</v>
      </c>
      <c r="B419" s="324">
        <v>70</v>
      </c>
      <c r="C419" s="326">
        <v>25.294</v>
      </c>
      <c r="D419" s="326">
        <v>24.95</v>
      </c>
      <c r="E419" s="326">
        <v>2.077</v>
      </c>
      <c r="F419" s="326">
        <v>31.8</v>
      </c>
      <c r="G419" s="326">
        <v>21.2</v>
      </c>
      <c r="H419" s="326">
        <f t="shared" si="26"/>
        <v>25.780568005031157</v>
      </c>
      <c r="I419" s="326">
        <f t="shared" si="27"/>
        <v>24.807431994968844</v>
      </c>
      <c r="J419" s="350"/>
      <c r="K419" s="342"/>
      <c r="L419" s="342"/>
      <c r="M419" s="343"/>
      <c r="N419" s="343"/>
      <c r="O419" s="343"/>
      <c r="P419" s="343"/>
      <c r="Q419" s="343"/>
      <c r="R419" s="343"/>
      <c r="S419" s="343"/>
    </row>
    <row r="420" spans="1:19" x14ac:dyDescent="0.2">
      <c r="A420" s="329">
        <v>16</v>
      </c>
      <c r="B420" s="329">
        <v>38</v>
      </c>
      <c r="C420" s="330">
        <v>26.010999999999999</v>
      </c>
      <c r="D420" s="330">
        <v>25.45</v>
      </c>
      <c r="E420" s="330">
        <v>2.1779999999999999</v>
      </c>
      <c r="F420" s="330">
        <v>33.299999999999997</v>
      </c>
      <c r="G420" s="330">
        <v>23.3</v>
      </c>
      <c r="H420" s="330">
        <f t="shared" si="26"/>
        <v>26.703503780236687</v>
      </c>
      <c r="I420" s="330">
        <f t="shared" si="27"/>
        <v>25.318496219763311</v>
      </c>
      <c r="J420" s="350"/>
      <c r="K420" s="342"/>
      <c r="L420" s="342"/>
      <c r="M420" s="343"/>
      <c r="N420" s="343"/>
      <c r="O420" s="343"/>
      <c r="P420" s="343"/>
      <c r="Q420" s="343"/>
      <c r="R420" s="343"/>
      <c r="S420" s="343"/>
    </row>
    <row r="421" spans="1:19" x14ac:dyDescent="0.2">
      <c r="A421" s="324">
        <v>17</v>
      </c>
      <c r="B421" s="324">
        <v>30</v>
      </c>
      <c r="C421" s="326">
        <v>26.69</v>
      </c>
      <c r="D421" s="326">
        <v>25.95</v>
      </c>
      <c r="E421" s="326">
        <v>1.8380000000000001</v>
      </c>
      <c r="F421" s="326">
        <v>30.2</v>
      </c>
      <c r="G421" s="326">
        <v>23.7</v>
      </c>
      <c r="H421" s="326">
        <f t="shared" si="26"/>
        <v>27.347719852987073</v>
      </c>
      <c r="I421" s="326">
        <f t="shared" si="27"/>
        <v>26.03228014701293</v>
      </c>
      <c r="J421" s="350"/>
      <c r="K421" s="342"/>
      <c r="L421" s="342"/>
      <c r="M421" s="343"/>
      <c r="N421" s="343"/>
      <c r="O421" s="343"/>
      <c r="P421" s="343"/>
      <c r="Q421" s="343"/>
      <c r="R421" s="343"/>
      <c r="S421" s="343"/>
    </row>
    <row r="422" spans="1:19" x14ac:dyDescent="0.2">
      <c r="A422" s="329">
        <v>18</v>
      </c>
      <c r="B422" s="329">
        <v>21</v>
      </c>
      <c r="C422" s="330">
        <v>26.795000000000002</v>
      </c>
      <c r="D422" s="330">
        <v>26.7</v>
      </c>
      <c r="E422" s="330">
        <v>1.3009999999999999</v>
      </c>
      <c r="F422" s="330">
        <v>30</v>
      </c>
      <c r="G422" s="330">
        <v>24.3</v>
      </c>
      <c r="H422" s="330">
        <f t="shared" si="26"/>
        <v>27.351446891386171</v>
      </c>
      <c r="I422" s="330">
        <f t="shared" si="27"/>
        <v>26.238553108613832</v>
      </c>
      <c r="J422" s="350"/>
      <c r="K422" s="342"/>
      <c r="L422" s="342"/>
      <c r="M422" s="343"/>
      <c r="N422" s="343"/>
      <c r="O422" s="343"/>
      <c r="P422" s="343"/>
      <c r="Q422" s="343"/>
      <c r="R422" s="343"/>
      <c r="S422" s="343"/>
    </row>
    <row r="423" spans="1:19" x14ac:dyDescent="0.2">
      <c r="A423" s="324">
        <v>19</v>
      </c>
      <c r="B423" s="324">
        <v>7</v>
      </c>
      <c r="C423" s="326">
        <v>26.186</v>
      </c>
      <c r="D423" s="326">
        <v>25.8</v>
      </c>
      <c r="E423" s="326">
        <v>5.2249999999999996</v>
      </c>
      <c r="F423" s="326">
        <v>32.700000000000003</v>
      </c>
      <c r="G423" s="326">
        <v>16.2</v>
      </c>
      <c r="H423" s="326">
        <f t="shared" si="26"/>
        <v>30.056734168087495</v>
      </c>
      <c r="I423" s="326">
        <f t="shared" si="27"/>
        <v>22.315265831912505</v>
      </c>
      <c r="J423" s="350"/>
      <c r="K423" s="342"/>
      <c r="L423" s="342"/>
      <c r="M423" s="343"/>
      <c r="N423" s="343"/>
      <c r="O423" s="343"/>
      <c r="P423" s="343"/>
      <c r="Q423" s="343"/>
      <c r="R423" s="343"/>
      <c r="S423" s="343"/>
    </row>
    <row r="424" spans="1:19" x14ac:dyDescent="0.2">
      <c r="A424" s="329"/>
      <c r="B424" s="329"/>
      <c r="C424" s="330"/>
      <c r="D424" s="330"/>
      <c r="E424" s="330"/>
      <c r="F424" s="330"/>
      <c r="G424" s="330"/>
      <c r="H424" s="330"/>
      <c r="I424" s="330"/>
      <c r="J424" s="350"/>
      <c r="K424" s="342"/>
      <c r="L424" s="342"/>
      <c r="M424" s="343"/>
      <c r="N424" s="343"/>
      <c r="O424" s="343"/>
      <c r="P424" s="343"/>
      <c r="Q424" s="343"/>
      <c r="R424" s="343"/>
      <c r="S424" s="343"/>
    </row>
    <row r="425" spans="1:19" x14ac:dyDescent="0.2">
      <c r="A425" s="324"/>
      <c r="B425" s="324"/>
      <c r="C425" s="326"/>
      <c r="D425" s="326"/>
      <c r="E425" s="326"/>
      <c r="F425" s="326"/>
      <c r="G425" s="326"/>
      <c r="H425" s="326"/>
      <c r="I425" s="326"/>
      <c r="J425" s="350"/>
      <c r="K425" s="342"/>
      <c r="L425" s="342"/>
      <c r="M425" s="343"/>
      <c r="N425" s="343"/>
      <c r="O425" s="343"/>
      <c r="P425" s="343"/>
      <c r="Q425" s="343"/>
      <c r="R425" s="343"/>
      <c r="S425" s="343"/>
    </row>
    <row r="426" spans="1:19" x14ac:dyDescent="0.2">
      <c r="A426" s="800" t="s">
        <v>690</v>
      </c>
      <c r="B426" s="800"/>
      <c r="C426" s="800"/>
      <c r="D426" s="800"/>
      <c r="E426" s="800"/>
      <c r="F426" s="800"/>
      <c r="G426" s="800"/>
      <c r="H426" s="800"/>
      <c r="I426" s="801"/>
      <c r="J426" s="350"/>
      <c r="K426" s="342"/>
      <c r="L426" s="342"/>
      <c r="M426" s="343"/>
      <c r="N426" s="343"/>
      <c r="O426" s="343"/>
      <c r="P426" s="343"/>
      <c r="Q426" s="343"/>
      <c r="R426" s="343"/>
      <c r="S426" s="343"/>
    </row>
    <row r="427" spans="1:19" x14ac:dyDescent="0.2">
      <c r="A427" s="329" t="s">
        <v>504</v>
      </c>
      <c r="B427" s="329" t="s">
        <v>641</v>
      </c>
      <c r="C427" s="330" t="s">
        <v>642</v>
      </c>
      <c r="D427" s="330" t="s">
        <v>643</v>
      </c>
      <c r="E427" s="330" t="s">
        <v>644</v>
      </c>
      <c r="F427" s="330" t="s">
        <v>645</v>
      </c>
      <c r="G427" s="330" t="s">
        <v>646</v>
      </c>
      <c r="H427" s="330" t="s">
        <v>647</v>
      </c>
      <c r="I427" s="330" t="s">
        <v>648</v>
      </c>
      <c r="J427" s="350"/>
      <c r="K427" s="342"/>
      <c r="L427" s="342"/>
      <c r="M427" s="343"/>
      <c r="N427" s="343"/>
      <c r="O427" s="343"/>
      <c r="P427" s="343"/>
      <c r="Q427" s="343"/>
      <c r="R427" s="343"/>
      <c r="S427" s="343"/>
    </row>
    <row r="428" spans="1:19" x14ac:dyDescent="0.2">
      <c r="A428" s="324">
        <v>7</v>
      </c>
      <c r="B428" s="324">
        <v>14</v>
      </c>
      <c r="C428" s="326">
        <v>12.978999999999999</v>
      </c>
      <c r="D428" s="326">
        <v>13.1</v>
      </c>
      <c r="E428" s="326">
        <v>0.73399999999999999</v>
      </c>
      <c r="F428" s="326">
        <v>14.4</v>
      </c>
      <c r="G428" s="326">
        <v>11.7</v>
      </c>
      <c r="H428" s="326">
        <f t="shared" si="26"/>
        <v>13.36349271306489</v>
      </c>
      <c r="I428" s="326">
        <f t="shared" si="27"/>
        <v>12.594507286935109</v>
      </c>
      <c r="J428" s="350"/>
      <c r="K428" s="342"/>
      <c r="L428" s="342"/>
      <c r="M428" s="343"/>
      <c r="N428" s="343"/>
      <c r="O428" s="343"/>
      <c r="P428" s="343"/>
      <c r="Q428" s="343"/>
      <c r="R428" s="343"/>
      <c r="S428" s="343"/>
    </row>
    <row r="429" spans="1:19" x14ac:dyDescent="0.2">
      <c r="A429" s="329">
        <v>8</v>
      </c>
      <c r="B429" s="329">
        <v>39</v>
      </c>
      <c r="C429" s="330">
        <v>13.385</v>
      </c>
      <c r="D429" s="330">
        <v>13.2</v>
      </c>
      <c r="E429" s="330">
        <v>1.0820000000000001</v>
      </c>
      <c r="F429" s="330">
        <v>16.399999999999999</v>
      </c>
      <c r="G429" s="330">
        <v>11.6</v>
      </c>
      <c r="H429" s="330">
        <f t="shared" si="26"/>
        <v>13.724586978337523</v>
      </c>
      <c r="I429" s="330">
        <f t="shared" si="27"/>
        <v>13.045413021662476</v>
      </c>
      <c r="J429" s="350"/>
      <c r="K429" s="342"/>
      <c r="L429" s="342"/>
      <c r="M429" s="343"/>
      <c r="N429" s="343"/>
      <c r="O429" s="343"/>
      <c r="P429" s="343"/>
      <c r="Q429" s="343"/>
      <c r="R429" s="343"/>
      <c r="S429" s="343"/>
    </row>
    <row r="430" spans="1:19" x14ac:dyDescent="0.2">
      <c r="A430" s="324">
        <v>9</v>
      </c>
      <c r="B430" s="324">
        <v>57</v>
      </c>
      <c r="C430" s="326">
        <v>13.436999999999999</v>
      </c>
      <c r="D430" s="326">
        <v>13.4</v>
      </c>
      <c r="E430" s="326">
        <v>0.71399999999999997</v>
      </c>
      <c r="F430" s="326">
        <v>15.2</v>
      </c>
      <c r="G430" s="326">
        <v>11.6</v>
      </c>
      <c r="H430" s="326">
        <f t="shared" si="26"/>
        <v>13.62236035617711</v>
      </c>
      <c r="I430" s="326">
        <f t="shared" si="27"/>
        <v>13.251639643822889</v>
      </c>
      <c r="J430" s="350"/>
      <c r="K430" s="342"/>
      <c r="L430" s="342"/>
      <c r="M430" s="343"/>
      <c r="N430" s="343"/>
      <c r="O430" s="343"/>
      <c r="P430" s="343"/>
      <c r="Q430" s="343"/>
      <c r="R430" s="343"/>
      <c r="S430" s="343"/>
    </row>
    <row r="431" spans="1:19" x14ac:dyDescent="0.2">
      <c r="A431" s="329">
        <v>10</v>
      </c>
      <c r="B431" s="329">
        <v>66</v>
      </c>
      <c r="C431" s="330">
        <v>13.888</v>
      </c>
      <c r="D431" s="330">
        <v>13.55</v>
      </c>
      <c r="E431" s="330">
        <v>1.1359999999999999</v>
      </c>
      <c r="F431" s="330">
        <v>18.399999999999999</v>
      </c>
      <c r="G431" s="330">
        <v>11.9</v>
      </c>
      <c r="H431" s="330">
        <f t="shared" si="26"/>
        <v>14.162070590154944</v>
      </c>
      <c r="I431" s="330">
        <f t="shared" si="27"/>
        <v>13.613929409845056</v>
      </c>
      <c r="J431" s="350"/>
      <c r="K431" s="342"/>
      <c r="L431" s="342"/>
      <c r="M431" s="343"/>
      <c r="N431" s="343"/>
      <c r="O431" s="343"/>
      <c r="P431" s="343"/>
      <c r="Q431" s="343"/>
      <c r="R431" s="343"/>
      <c r="S431" s="343"/>
    </row>
    <row r="432" spans="1:19" x14ac:dyDescent="0.2">
      <c r="A432" s="324">
        <v>11</v>
      </c>
      <c r="B432" s="324">
        <v>55</v>
      </c>
      <c r="C432" s="326">
        <v>14.298</v>
      </c>
      <c r="D432" s="326">
        <v>14.2</v>
      </c>
      <c r="E432" s="326">
        <v>1.129</v>
      </c>
      <c r="F432" s="326">
        <v>17.899999999999999</v>
      </c>
      <c r="G432" s="326">
        <v>12.1</v>
      </c>
      <c r="H432" s="326">
        <f t="shared" si="26"/>
        <v>14.596379284730633</v>
      </c>
      <c r="I432" s="326">
        <f t="shared" si="27"/>
        <v>13.999620715269367</v>
      </c>
      <c r="J432" s="350"/>
      <c r="K432" s="351"/>
      <c r="L432" s="342"/>
      <c r="M432" s="343"/>
      <c r="N432" s="343"/>
      <c r="O432" s="343"/>
      <c r="P432" s="343"/>
      <c r="Q432" s="343"/>
      <c r="R432" s="343"/>
      <c r="S432" s="343"/>
    </row>
    <row r="433" spans="1:19" x14ac:dyDescent="0.2">
      <c r="A433" s="329">
        <v>12</v>
      </c>
      <c r="B433" s="329">
        <v>35</v>
      </c>
      <c r="C433" s="330">
        <v>15.006</v>
      </c>
      <c r="D433" s="330">
        <v>14.9</v>
      </c>
      <c r="E433" s="330">
        <v>1.3759999999999999</v>
      </c>
      <c r="F433" s="330">
        <v>19.5</v>
      </c>
      <c r="G433" s="330">
        <v>12.8</v>
      </c>
      <c r="H433" s="330">
        <f t="shared" si="26"/>
        <v>15.461869443766524</v>
      </c>
      <c r="I433" s="330">
        <f t="shared" si="27"/>
        <v>14.550130556233476</v>
      </c>
      <c r="J433" s="350"/>
      <c r="K433" s="342"/>
      <c r="L433" s="342"/>
      <c r="M433" s="343"/>
      <c r="N433" s="343"/>
      <c r="O433" s="343"/>
      <c r="P433" s="343"/>
      <c r="Q433" s="343"/>
      <c r="R433" s="343"/>
      <c r="S433" s="343"/>
    </row>
    <row r="434" spans="1:19" x14ac:dyDescent="0.2">
      <c r="A434" s="324">
        <v>13</v>
      </c>
      <c r="B434" s="324">
        <v>64</v>
      </c>
      <c r="C434" s="326">
        <v>15.692</v>
      </c>
      <c r="D434" s="326">
        <v>15.8</v>
      </c>
      <c r="E434" s="326">
        <v>0.92900000000000005</v>
      </c>
      <c r="F434" s="326">
        <v>17.5</v>
      </c>
      <c r="G434" s="326">
        <v>13.1</v>
      </c>
      <c r="H434" s="326">
        <f t="shared" si="26"/>
        <v>15.919605000000001</v>
      </c>
      <c r="I434" s="326">
        <f t="shared" si="27"/>
        <v>15.464395</v>
      </c>
      <c r="J434" s="350"/>
      <c r="K434" s="342"/>
      <c r="L434" s="342"/>
      <c r="M434" s="343"/>
      <c r="N434" s="343"/>
      <c r="O434" s="343"/>
      <c r="P434" s="343"/>
      <c r="Q434" s="343"/>
      <c r="R434" s="343"/>
      <c r="S434" s="343"/>
    </row>
    <row r="435" spans="1:19" x14ac:dyDescent="0.2">
      <c r="A435" s="329">
        <v>14</v>
      </c>
      <c r="B435" s="329">
        <v>86</v>
      </c>
      <c r="C435" s="330">
        <v>16.11</v>
      </c>
      <c r="D435" s="330">
        <v>16.149999999999999</v>
      </c>
      <c r="E435" s="330">
        <v>0.89900000000000002</v>
      </c>
      <c r="F435" s="330">
        <v>20.6</v>
      </c>
      <c r="G435" s="330">
        <v>13.7</v>
      </c>
      <c r="H435" s="330">
        <f t="shared" si="26"/>
        <v>16.300005659695387</v>
      </c>
      <c r="I435" s="330">
        <f t="shared" si="27"/>
        <v>15.919994340304612</v>
      </c>
      <c r="J435" s="350"/>
      <c r="K435" s="342"/>
      <c r="L435" s="342"/>
      <c r="M435" s="343"/>
      <c r="N435" s="343"/>
      <c r="O435" s="343"/>
      <c r="P435" s="343"/>
      <c r="Q435" s="343"/>
      <c r="R435" s="343"/>
      <c r="S435" s="343"/>
    </row>
    <row r="436" spans="1:19" x14ac:dyDescent="0.2">
      <c r="A436" s="324">
        <v>15</v>
      </c>
      <c r="B436" s="324">
        <v>69</v>
      </c>
      <c r="C436" s="326">
        <v>16.32</v>
      </c>
      <c r="D436" s="326">
        <v>16.399999999999999</v>
      </c>
      <c r="E436" s="326">
        <v>0.91400000000000003</v>
      </c>
      <c r="F436" s="326">
        <v>19.2</v>
      </c>
      <c r="G436" s="326">
        <v>14.4</v>
      </c>
      <c r="H436" s="326">
        <f t="shared" si="26"/>
        <v>16.535664032651972</v>
      </c>
      <c r="I436" s="326">
        <f t="shared" si="27"/>
        <v>16.104335967348028</v>
      </c>
      <c r="J436" s="350"/>
      <c r="K436" s="342"/>
      <c r="L436" s="342"/>
      <c r="M436" s="343"/>
      <c r="N436" s="343"/>
      <c r="O436" s="343"/>
      <c r="P436" s="343"/>
      <c r="Q436" s="343"/>
      <c r="R436" s="343"/>
      <c r="S436" s="343"/>
    </row>
    <row r="437" spans="1:19" x14ac:dyDescent="0.2">
      <c r="A437" s="329">
        <v>16</v>
      </c>
      <c r="B437" s="329">
        <v>38</v>
      </c>
      <c r="C437" s="330">
        <v>16.337</v>
      </c>
      <c r="D437" s="330">
        <v>16.2</v>
      </c>
      <c r="E437" s="330">
        <v>0.85599999999999998</v>
      </c>
      <c r="F437" s="330">
        <v>18.8</v>
      </c>
      <c r="G437" s="330">
        <v>15</v>
      </c>
      <c r="H437" s="330">
        <f t="shared" si="26"/>
        <v>16.609168611516349</v>
      </c>
      <c r="I437" s="330">
        <f t="shared" si="27"/>
        <v>16.06483138848365</v>
      </c>
      <c r="J437" s="350"/>
      <c r="K437" s="342"/>
      <c r="L437" s="342"/>
      <c r="M437" s="343"/>
      <c r="N437" s="343"/>
      <c r="O437" s="343"/>
      <c r="P437" s="343"/>
      <c r="Q437" s="343"/>
      <c r="R437" s="343"/>
      <c r="S437" s="343"/>
    </row>
    <row r="438" spans="1:19" x14ac:dyDescent="0.2">
      <c r="A438" s="324">
        <v>17</v>
      </c>
      <c r="B438" s="324">
        <v>29</v>
      </c>
      <c r="C438" s="326">
        <v>16.597000000000001</v>
      </c>
      <c r="D438" s="326">
        <v>16.5</v>
      </c>
      <c r="E438" s="326">
        <v>0.82399999999999995</v>
      </c>
      <c r="F438" s="326">
        <v>18.3</v>
      </c>
      <c r="G438" s="326">
        <v>15.2</v>
      </c>
      <c r="H438" s="326">
        <f t="shared" si="26"/>
        <v>16.896905398969466</v>
      </c>
      <c r="I438" s="326">
        <f t="shared" si="27"/>
        <v>16.297094601030537</v>
      </c>
      <c r="J438" s="350"/>
      <c r="K438" s="342"/>
      <c r="L438" s="342"/>
      <c r="M438" s="343"/>
      <c r="N438" s="343"/>
      <c r="O438" s="343"/>
      <c r="P438" s="343"/>
      <c r="Q438" s="343"/>
      <c r="R438" s="343"/>
      <c r="S438" s="343"/>
    </row>
    <row r="439" spans="1:19" x14ac:dyDescent="0.2">
      <c r="A439" s="329">
        <v>18</v>
      </c>
      <c r="B439" s="329">
        <v>21</v>
      </c>
      <c r="C439" s="330">
        <v>16.632999999999999</v>
      </c>
      <c r="D439" s="330">
        <v>16.600000000000001</v>
      </c>
      <c r="E439" s="330">
        <v>0.625</v>
      </c>
      <c r="F439" s="330">
        <v>18.5</v>
      </c>
      <c r="G439" s="330">
        <v>15.8</v>
      </c>
      <c r="H439" s="330">
        <f t="shared" si="26"/>
        <v>16.90031691553909</v>
      </c>
      <c r="I439" s="330">
        <f t="shared" si="27"/>
        <v>16.365683084460908</v>
      </c>
      <c r="J439" s="350"/>
      <c r="K439" s="342"/>
      <c r="L439" s="342"/>
      <c r="M439" s="343"/>
      <c r="N439" s="343"/>
      <c r="O439" s="343"/>
      <c r="P439" s="343"/>
      <c r="Q439" s="343"/>
      <c r="R439" s="343"/>
      <c r="S439" s="343"/>
    </row>
    <row r="440" spans="1:19" x14ac:dyDescent="0.2">
      <c r="A440" s="329">
        <v>19</v>
      </c>
      <c r="B440" s="329">
        <v>7</v>
      </c>
      <c r="C440" s="330">
        <v>16.971</v>
      </c>
      <c r="D440" s="330">
        <v>16.899999999999999</v>
      </c>
      <c r="E440" s="330">
        <v>1.2090000000000001</v>
      </c>
      <c r="F440" s="330">
        <v>18.399999999999999</v>
      </c>
      <c r="G440" s="330">
        <v>15.6</v>
      </c>
      <c r="H440" s="330">
        <f t="shared" si="26"/>
        <v>17.866639733821586</v>
      </c>
      <c r="I440" s="330">
        <f t="shared" si="27"/>
        <v>16.075360266178414</v>
      </c>
      <c r="J440" s="350"/>
      <c r="K440" s="342"/>
      <c r="L440" s="342"/>
      <c r="M440" s="343"/>
      <c r="N440" s="343"/>
      <c r="O440" s="343"/>
      <c r="P440" s="343"/>
      <c r="Q440" s="343"/>
      <c r="R440" s="343"/>
      <c r="S440" s="343"/>
    </row>
    <row r="441" spans="1:19" x14ac:dyDescent="0.2">
      <c r="A441" s="324"/>
      <c r="B441" s="324"/>
      <c r="C441" s="326"/>
      <c r="D441" s="326"/>
      <c r="E441" s="326"/>
      <c r="F441" s="326"/>
      <c r="G441" s="326"/>
      <c r="H441" s="326"/>
      <c r="I441" s="326"/>
      <c r="J441" s="350"/>
      <c r="K441" s="342"/>
      <c r="L441" s="342"/>
      <c r="M441" s="343"/>
      <c r="N441" s="343"/>
      <c r="O441" s="343"/>
      <c r="P441" s="343"/>
      <c r="Q441" s="343"/>
      <c r="R441" s="343"/>
      <c r="S441" s="343"/>
    </row>
    <row r="442" spans="1:19" x14ac:dyDescent="0.2">
      <c r="A442" s="342"/>
      <c r="B442" s="342"/>
      <c r="C442" s="343"/>
      <c r="D442" s="343"/>
      <c r="E442" s="343"/>
      <c r="F442" s="343"/>
      <c r="G442" s="343"/>
      <c r="H442" s="343"/>
      <c r="I442" s="343"/>
      <c r="J442" s="350"/>
      <c r="K442" s="342"/>
      <c r="L442" s="342"/>
      <c r="M442" s="343"/>
      <c r="N442" s="343"/>
      <c r="O442" s="343"/>
      <c r="P442" s="343"/>
      <c r="Q442" s="343"/>
      <c r="R442" s="343"/>
      <c r="S442" s="343"/>
    </row>
    <row r="443" spans="1:19" x14ac:dyDescent="0.2">
      <c r="A443" s="800" t="s">
        <v>691</v>
      </c>
      <c r="B443" s="800"/>
      <c r="C443" s="800"/>
      <c r="D443" s="800"/>
      <c r="E443" s="800"/>
      <c r="F443" s="800"/>
      <c r="G443" s="800"/>
      <c r="H443" s="800"/>
      <c r="I443" s="801"/>
      <c r="J443" s="350"/>
      <c r="K443" s="342"/>
      <c r="L443" s="342"/>
      <c r="M443" s="343"/>
      <c r="N443" s="343"/>
      <c r="O443" s="343"/>
      <c r="P443" s="343"/>
      <c r="Q443" s="343"/>
      <c r="R443" s="343"/>
      <c r="S443" s="343"/>
    </row>
    <row r="444" spans="1:19" x14ac:dyDescent="0.2">
      <c r="A444" s="329" t="s">
        <v>504</v>
      </c>
      <c r="B444" s="329" t="s">
        <v>641</v>
      </c>
      <c r="C444" s="330" t="s">
        <v>642</v>
      </c>
      <c r="D444" s="330" t="s">
        <v>643</v>
      </c>
      <c r="E444" s="330" t="s">
        <v>644</v>
      </c>
      <c r="F444" s="330" t="s">
        <v>645</v>
      </c>
      <c r="G444" s="330" t="s">
        <v>646</v>
      </c>
      <c r="H444" s="330" t="s">
        <v>647</v>
      </c>
      <c r="I444" s="330" t="s">
        <v>648</v>
      </c>
      <c r="J444" s="350"/>
      <c r="K444" s="342"/>
      <c r="L444" s="342"/>
      <c r="M444" s="343"/>
      <c r="N444" s="343"/>
      <c r="O444" s="343"/>
      <c r="P444" s="343"/>
      <c r="Q444" s="343"/>
      <c r="R444" s="343"/>
      <c r="S444" s="343"/>
    </row>
    <row r="445" spans="1:19" x14ac:dyDescent="0.2">
      <c r="A445" s="324">
        <v>7</v>
      </c>
      <c r="B445" s="324">
        <v>14</v>
      </c>
      <c r="C445" s="326">
        <v>64.442999999999998</v>
      </c>
      <c r="D445" s="326">
        <v>63.4</v>
      </c>
      <c r="E445" s="326">
        <v>4.3129999999999997</v>
      </c>
      <c r="F445" s="326">
        <v>72.099999999999994</v>
      </c>
      <c r="G445" s="326">
        <v>57.6</v>
      </c>
      <c r="H445" s="326">
        <f t="shared" ref="H445:H508" si="28">C445+(1.96*E445)/(B445)^0.5</f>
        <v>66.702287563281843</v>
      </c>
      <c r="I445" s="326">
        <f t="shared" ref="I445:I508" si="29">C445-(1.96*E445)/(B445)^0.5</f>
        <v>62.183712436718153</v>
      </c>
      <c r="J445" s="350"/>
      <c r="K445" s="342"/>
      <c r="L445" s="342"/>
      <c r="M445" s="343"/>
      <c r="N445" s="343"/>
      <c r="O445" s="343"/>
      <c r="P445" s="343"/>
      <c r="Q445" s="343"/>
      <c r="R445" s="343"/>
      <c r="S445" s="343"/>
    </row>
    <row r="446" spans="1:19" x14ac:dyDescent="0.2">
      <c r="A446" s="329">
        <v>8</v>
      </c>
      <c r="B446" s="329">
        <v>39</v>
      </c>
      <c r="C446" s="330">
        <v>67.569000000000003</v>
      </c>
      <c r="D446" s="330">
        <v>64.599999999999994</v>
      </c>
      <c r="E446" s="330">
        <v>7.2110000000000003</v>
      </c>
      <c r="F446" s="330">
        <v>84.6</v>
      </c>
      <c r="G446" s="330">
        <v>56.6</v>
      </c>
      <c r="H446" s="330">
        <f t="shared" si="28"/>
        <v>69.832180869493428</v>
      </c>
      <c r="I446" s="330">
        <f t="shared" si="29"/>
        <v>65.305819130506578</v>
      </c>
      <c r="J446" s="350"/>
      <c r="K446" s="342"/>
      <c r="L446" s="342"/>
      <c r="M446" s="343"/>
      <c r="N446" s="343"/>
      <c r="O446" s="343"/>
      <c r="P446" s="343"/>
      <c r="Q446" s="343"/>
      <c r="R446" s="343"/>
      <c r="S446" s="343"/>
    </row>
    <row r="447" spans="1:19" x14ac:dyDescent="0.2">
      <c r="A447" s="324">
        <v>9</v>
      </c>
      <c r="B447" s="324">
        <v>57</v>
      </c>
      <c r="C447" s="326">
        <v>68.051000000000002</v>
      </c>
      <c r="D447" s="326">
        <v>67.3</v>
      </c>
      <c r="E447" s="326">
        <v>6.3579999999999997</v>
      </c>
      <c r="F447" s="326">
        <v>93.2</v>
      </c>
      <c r="G447" s="326">
        <v>58.8</v>
      </c>
      <c r="H447" s="326">
        <f t="shared" si="28"/>
        <v>69.701589838339032</v>
      </c>
      <c r="I447" s="326">
        <f t="shared" si="29"/>
        <v>66.400410161660972</v>
      </c>
      <c r="J447" s="350"/>
      <c r="K447" s="342"/>
      <c r="L447" s="342"/>
      <c r="M447" s="343"/>
      <c r="N447" s="343"/>
      <c r="O447" s="343"/>
      <c r="P447" s="343"/>
      <c r="Q447" s="343"/>
      <c r="R447" s="343"/>
      <c r="S447" s="343"/>
    </row>
    <row r="448" spans="1:19" x14ac:dyDescent="0.2">
      <c r="A448" s="329">
        <v>10</v>
      </c>
      <c r="B448" s="329">
        <v>66</v>
      </c>
      <c r="C448" s="330">
        <v>70.311000000000007</v>
      </c>
      <c r="D448" s="330">
        <v>68.5</v>
      </c>
      <c r="E448" s="330">
        <v>7.1420000000000003</v>
      </c>
      <c r="F448" s="330">
        <v>92.1</v>
      </c>
      <c r="G448" s="330">
        <v>58.5</v>
      </c>
      <c r="H448" s="330">
        <f t="shared" si="28"/>
        <v>72.034074080005823</v>
      </c>
      <c r="I448" s="330">
        <f t="shared" si="29"/>
        <v>68.587925919994191</v>
      </c>
      <c r="J448" s="350"/>
      <c r="K448" s="351"/>
      <c r="L448" s="342"/>
      <c r="M448" s="343"/>
      <c r="N448" s="343"/>
      <c r="O448" s="343"/>
      <c r="P448" s="343"/>
      <c r="Q448" s="343"/>
      <c r="R448" s="343"/>
      <c r="S448" s="343"/>
    </row>
    <row r="449" spans="1:19" x14ac:dyDescent="0.2">
      <c r="A449" s="324">
        <v>11</v>
      </c>
      <c r="B449" s="324">
        <v>55</v>
      </c>
      <c r="C449" s="326">
        <v>73.581999999999994</v>
      </c>
      <c r="D449" s="326">
        <v>72.2</v>
      </c>
      <c r="E449" s="326">
        <v>7.9249999999999998</v>
      </c>
      <c r="F449" s="326">
        <v>94</v>
      </c>
      <c r="G449" s="326">
        <v>61</v>
      </c>
      <c r="H449" s="326">
        <f t="shared" si="28"/>
        <v>75.676469292728299</v>
      </c>
      <c r="I449" s="326">
        <f t="shared" si="29"/>
        <v>71.487530707271688</v>
      </c>
      <c r="J449" s="350"/>
      <c r="K449" s="342"/>
      <c r="L449" s="342"/>
      <c r="M449" s="343"/>
      <c r="N449" s="343"/>
      <c r="O449" s="343"/>
      <c r="P449" s="343"/>
      <c r="Q449" s="343"/>
      <c r="R449" s="343"/>
      <c r="S449" s="343"/>
    </row>
    <row r="450" spans="1:19" x14ac:dyDescent="0.2">
      <c r="A450" s="329">
        <v>12</v>
      </c>
      <c r="B450" s="329">
        <v>35</v>
      </c>
      <c r="C450" s="330">
        <v>76.991</v>
      </c>
      <c r="D450" s="330">
        <v>76.5</v>
      </c>
      <c r="E450" s="330">
        <v>8.93</v>
      </c>
      <c r="F450" s="330">
        <v>109.5</v>
      </c>
      <c r="G450" s="330">
        <v>64</v>
      </c>
      <c r="H450" s="330">
        <f t="shared" si="28"/>
        <v>79.949513177932459</v>
      </c>
      <c r="I450" s="330">
        <f t="shared" si="29"/>
        <v>74.03248682206754</v>
      </c>
      <c r="J450" s="350"/>
      <c r="K450" s="342"/>
      <c r="L450" s="342"/>
      <c r="M450" s="343"/>
      <c r="N450" s="343"/>
      <c r="O450" s="343"/>
      <c r="P450" s="343"/>
      <c r="Q450" s="343"/>
      <c r="R450" s="343"/>
      <c r="S450" s="343"/>
    </row>
    <row r="451" spans="1:19" x14ac:dyDescent="0.2">
      <c r="A451" s="324">
        <v>13</v>
      </c>
      <c r="B451" s="324">
        <v>64</v>
      </c>
      <c r="C451" s="326">
        <v>80.036000000000001</v>
      </c>
      <c r="D451" s="326">
        <v>78.8</v>
      </c>
      <c r="E451" s="326">
        <v>6.5410000000000004</v>
      </c>
      <c r="F451" s="326">
        <v>102.5</v>
      </c>
      <c r="G451" s="326">
        <v>69.099999999999994</v>
      </c>
      <c r="H451" s="326">
        <f t="shared" si="28"/>
        <v>81.638545000000008</v>
      </c>
      <c r="I451" s="326">
        <f t="shared" si="29"/>
        <v>78.433454999999995</v>
      </c>
      <c r="J451" s="350"/>
      <c r="K451" s="342"/>
      <c r="L451" s="342"/>
      <c r="M451" s="343"/>
      <c r="N451" s="343"/>
      <c r="O451" s="343"/>
      <c r="P451" s="343"/>
      <c r="Q451" s="343"/>
      <c r="R451" s="343"/>
      <c r="S451" s="343"/>
    </row>
    <row r="452" spans="1:19" x14ac:dyDescent="0.2">
      <c r="A452" s="329">
        <v>14</v>
      </c>
      <c r="B452" s="329">
        <v>87</v>
      </c>
      <c r="C452" s="330">
        <v>83.878</v>
      </c>
      <c r="D452" s="330">
        <v>83.5</v>
      </c>
      <c r="E452" s="330">
        <v>8.8859999999999992</v>
      </c>
      <c r="F452" s="330">
        <v>123.9</v>
      </c>
      <c r="G452" s="330">
        <v>66.7</v>
      </c>
      <c r="H452" s="330">
        <f t="shared" si="28"/>
        <v>85.745251228975448</v>
      </c>
      <c r="I452" s="330">
        <f t="shared" si="29"/>
        <v>82.010748771024552</v>
      </c>
      <c r="J452" s="350"/>
      <c r="K452" s="342"/>
      <c r="L452" s="342"/>
      <c r="M452" s="343"/>
      <c r="N452" s="343"/>
      <c r="O452" s="343"/>
      <c r="P452" s="343"/>
      <c r="Q452" s="343"/>
      <c r="R452" s="343"/>
      <c r="S452" s="343"/>
    </row>
    <row r="453" spans="1:19" x14ac:dyDescent="0.2">
      <c r="A453" s="329">
        <v>15</v>
      </c>
      <c r="B453" s="329">
        <v>70</v>
      </c>
      <c r="C453" s="330">
        <v>86.6</v>
      </c>
      <c r="D453" s="330">
        <v>84.6</v>
      </c>
      <c r="E453" s="330">
        <v>7.67</v>
      </c>
      <c r="F453" s="330">
        <v>115.2</v>
      </c>
      <c r="G453" s="330">
        <v>73.5</v>
      </c>
      <c r="H453" s="330">
        <f t="shared" si="28"/>
        <v>88.396811072984576</v>
      </c>
      <c r="I453" s="330">
        <f t="shared" si="29"/>
        <v>84.803188927015412</v>
      </c>
      <c r="J453" s="350"/>
      <c r="K453" s="342"/>
      <c r="L453" s="342"/>
      <c r="M453" s="343"/>
      <c r="N453" s="343"/>
      <c r="O453" s="343"/>
      <c r="P453" s="343"/>
      <c r="Q453" s="343"/>
      <c r="R453" s="343"/>
      <c r="S453" s="343"/>
    </row>
    <row r="454" spans="1:19" x14ac:dyDescent="0.2">
      <c r="A454" s="324">
        <v>16</v>
      </c>
      <c r="B454" s="324">
        <v>38</v>
      </c>
      <c r="C454" s="326">
        <v>89.042000000000002</v>
      </c>
      <c r="D454" s="326">
        <v>85.75</v>
      </c>
      <c r="E454" s="326">
        <v>10.205</v>
      </c>
      <c r="F454" s="326">
        <v>125.2</v>
      </c>
      <c r="G454" s="326">
        <v>78.099999999999994</v>
      </c>
      <c r="H454" s="326">
        <f t="shared" si="28"/>
        <v>92.286720421173285</v>
      </c>
      <c r="I454" s="326">
        <f t="shared" si="29"/>
        <v>85.797279578826718</v>
      </c>
      <c r="J454" s="350"/>
      <c r="K454" s="342"/>
      <c r="L454" s="342"/>
      <c r="M454" s="343"/>
      <c r="N454" s="343"/>
      <c r="O454" s="343"/>
      <c r="P454" s="343"/>
      <c r="Q454" s="343"/>
      <c r="R454" s="343"/>
      <c r="S454" s="343"/>
    </row>
    <row r="455" spans="1:19" x14ac:dyDescent="0.2">
      <c r="A455" s="329">
        <v>17</v>
      </c>
      <c r="B455" s="329">
        <v>30</v>
      </c>
      <c r="C455" s="330">
        <v>91.63</v>
      </c>
      <c r="D455" s="330">
        <v>89.75</v>
      </c>
      <c r="E455" s="330">
        <v>8.0869999999999997</v>
      </c>
      <c r="F455" s="330">
        <v>113.1</v>
      </c>
      <c r="G455" s="330">
        <v>81.3</v>
      </c>
      <c r="H455" s="330">
        <f t="shared" si="28"/>
        <v>94.523895784062262</v>
      </c>
      <c r="I455" s="330">
        <f t="shared" si="29"/>
        <v>88.736104215937729</v>
      </c>
      <c r="J455" s="350"/>
      <c r="K455" s="342"/>
      <c r="L455" s="342"/>
      <c r="M455" s="343"/>
      <c r="N455" s="343"/>
      <c r="O455" s="343"/>
      <c r="P455" s="343"/>
      <c r="Q455" s="343"/>
      <c r="R455" s="343"/>
      <c r="S455" s="343"/>
    </row>
    <row r="456" spans="1:19" x14ac:dyDescent="0.2">
      <c r="A456" s="324">
        <v>18</v>
      </c>
      <c r="B456" s="324">
        <v>21</v>
      </c>
      <c r="C456" s="326">
        <v>90.870999999999995</v>
      </c>
      <c r="D456" s="326">
        <v>90.3</v>
      </c>
      <c r="E456" s="326">
        <v>4.6959999999999997</v>
      </c>
      <c r="F456" s="326">
        <v>102.1</v>
      </c>
      <c r="G456" s="326">
        <v>80.8</v>
      </c>
      <c r="H456" s="326">
        <f t="shared" si="28"/>
        <v>92.879512376594505</v>
      </c>
      <c r="I456" s="326">
        <f t="shared" si="29"/>
        <v>88.862487623405485</v>
      </c>
      <c r="J456" s="350"/>
      <c r="K456" s="342"/>
      <c r="L456" s="342"/>
      <c r="M456" s="343"/>
      <c r="N456" s="343"/>
      <c r="O456" s="343"/>
      <c r="P456" s="343"/>
      <c r="Q456" s="343"/>
      <c r="R456" s="343"/>
      <c r="S456" s="343"/>
    </row>
    <row r="457" spans="1:19" x14ac:dyDescent="0.2">
      <c r="A457" s="329">
        <v>19</v>
      </c>
      <c r="B457" s="329">
        <v>7</v>
      </c>
      <c r="C457" s="330">
        <v>98.713999999999999</v>
      </c>
      <c r="D457" s="330">
        <v>94.7</v>
      </c>
      <c r="E457" s="330">
        <v>11.737</v>
      </c>
      <c r="F457" s="330">
        <v>117.7</v>
      </c>
      <c r="G457" s="330">
        <v>82.3</v>
      </c>
      <c r="H457" s="330">
        <f t="shared" si="28"/>
        <v>107.40889127863022</v>
      </c>
      <c r="I457" s="330">
        <f t="shared" si="29"/>
        <v>90.019108721369776</v>
      </c>
      <c r="J457" s="350"/>
      <c r="K457" s="342"/>
      <c r="L457" s="342"/>
      <c r="M457" s="343"/>
      <c r="N457" s="343"/>
      <c r="O457" s="343"/>
      <c r="P457" s="343"/>
      <c r="Q457" s="343"/>
      <c r="R457" s="343"/>
      <c r="S457" s="343"/>
    </row>
    <row r="458" spans="1:19" x14ac:dyDescent="0.2">
      <c r="A458" s="324"/>
      <c r="B458" s="324"/>
      <c r="C458" s="326"/>
      <c r="D458" s="326"/>
      <c r="E458" s="326"/>
      <c r="F458" s="326"/>
      <c r="G458" s="326"/>
      <c r="H458" s="326"/>
      <c r="I458" s="326"/>
      <c r="J458" s="350"/>
      <c r="K458" s="342"/>
      <c r="L458" s="342"/>
      <c r="M458" s="343"/>
      <c r="N458" s="343"/>
      <c r="O458" s="343"/>
      <c r="P458" s="343"/>
      <c r="Q458" s="343"/>
      <c r="R458" s="343"/>
      <c r="S458" s="343"/>
    </row>
    <row r="459" spans="1:19" x14ac:dyDescent="0.2">
      <c r="A459" s="332"/>
      <c r="B459" s="332"/>
      <c r="C459" s="333"/>
      <c r="D459" s="333"/>
      <c r="E459" s="333"/>
      <c r="F459" s="333"/>
      <c r="G459" s="333"/>
      <c r="H459" s="333"/>
      <c r="I459" s="333"/>
      <c r="J459" s="350"/>
      <c r="K459" s="342"/>
      <c r="L459" s="342"/>
      <c r="M459" s="343"/>
      <c r="N459" s="343"/>
      <c r="O459" s="343"/>
      <c r="P459" s="343"/>
      <c r="Q459" s="343"/>
      <c r="R459" s="343"/>
      <c r="S459" s="343"/>
    </row>
    <row r="460" spans="1:19" x14ac:dyDescent="0.2">
      <c r="A460" s="800" t="s">
        <v>692</v>
      </c>
      <c r="B460" s="800"/>
      <c r="C460" s="800"/>
      <c r="D460" s="800"/>
      <c r="E460" s="800"/>
      <c r="F460" s="800"/>
      <c r="G460" s="800"/>
      <c r="H460" s="800"/>
      <c r="I460" s="801"/>
      <c r="J460" s="350"/>
      <c r="K460" s="342"/>
      <c r="L460" s="342"/>
      <c r="M460" s="343"/>
      <c r="N460" s="343"/>
      <c r="O460" s="343"/>
      <c r="P460" s="343"/>
      <c r="Q460" s="343"/>
      <c r="R460" s="343"/>
      <c r="S460" s="343"/>
    </row>
    <row r="461" spans="1:19" x14ac:dyDescent="0.2">
      <c r="A461" s="329" t="s">
        <v>504</v>
      </c>
      <c r="B461" s="329" t="s">
        <v>641</v>
      </c>
      <c r="C461" s="330" t="s">
        <v>642</v>
      </c>
      <c r="D461" s="330" t="s">
        <v>643</v>
      </c>
      <c r="E461" s="330" t="s">
        <v>644</v>
      </c>
      <c r="F461" s="330" t="s">
        <v>645</v>
      </c>
      <c r="G461" s="330" t="s">
        <v>646</v>
      </c>
      <c r="H461" s="330" t="s">
        <v>647</v>
      </c>
      <c r="I461" s="330" t="s">
        <v>648</v>
      </c>
      <c r="J461" s="350"/>
      <c r="K461" s="342"/>
      <c r="L461" s="342"/>
      <c r="M461" s="343"/>
      <c r="N461" s="343"/>
      <c r="O461" s="343"/>
      <c r="P461" s="343"/>
      <c r="Q461" s="343"/>
      <c r="R461" s="343"/>
      <c r="S461" s="343"/>
    </row>
    <row r="462" spans="1:19" x14ac:dyDescent="0.2">
      <c r="A462" s="324">
        <v>7</v>
      </c>
      <c r="B462" s="324">
        <v>14</v>
      </c>
      <c r="C462" s="326">
        <v>58.329000000000001</v>
      </c>
      <c r="D462" s="326">
        <v>58.5</v>
      </c>
      <c r="E462" s="326">
        <v>4.508</v>
      </c>
      <c r="F462" s="326">
        <v>66.3</v>
      </c>
      <c r="G462" s="326">
        <v>50.9</v>
      </c>
      <c r="H462" s="326">
        <f t="shared" si="28"/>
        <v>60.690434809940768</v>
      </c>
      <c r="I462" s="326">
        <f t="shared" si="29"/>
        <v>55.967565190059233</v>
      </c>
      <c r="J462" s="350"/>
      <c r="K462" s="342"/>
      <c r="L462" s="342"/>
      <c r="M462" s="343"/>
      <c r="N462" s="343"/>
      <c r="O462" s="343"/>
      <c r="P462" s="343"/>
      <c r="Q462" s="343"/>
      <c r="R462" s="343"/>
      <c r="S462" s="343"/>
    </row>
    <row r="463" spans="1:19" x14ac:dyDescent="0.2">
      <c r="A463" s="329">
        <v>8</v>
      </c>
      <c r="B463" s="329">
        <v>39</v>
      </c>
      <c r="C463" s="330">
        <v>60.505000000000003</v>
      </c>
      <c r="D463" s="330">
        <v>57</v>
      </c>
      <c r="E463" s="330">
        <v>7.7949999999999999</v>
      </c>
      <c r="F463" s="330">
        <v>79.599999999999994</v>
      </c>
      <c r="G463" s="330">
        <v>52.1</v>
      </c>
      <c r="H463" s="330">
        <f t="shared" si="28"/>
        <v>62.951469959464887</v>
      </c>
      <c r="I463" s="330">
        <f t="shared" si="29"/>
        <v>58.058530040535118</v>
      </c>
      <c r="J463" s="350"/>
      <c r="K463" s="342"/>
      <c r="L463" s="342"/>
      <c r="M463" s="343"/>
      <c r="N463" s="343"/>
      <c r="O463" s="343"/>
      <c r="P463" s="343"/>
      <c r="Q463" s="343"/>
      <c r="R463" s="343"/>
      <c r="S463" s="343"/>
    </row>
    <row r="464" spans="1:19" x14ac:dyDescent="0.2">
      <c r="A464" s="324">
        <v>9</v>
      </c>
      <c r="B464" s="324">
        <v>57</v>
      </c>
      <c r="C464" s="326">
        <v>59.947000000000003</v>
      </c>
      <c r="D464" s="326">
        <v>58.3</v>
      </c>
      <c r="E464" s="326">
        <v>6.8639999999999999</v>
      </c>
      <c r="F464" s="326">
        <v>89.3</v>
      </c>
      <c r="G464" s="326">
        <v>50.6</v>
      </c>
      <c r="H464" s="326">
        <f t="shared" si="28"/>
        <v>61.72895165938332</v>
      </c>
      <c r="I464" s="326">
        <f t="shared" si="29"/>
        <v>58.165048340616686</v>
      </c>
      <c r="J464" s="350"/>
      <c r="K464" s="351"/>
      <c r="L464" s="342"/>
      <c r="M464" s="343"/>
      <c r="N464" s="343"/>
      <c r="O464" s="343"/>
      <c r="P464" s="343"/>
      <c r="Q464" s="343"/>
      <c r="R464" s="343"/>
      <c r="S464" s="343"/>
    </row>
    <row r="465" spans="1:19" x14ac:dyDescent="0.2">
      <c r="A465" s="329">
        <v>10</v>
      </c>
      <c r="B465" s="329">
        <v>66</v>
      </c>
      <c r="C465" s="330">
        <v>62.609000000000002</v>
      </c>
      <c r="D465" s="330">
        <v>60.9</v>
      </c>
      <c r="E465" s="330">
        <v>7.7290000000000001</v>
      </c>
      <c r="F465" s="330">
        <v>85</v>
      </c>
      <c r="G465" s="330">
        <v>51.1</v>
      </c>
      <c r="H465" s="330">
        <f t="shared" si="28"/>
        <v>64.473693302207352</v>
      </c>
      <c r="I465" s="330">
        <f t="shared" si="29"/>
        <v>60.744306697792645</v>
      </c>
      <c r="J465" s="350"/>
      <c r="K465" s="342"/>
      <c r="L465" s="342"/>
      <c r="M465" s="343"/>
      <c r="N465" s="343"/>
      <c r="O465" s="343"/>
      <c r="P465" s="343"/>
      <c r="Q465" s="343"/>
      <c r="R465" s="343"/>
      <c r="S465" s="343"/>
    </row>
    <row r="466" spans="1:19" x14ac:dyDescent="0.2">
      <c r="A466" s="329">
        <v>11</v>
      </c>
      <c r="B466" s="329">
        <v>55</v>
      </c>
      <c r="C466" s="330">
        <v>64.602000000000004</v>
      </c>
      <c r="D466" s="330">
        <v>63.3</v>
      </c>
      <c r="E466" s="330">
        <v>7.8049999999999997</v>
      </c>
      <c r="F466" s="330">
        <v>92</v>
      </c>
      <c r="G466" s="330">
        <v>53.8</v>
      </c>
      <c r="H466" s="330">
        <f t="shared" si="28"/>
        <v>66.664754931198047</v>
      </c>
      <c r="I466" s="330">
        <f t="shared" si="29"/>
        <v>62.539245068801968</v>
      </c>
      <c r="J466" s="350"/>
      <c r="K466" s="342"/>
      <c r="L466" s="342"/>
      <c r="M466" s="343"/>
      <c r="N466" s="343"/>
      <c r="O466" s="343"/>
      <c r="P466" s="343"/>
      <c r="Q466" s="343"/>
      <c r="R466" s="343"/>
      <c r="S466" s="343"/>
    </row>
    <row r="467" spans="1:19" x14ac:dyDescent="0.2">
      <c r="A467" s="324">
        <v>12</v>
      </c>
      <c r="B467" s="324">
        <v>35</v>
      </c>
      <c r="C467" s="326">
        <v>66.760000000000005</v>
      </c>
      <c r="D467" s="326">
        <v>64.599999999999994</v>
      </c>
      <c r="E467" s="326">
        <v>8.7720000000000002</v>
      </c>
      <c r="F467" s="326">
        <v>99.6</v>
      </c>
      <c r="G467" s="326">
        <v>55.9</v>
      </c>
      <c r="H467" s="326">
        <f t="shared" si="28"/>
        <v>69.666167704011599</v>
      </c>
      <c r="I467" s="326">
        <f t="shared" si="29"/>
        <v>63.853832295988411</v>
      </c>
      <c r="J467" s="350"/>
      <c r="K467" s="342"/>
      <c r="L467" s="342"/>
      <c r="M467" s="343"/>
      <c r="N467" s="343"/>
      <c r="O467" s="343"/>
      <c r="P467" s="343"/>
      <c r="Q467" s="343"/>
      <c r="R467" s="343"/>
      <c r="S467" s="343"/>
    </row>
    <row r="468" spans="1:19" x14ac:dyDescent="0.2">
      <c r="A468" s="329">
        <v>13</v>
      </c>
      <c r="B468" s="329">
        <v>64</v>
      </c>
      <c r="C468" s="330">
        <v>68.141999999999996</v>
      </c>
      <c r="D468" s="330">
        <v>67.099999999999994</v>
      </c>
      <c r="E468" s="330">
        <v>6.1749999999999998</v>
      </c>
      <c r="F468" s="330">
        <v>89.4</v>
      </c>
      <c r="G468" s="330">
        <v>56.8</v>
      </c>
      <c r="H468" s="330">
        <f t="shared" si="28"/>
        <v>69.65487499999999</v>
      </c>
      <c r="I468" s="330">
        <f t="shared" si="29"/>
        <v>66.629125000000002</v>
      </c>
      <c r="J468" s="350"/>
      <c r="K468" s="342"/>
      <c r="L468" s="342"/>
      <c r="M468" s="343"/>
      <c r="N468" s="343"/>
      <c r="O468" s="343"/>
      <c r="P468" s="343"/>
      <c r="Q468" s="343"/>
      <c r="R468" s="343"/>
      <c r="S468" s="343"/>
    </row>
    <row r="469" spans="1:19" x14ac:dyDescent="0.2">
      <c r="A469" s="324">
        <v>14</v>
      </c>
      <c r="B469" s="324">
        <v>87</v>
      </c>
      <c r="C469" s="326">
        <v>72.010999999999996</v>
      </c>
      <c r="D469" s="326">
        <v>70.5</v>
      </c>
      <c r="E469" s="326">
        <v>8.5090000000000003</v>
      </c>
      <c r="F469" s="326">
        <v>114.1</v>
      </c>
      <c r="G469" s="326">
        <v>55.4</v>
      </c>
      <c r="H469" s="326">
        <f t="shared" si="28"/>
        <v>73.799030689551216</v>
      </c>
      <c r="I469" s="326">
        <f t="shared" si="29"/>
        <v>70.222969310448775</v>
      </c>
      <c r="J469" s="350"/>
      <c r="K469" s="342"/>
      <c r="L469" s="342"/>
      <c r="M469" s="343"/>
      <c r="N469" s="343"/>
      <c r="O469" s="343"/>
      <c r="P469" s="343"/>
      <c r="Q469" s="343"/>
      <c r="R469" s="343"/>
      <c r="S469" s="343"/>
    </row>
    <row r="470" spans="1:19" x14ac:dyDescent="0.2">
      <c r="A470" s="329">
        <v>15</v>
      </c>
      <c r="B470" s="329">
        <v>70</v>
      </c>
      <c r="C470" s="330">
        <v>73.39</v>
      </c>
      <c r="D470" s="330">
        <v>71.75</v>
      </c>
      <c r="E470" s="330">
        <v>8.0229999999999997</v>
      </c>
      <c r="F470" s="330">
        <v>103.7</v>
      </c>
      <c r="G470" s="330">
        <v>59.4</v>
      </c>
      <c r="H470" s="330">
        <f t="shared" si="28"/>
        <v>75.269506550007208</v>
      </c>
      <c r="I470" s="330">
        <f t="shared" si="29"/>
        <v>71.510493449992794</v>
      </c>
      <c r="J470" s="350"/>
      <c r="K470" s="342"/>
      <c r="L470" s="342"/>
      <c r="M470" s="343"/>
      <c r="N470" s="343"/>
      <c r="O470" s="343"/>
      <c r="P470" s="343"/>
      <c r="Q470" s="343"/>
      <c r="R470" s="343"/>
      <c r="S470" s="343"/>
    </row>
    <row r="471" spans="1:19" x14ac:dyDescent="0.2">
      <c r="A471" s="324">
        <v>16</v>
      </c>
      <c r="B471" s="324">
        <v>38</v>
      </c>
      <c r="C471" s="326">
        <v>75.268000000000001</v>
      </c>
      <c r="D471" s="326">
        <v>72.25</v>
      </c>
      <c r="E471" s="326">
        <v>10.225</v>
      </c>
      <c r="F471" s="326">
        <v>112.9</v>
      </c>
      <c r="G471" s="326">
        <v>64.5</v>
      </c>
      <c r="H471" s="326">
        <f t="shared" si="28"/>
        <v>78.519079500881617</v>
      </c>
      <c r="I471" s="326">
        <f t="shared" si="29"/>
        <v>72.016920499118385</v>
      </c>
      <c r="J471" s="350"/>
      <c r="K471" s="342"/>
      <c r="L471" s="342"/>
      <c r="M471" s="343"/>
      <c r="N471" s="343"/>
      <c r="O471" s="343"/>
      <c r="P471" s="343"/>
      <c r="Q471" s="343"/>
      <c r="R471" s="343"/>
      <c r="S471" s="343"/>
    </row>
    <row r="472" spans="1:19" x14ac:dyDescent="0.2">
      <c r="A472" s="329">
        <v>17</v>
      </c>
      <c r="B472" s="329">
        <v>30</v>
      </c>
      <c r="C472" s="330">
        <v>77.716999999999999</v>
      </c>
      <c r="D472" s="330">
        <v>75.349999999999994</v>
      </c>
      <c r="E472" s="330">
        <v>9.5470000000000006</v>
      </c>
      <c r="F472" s="330">
        <v>103.1</v>
      </c>
      <c r="G472" s="330">
        <v>64.5</v>
      </c>
      <c r="H472" s="330">
        <f t="shared" si="28"/>
        <v>81.133350074247858</v>
      </c>
      <c r="I472" s="330">
        <f t="shared" si="29"/>
        <v>74.30064992575214</v>
      </c>
      <c r="J472" s="350"/>
      <c r="K472" s="342"/>
      <c r="L472" s="342"/>
      <c r="M472" s="343"/>
      <c r="N472" s="343"/>
      <c r="O472" s="343"/>
      <c r="P472" s="343"/>
      <c r="Q472" s="343"/>
      <c r="R472" s="343"/>
      <c r="S472" s="343"/>
    </row>
    <row r="473" spans="1:19" x14ac:dyDescent="0.2">
      <c r="A473" s="324">
        <v>18</v>
      </c>
      <c r="B473" s="324">
        <v>21</v>
      </c>
      <c r="C473" s="326">
        <v>75.370999999999995</v>
      </c>
      <c r="D473" s="326">
        <v>74.2</v>
      </c>
      <c r="E473" s="326">
        <v>5.0510000000000002</v>
      </c>
      <c r="F473" s="326">
        <v>86.8</v>
      </c>
      <c r="G473" s="326">
        <v>65.900000000000006</v>
      </c>
      <c r="H473" s="326">
        <f t="shared" si="28"/>
        <v>77.531348384620713</v>
      </c>
      <c r="I473" s="326">
        <f t="shared" si="29"/>
        <v>73.210651615379277</v>
      </c>
      <c r="J473" s="350"/>
      <c r="K473" s="342"/>
      <c r="L473" s="342"/>
      <c r="M473" s="343"/>
      <c r="N473" s="343"/>
      <c r="O473" s="343"/>
      <c r="P473" s="343"/>
      <c r="Q473" s="343"/>
      <c r="R473" s="343"/>
      <c r="S473" s="343"/>
    </row>
    <row r="474" spans="1:19" x14ac:dyDescent="0.2">
      <c r="A474" s="329">
        <v>19</v>
      </c>
      <c r="B474" s="329">
        <v>7</v>
      </c>
      <c r="C474" s="330">
        <v>83.6</v>
      </c>
      <c r="D474" s="330">
        <v>74.5</v>
      </c>
      <c r="E474" s="330">
        <v>15.913</v>
      </c>
      <c r="F474" s="330">
        <v>105.9</v>
      </c>
      <c r="G474" s="330">
        <v>67.599999999999994</v>
      </c>
      <c r="H474" s="330">
        <f t="shared" si="28"/>
        <v>95.388515371631826</v>
      </c>
      <c r="I474" s="330">
        <f t="shared" si="29"/>
        <v>71.811484628368163</v>
      </c>
      <c r="J474" s="350"/>
      <c r="K474" s="342"/>
      <c r="L474" s="342"/>
      <c r="M474" s="343"/>
      <c r="N474" s="343"/>
      <c r="O474" s="343"/>
      <c r="P474" s="343"/>
      <c r="Q474" s="343"/>
      <c r="R474" s="343"/>
      <c r="S474" s="343"/>
    </row>
    <row r="475" spans="1:19" x14ac:dyDescent="0.2">
      <c r="A475" s="324"/>
      <c r="B475" s="324"/>
      <c r="C475" s="326"/>
      <c r="D475" s="326"/>
      <c r="E475" s="326"/>
      <c r="F475" s="326"/>
      <c r="G475" s="326"/>
      <c r="H475" s="326"/>
      <c r="I475" s="326"/>
      <c r="J475" s="350"/>
      <c r="K475" s="342"/>
      <c r="L475" s="342"/>
      <c r="M475" s="343"/>
      <c r="N475" s="343"/>
      <c r="O475" s="343"/>
      <c r="P475" s="343"/>
      <c r="Q475" s="343"/>
      <c r="R475" s="343"/>
      <c r="S475" s="343"/>
    </row>
    <row r="476" spans="1:19" x14ac:dyDescent="0.2">
      <c r="A476" s="342"/>
      <c r="B476" s="342"/>
      <c r="C476" s="343"/>
      <c r="D476" s="343"/>
      <c r="E476" s="343"/>
      <c r="F476" s="343"/>
      <c r="G476" s="343"/>
      <c r="H476" s="343"/>
      <c r="I476" s="343"/>
      <c r="J476" s="350"/>
      <c r="K476" s="342"/>
      <c r="L476" s="342"/>
      <c r="M476" s="343"/>
      <c r="N476" s="343"/>
      <c r="O476" s="343"/>
      <c r="P476" s="343"/>
      <c r="Q476" s="343"/>
      <c r="R476" s="343"/>
      <c r="S476" s="343"/>
    </row>
    <row r="477" spans="1:19" x14ac:dyDescent="0.2">
      <c r="A477" s="800" t="s">
        <v>693</v>
      </c>
      <c r="B477" s="800"/>
      <c r="C477" s="800"/>
      <c r="D477" s="800"/>
      <c r="E477" s="800"/>
      <c r="F477" s="800"/>
      <c r="G477" s="800"/>
      <c r="H477" s="800"/>
      <c r="I477" s="801"/>
      <c r="J477" s="350"/>
      <c r="K477" s="342"/>
      <c r="L477" s="342"/>
      <c r="M477" s="343"/>
      <c r="N477" s="343"/>
      <c r="O477" s="343"/>
      <c r="P477" s="343"/>
      <c r="Q477" s="343"/>
      <c r="R477" s="343"/>
      <c r="S477" s="343"/>
    </row>
    <row r="478" spans="1:19" x14ac:dyDescent="0.2">
      <c r="A478" s="329" t="s">
        <v>504</v>
      </c>
      <c r="B478" s="329" t="s">
        <v>641</v>
      </c>
      <c r="C478" s="330" t="s">
        <v>642</v>
      </c>
      <c r="D478" s="330" t="s">
        <v>643</v>
      </c>
      <c r="E478" s="330" t="s">
        <v>644</v>
      </c>
      <c r="F478" s="330" t="s">
        <v>645</v>
      </c>
      <c r="G478" s="330" t="s">
        <v>646</v>
      </c>
      <c r="H478" s="330" t="s">
        <v>647</v>
      </c>
      <c r="I478" s="330" t="s">
        <v>648</v>
      </c>
      <c r="J478" s="350"/>
      <c r="K478" s="342"/>
      <c r="L478" s="342"/>
      <c r="M478" s="343"/>
      <c r="N478" s="343"/>
      <c r="O478" s="343"/>
      <c r="P478" s="343"/>
      <c r="Q478" s="343"/>
      <c r="R478" s="343"/>
      <c r="S478" s="343"/>
    </row>
    <row r="479" spans="1:19" x14ac:dyDescent="0.2">
      <c r="A479" s="329">
        <v>7</v>
      </c>
      <c r="B479" s="329">
        <v>14</v>
      </c>
      <c r="C479" s="330">
        <v>69.028999999999996</v>
      </c>
      <c r="D479" s="330">
        <v>67.599999999999994</v>
      </c>
      <c r="E479" s="330">
        <v>5.9980000000000002</v>
      </c>
      <c r="F479" s="330">
        <v>80.900000000000006</v>
      </c>
      <c r="G479" s="330">
        <v>61.7</v>
      </c>
      <c r="H479" s="330">
        <f t="shared" si="28"/>
        <v>72.170944540821807</v>
      </c>
      <c r="I479" s="330">
        <f t="shared" si="29"/>
        <v>65.887055459178185</v>
      </c>
      <c r="J479" s="350"/>
      <c r="K479" s="342"/>
      <c r="L479" s="342"/>
      <c r="M479" s="343"/>
      <c r="N479" s="343"/>
      <c r="O479" s="343"/>
      <c r="P479" s="343"/>
      <c r="Q479" s="343"/>
      <c r="R479" s="343"/>
      <c r="S479" s="343"/>
    </row>
    <row r="480" spans="1:19" x14ac:dyDescent="0.2">
      <c r="A480" s="324">
        <v>8</v>
      </c>
      <c r="B480" s="324">
        <v>39</v>
      </c>
      <c r="C480" s="326">
        <v>71.09</v>
      </c>
      <c r="D480" s="326">
        <v>68.8</v>
      </c>
      <c r="E480" s="326">
        <v>8.3000000000000007</v>
      </c>
      <c r="F480" s="326">
        <v>87.2</v>
      </c>
      <c r="G480" s="326">
        <v>59.6</v>
      </c>
      <c r="H480" s="326">
        <f t="shared" si="28"/>
        <v>73.694964806101154</v>
      </c>
      <c r="I480" s="326">
        <f t="shared" si="29"/>
        <v>68.485035193898852</v>
      </c>
      <c r="J480" s="350"/>
      <c r="K480" s="351"/>
      <c r="L480" s="342"/>
      <c r="M480" s="343"/>
      <c r="N480" s="343"/>
      <c r="O480" s="343"/>
      <c r="P480" s="343"/>
      <c r="Q480" s="343"/>
      <c r="R480" s="343"/>
      <c r="S480" s="343"/>
    </row>
    <row r="481" spans="1:19" x14ac:dyDescent="0.2">
      <c r="A481" s="329">
        <v>9</v>
      </c>
      <c r="B481" s="329">
        <v>57</v>
      </c>
      <c r="C481" s="330">
        <v>70.863</v>
      </c>
      <c r="D481" s="330">
        <v>69.400000000000006</v>
      </c>
      <c r="E481" s="330">
        <v>6.8230000000000004</v>
      </c>
      <c r="F481" s="330">
        <v>94.4</v>
      </c>
      <c r="G481" s="330">
        <v>60.5</v>
      </c>
      <c r="H481" s="330">
        <f t="shared" si="28"/>
        <v>72.634307717361935</v>
      </c>
      <c r="I481" s="330">
        <f t="shared" si="29"/>
        <v>69.091692282638064</v>
      </c>
      <c r="J481" s="350"/>
      <c r="K481" s="342"/>
      <c r="L481" s="342"/>
      <c r="M481" s="343"/>
      <c r="N481" s="343"/>
      <c r="O481" s="343"/>
      <c r="P481" s="343"/>
      <c r="Q481" s="343"/>
      <c r="R481" s="343"/>
      <c r="S481" s="343"/>
    </row>
    <row r="482" spans="1:19" x14ac:dyDescent="0.2">
      <c r="A482" s="324">
        <v>10</v>
      </c>
      <c r="B482" s="324">
        <v>66</v>
      </c>
      <c r="C482" s="326">
        <v>73.918000000000006</v>
      </c>
      <c r="D482" s="326">
        <v>71.5</v>
      </c>
      <c r="E482" s="326">
        <v>8.3209999999999997</v>
      </c>
      <c r="F482" s="326">
        <v>96.7</v>
      </c>
      <c r="G482" s="326">
        <v>61.2</v>
      </c>
      <c r="H482" s="326">
        <f t="shared" si="28"/>
        <v>75.925518821020503</v>
      </c>
      <c r="I482" s="326">
        <f t="shared" si="29"/>
        <v>71.910481178979509</v>
      </c>
      <c r="J482" s="350"/>
      <c r="K482" s="342"/>
      <c r="L482" s="342"/>
      <c r="M482" s="343"/>
      <c r="N482" s="343"/>
      <c r="O482" s="343"/>
      <c r="P482" s="343"/>
      <c r="Q482" s="343"/>
      <c r="R482" s="343"/>
      <c r="S482" s="343"/>
    </row>
    <row r="483" spans="1:19" x14ac:dyDescent="0.2">
      <c r="A483" s="329">
        <v>11</v>
      </c>
      <c r="B483" s="329">
        <v>55</v>
      </c>
      <c r="C483" s="330">
        <v>77.712999999999994</v>
      </c>
      <c r="D483" s="330">
        <v>76.5</v>
      </c>
      <c r="E483" s="330">
        <v>8.9489999999999998</v>
      </c>
      <c r="F483" s="330">
        <v>105.7</v>
      </c>
      <c r="G483" s="330">
        <v>63</v>
      </c>
      <c r="H483" s="330">
        <f t="shared" si="28"/>
        <v>80.078098511119947</v>
      </c>
      <c r="I483" s="330">
        <f t="shared" si="29"/>
        <v>75.347901488880041</v>
      </c>
      <c r="J483" s="350"/>
      <c r="K483" s="342"/>
      <c r="L483" s="342"/>
      <c r="M483" s="343"/>
      <c r="N483" s="343"/>
      <c r="O483" s="343"/>
      <c r="P483" s="343"/>
      <c r="Q483" s="343"/>
      <c r="R483" s="343"/>
      <c r="S483" s="343"/>
    </row>
    <row r="484" spans="1:19" x14ac:dyDescent="0.2">
      <c r="A484" s="324">
        <v>12</v>
      </c>
      <c r="B484" s="324">
        <v>34</v>
      </c>
      <c r="C484" s="326">
        <v>82.659000000000006</v>
      </c>
      <c r="D484" s="326">
        <v>79</v>
      </c>
      <c r="E484" s="326">
        <v>10.301</v>
      </c>
      <c r="F484" s="326">
        <v>115</v>
      </c>
      <c r="G484" s="326">
        <v>71.7</v>
      </c>
      <c r="H484" s="326">
        <f t="shared" si="28"/>
        <v>86.121549574083858</v>
      </c>
      <c r="I484" s="326">
        <f t="shared" si="29"/>
        <v>79.196450425916154</v>
      </c>
      <c r="J484" s="350"/>
      <c r="K484" s="342"/>
      <c r="L484" s="342"/>
      <c r="M484" s="343"/>
      <c r="N484" s="343"/>
      <c r="O484" s="343"/>
      <c r="P484" s="343"/>
      <c r="Q484" s="343"/>
      <c r="R484" s="343"/>
      <c r="S484" s="343"/>
    </row>
    <row r="485" spans="1:19" x14ac:dyDescent="0.2">
      <c r="A485" s="329">
        <v>13</v>
      </c>
      <c r="B485" s="329">
        <v>64</v>
      </c>
      <c r="C485" s="330">
        <v>84.951999999999998</v>
      </c>
      <c r="D485" s="330">
        <v>84.95</v>
      </c>
      <c r="E485" s="330">
        <v>7.9320000000000004</v>
      </c>
      <c r="F485" s="330">
        <v>104.5</v>
      </c>
      <c r="G485" s="330">
        <v>67.7</v>
      </c>
      <c r="H485" s="330">
        <f t="shared" si="28"/>
        <v>86.895340000000004</v>
      </c>
      <c r="I485" s="330">
        <f t="shared" si="29"/>
        <v>83.008659999999992</v>
      </c>
      <c r="J485" s="350"/>
      <c r="K485" s="342"/>
      <c r="L485" s="342"/>
      <c r="M485" s="343"/>
      <c r="N485" s="343"/>
      <c r="O485" s="343"/>
      <c r="P485" s="343"/>
      <c r="Q485" s="343"/>
      <c r="R485" s="343"/>
      <c r="S485" s="343"/>
    </row>
    <row r="486" spans="1:19" x14ac:dyDescent="0.2">
      <c r="A486" s="324">
        <v>14</v>
      </c>
      <c r="B486" s="324">
        <v>87</v>
      </c>
      <c r="C486" s="326">
        <v>88.414000000000001</v>
      </c>
      <c r="D486" s="326">
        <v>86.8</v>
      </c>
      <c r="E486" s="326">
        <v>9.8260000000000005</v>
      </c>
      <c r="F486" s="326">
        <v>134.69999999999999</v>
      </c>
      <c r="G486" s="326">
        <v>67.5</v>
      </c>
      <c r="H486" s="326">
        <f t="shared" si="28"/>
        <v>90.478777242393974</v>
      </c>
      <c r="I486" s="326">
        <f t="shared" si="29"/>
        <v>86.349222757606029</v>
      </c>
      <c r="J486" s="350"/>
      <c r="K486" s="342"/>
      <c r="L486" s="342"/>
      <c r="M486" s="343"/>
      <c r="N486" s="343"/>
      <c r="O486" s="343"/>
      <c r="P486" s="343"/>
      <c r="Q486" s="343"/>
      <c r="R486" s="343"/>
      <c r="S486" s="343"/>
    </row>
    <row r="487" spans="1:19" x14ac:dyDescent="0.2">
      <c r="A487" s="329">
        <v>15</v>
      </c>
      <c r="B487" s="329">
        <v>70</v>
      </c>
      <c r="C487" s="330">
        <v>91.08</v>
      </c>
      <c r="D487" s="330">
        <v>89.65</v>
      </c>
      <c r="E487" s="330">
        <v>8.6029999999999998</v>
      </c>
      <c r="F487" s="330">
        <v>123</v>
      </c>
      <c r="G487" s="330">
        <v>77.5</v>
      </c>
      <c r="H487" s="330">
        <f t="shared" si="28"/>
        <v>93.095380138316344</v>
      </c>
      <c r="I487" s="330">
        <f t="shared" si="29"/>
        <v>89.064619861683653</v>
      </c>
      <c r="J487" s="350"/>
      <c r="K487" s="342"/>
      <c r="L487" s="342"/>
      <c r="M487" s="343"/>
      <c r="N487" s="343"/>
      <c r="O487" s="343"/>
      <c r="P487" s="343"/>
      <c r="Q487" s="343"/>
      <c r="R487" s="343"/>
      <c r="S487" s="343"/>
    </row>
    <row r="488" spans="1:19" x14ac:dyDescent="0.2">
      <c r="A488" s="324">
        <v>16</v>
      </c>
      <c r="B488" s="324">
        <v>38</v>
      </c>
      <c r="C488" s="326">
        <v>92.644999999999996</v>
      </c>
      <c r="D488" s="326">
        <v>90.55</v>
      </c>
      <c r="E488" s="326">
        <v>9.4540000000000006</v>
      </c>
      <c r="F488" s="326">
        <v>125.7</v>
      </c>
      <c r="G488" s="326">
        <v>79.2</v>
      </c>
      <c r="H488" s="326">
        <f t="shared" si="28"/>
        <v>95.650936978125642</v>
      </c>
      <c r="I488" s="326">
        <f t="shared" si="29"/>
        <v>89.63906302187435</v>
      </c>
      <c r="J488" s="350"/>
      <c r="K488" s="342"/>
      <c r="L488" s="342"/>
      <c r="M488" s="343"/>
      <c r="N488" s="343"/>
      <c r="O488" s="343"/>
      <c r="P488" s="343"/>
      <c r="Q488" s="343"/>
      <c r="R488" s="343"/>
      <c r="S488" s="343"/>
    </row>
    <row r="489" spans="1:19" x14ac:dyDescent="0.2">
      <c r="A489" s="329">
        <v>17</v>
      </c>
      <c r="B489" s="329">
        <v>30</v>
      </c>
      <c r="C489" s="330">
        <v>95.91</v>
      </c>
      <c r="D489" s="330">
        <v>92.6</v>
      </c>
      <c r="E489" s="330">
        <v>9.6199999999999992</v>
      </c>
      <c r="F489" s="330">
        <v>114.2</v>
      </c>
      <c r="G489" s="330">
        <v>83</v>
      </c>
      <c r="H489" s="330">
        <f t="shared" si="28"/>
        <v>99.352472788757126</v>
      </c>
      <c r="I489" s="330">
        <f t="shared" si="29"/>
        <v>92.467527211242867</v>
      </c>
      <c r="J489" s="350"/>
      <c r="K489" s="342"/>
      <c r="L489" s="342"/>
      <c r="M489" s="343"/>
      <c r="N489" s="343"/>
      <c r="O489" s="343"/>
      <c r="P489" s="343"/>
      <c r="Q489" s="343"/>
      <c r="R489" s="343"/>
      <c r="S489" s="343"/>
    </row>
    <row r="490" spans="1:19" x14ac:dyDescent="0.2">
      <c r="A490" s="324">
        <v>18</v>
      </c>
      <c r="B490" s="324">
        <v>21</v>
      </c>
      <c r="C490" s="326">
        <v>93.79</v>
      </c>
      <c r="D490" s="326">
        <v>93</v>
      </c>
      <c r="E490" s="326">
        <v>4.9580000000000002</v>
      </c>
      <c r="F490" s="326">
        <v>104.8</v>
      </c>
      <c r="G490" s="326">
        <v>87.4</v>
      </c>
      <c r="H490" s="326">
        <f t="shared" si="28"/>
        <v>95.91057162758851</v>
      </c>
      <c r="I490" s="326">
        <f t="shared" si="29"/>
        <v>91.669428372411502</v>
      </c>
      <c r="J490" s="350"/>
      <c r="K490" s="342"/>
      <c r="L490" s="342"/>
      <c r="M490" s="343"/>
      <c r="N490" s="343"/>
      <c r="O490" s="343"/>
      <c r="P490" s="343"/>
      <c r="Q490" s="343"/>
      <c r="R490" s="343"/>
      <c r="S490" s="343"/>
    </row>
    <row r="491" spans="1:19" x14ac:dyDescent="0.2">
      <c r="A491" s="329">
        <v>19</v>
      </c>
      <c r="B491" s="329">
        <v>7</v>
      </c>
      <c r="C491" s="330">
        <v>98.3</v>
      </c>
      <c r="D491" s="330">
        <v>97.9</v>
      </c>
      <c r="E491" s="330">
        <v>11.997</v>
      </c>
      <c r="F491" s="330">
        <v>114</v>
      </c>
      <c r="G491" s="330">
        <v>81</v>
      </c>
      <c r="H491" s="330">
        <f t="shared" si="28"/>
        <v>107.18750197407573</v>
      </c>
      <c r="I491" s="330">
        <f t="shared" si="29"/>
        <v>89.412498025924265</v>
      </c>
      <c r="J491" s="350"/>
      <c r="K491" s="342"/>
      <c r="L491" s="342"/>
      <c r="M491" s="343"/>
      <c r="N491" s="343"/>
      <c r="O491" s="343"/>
      <c r="P491" s="343"/>
      <c r="Q491" s="343"/>
      <c r="R491" s="343"/>
      <c r="S491" s="343"/>
    </row>
    <row r="492" spans="1:19" x14ac:dyDescent="0.2">
      <c r="A492" s="329"/>
      <c r="B492" s="329"/>
      <c r="C492" s="330"/>
      <c r="D492" s="330"/>
      <c r="E492" s="330"/>
      <c r="F492" s="330"/>
      <c r="G492" s="330"/>
      <c r="H492" s="330"/>
      <c r="I492" s="330"/>
      <c r="J492" s="350"/>
      <c r="K492" s="342"/>
      <c r="L492" s="342"/>
      <c r="M492" s="343"/>
      <c r="N492" s="343"/>
      <c r="O492" s="343"/>
      <c r="P492" s="343"/>
      <c r="Q492" s="343"/>
      <c r="R492" s="343"/>
      <c r="S492" s="343"/>
    </row>
    <row r="493" spans="1:19" x14ac:dyDescent="0.2">
      <c r="A493" s="324"/>
      <c r="B493" s="324"/>
      <c r="C493" s="326"/>
      <c r="D493" s="326"/>
      <c r="E493" s="326"/>
      <c r="F493" s="326"/>
      <c r="G493" s="326"/>
      <c r="H493" s="326"/>
      <c r="I493" s="326"/>
      <c r="J493" s="350"/>
      <c r="K493" s="342"/>
      <c r="L493" s="342"/>
      <c r="M493" s="343"/>
      <c r="N493" s="343"/>
      <c r="O493" s="343"/>
      <c r="P493" s="343"/>
      <c r="Q493" s="343"/>
      <c r="R493" s="343"/>
      <c r="S493" s="343"/>
    </row>
    <row r="494" spans="1:19" x14ac:dyDescent="0.2">
      <c r="A494" s="800" t="s">
        <v>694</v>
      </c>
      <c r="B494" s="800"/>
      <c r="C494" s="800"/>
      <c r="D494" s="800"/>
      <c r="E494" s="800"/>
      <c r="F494" s="800"/>
      <c r="G494" s="800"/>
      <c r="H494" s="800"/>
      <c r="I494" s="801"/>
      <c r="J494" s="350"/>
      <c r="K494" s="342"/>
      <c r="L494" s="342"/>
      <c r="M494" s="343"/>
      <c r="N494" s="343"/>
      <c r="O494" s="343"/>
      <c r="P494" s="343"/>
      <c r="Q494" s="343"/>
      <c r="R494" s="343"/>
      <c r="S494" s="343"/>
    </row>
    <row r="495" spans="1:19" x14ac:dyDescent="0.2">
      <c r="A495" s="324" t="s">
        <v>504</v>
      </c>
      <c r="B495" s="324" t="s">
        <v>641</v>
      </c>
      <c r="C495" s="326" t="s">
        <v>642</v>
      </c>
      <c r="D495" s="326" t="s">
        <v>643</v>
      </c>
      <c r="E495" s="326" t="s">
        <v>644</v>
      </c>
      <c r="F495" s="326" t="s">
        <v>645</v>
      </c>
      <c r="G495" s="326" t="s">
        <v>646</v>
      </c>
      <c r="H495" s="326" t="s">
        <v>647</v>
      </c>
      <c r="I495" s="326" t="s">
        <v>648</v>
      </c>
      <c r="J495" s="350"/>
      <c r="K495" s="342"/>
      <c r="L495" s="342"/>
      <c r="M495" s="343"/>
      <c r="N495" s="343"/>
      <c r="O495" s="343"/>
      <c r="P495" s="343"/>
      <c r="Q495" s="343"/>
      <c r="R495" s="343"/>
      <c r="S495" s="343"/>
    </row>
    <row r="496" spans="1:19" x14ac:dyDescent="0.2">
      <c r="A496" s="329">
        <v>7</v>
      </c>
      <c r="B496" s="329">
        <v>14</v>
      </c>
      <c r="C496" s="330">
        <v>40.143000000000001</v>
      </c>
      <c r="D496" s="330">
        <v>39.65</v>
      </c>
      <c r="E496" s="330">
        <v>4.6559999999999997</v>
      </c>
      <c r="F496" s="330">
        <v>49.6</v>
      </c>
      <c r="G496" s="330">
        <v>34</v>
      </c>
      <c r="H496" s="330">
        <f t="shared" si="28"/>
        <v>42.581961950994724</v>
      </c>
      <c r="I496" s="330">
        <f t="shared" si="29"/>
        <v>37.704038049005277</v>
      </c>
      <c r="J496" s="350"/>
      <c r="K496" s="351"/>
      <c r="L496" s="342"/>
      <c r="M496" s="343"/>
      <c r="N496" s="343"/>
      <c r="O496" s="343"/>
      <c r="P496" s="343"/>
      <c r="Q496" s="343"/>
      <c r="R496" s="343"/>
      <c r="S496" s="343"/>
    </row>
    <row r="497" spans="1:19" x14ac:dyDescent="0.2">
      <c r="A497" s="324">
        <v>8</v>
      </c>
      <c r="B497" s="324">
        <v>39</v>
      </c>
      <c r="C497" s="326">
        <v>41.969000000000001</v>
      </c>
      <c r="D497" s="326">
        <v>40.4</v>
      </c>
      <c r="E497" s="326">
        <v>5.6820000000000004</v>
      </c>
      <c r="F497" s="326">
        <v>52.4</v>
      </c>
      <c r="G497" s="326">
        <v>34.4</v>
      </c>
      <c r="H497" s="326">
        <f t="shared" si="28"/>
        <v>43.752302413044191</v>
      </c>
      <c r="I497" s="326">
        <f t="shared" si="29"/>
        <v>40.185697586955811</v>
      </c>
      <c r="J497" s="350"/>
      <c r="K497" s="342"/>
      <c r="L497" s="342"/>
      <c r="M497" s="343"/>
      <c r="N497" s="343"/>
      <c r="O497" s="343"/>
      <c r="P497" s="343"/>
      <c r="Q497" s="343"/>
      <c r="R497" s="343"/>
      <c r="S497" s="343"/>
    </row>
    <row r="498" spans="1:19" x14ac:dyDescent="0.2">
      <c r="A498" s="329">
        <v>9</v>
      </c>
      <c r="B498" s="329">
        <v>57</v>
      </c>
      <c r="C498" s="330">
        <v>41.567</v>
      </c>
      <c r="D498" s="330">
        <v>40.700000000000003</v>
      </c>
      <c r="E498" s="330">
        <v>4.7519999999999998</v>
      </c>
      <c r="F498" s="330">
        <v>56.7</v>
      </c>
      <c r="G498" s="330">
        <v>34</v>
      </c>
      <c r="H498" s="330">
        <f t="shared" si="28"/>
        <v>42.800658841111527</v>
      </c>
      <c r="I498" s="330">
        <f t="shared" si="29"/>
        <v>40.333341158888473</v>
      </c>
      <c r="J498" s="350"/>
      <c r="K498" s="342"/>
      <c r="L498" s="342"/>
      <c r="M498" s="343"/>
      <c r="N498" s="343"/>
      <c r="O498" s="343"/>
      <c r="P498" s="343"/>
      <c r="Q498" s="343"/>
      <c r="R498" s="343"/>
      <c r="S498" s="343"/>
    </row>
    <row r="499" spans="1:19" x14ac:dyDescent="0.2">
      <c r="A499" s="324">
        <v>10</v>
      </c>
      <c r="B499" s="324">
        <v>66</v>
      </c>
      <c r="C499" s="326">
        <v>43.911000000000001</v>
      </c>
      <c r="D499" s="326">
        <v>42.6</v>
      </c>
      <c r="E499" s="326">
        <v>5.601</v>
      </c>
      <c r="F499" s="326">
        <v>60.2</v>
      </c>
      <c r="G499" s="326">
        <v>32.700000000000003</v>
      </c>
      <c r="H499" s="326">
        <f t="shared" si="28"/>
        <v>45.262293464311476</v>
      </c>
      <c r="I499" s="326">
        <f t="shared" si="29"/>
        <v>42.559706535688527</v>
      </c>
      <c r="J499" s="350"/>
      <c r="K499" s="342"/>
      <c r="L499" s="342"/>
      <c r="M499" s="343"/>
      <c r="N499" s="343"/>
      <c r="O499" s="343"/>
      <c r="P499" s="343"/>
      <c r="Q499" s="343"/>
      <c r="R499" s="343"/>
      <c r="S499" s="343"/>
    </row>
    <row r="500" spans="1:19" x14ac:dyDescent="0.2">
      <c r="A500" s="329">
        <v>11</v>
      </c>
      <c r="B500" s="329">
        <v>55</v>
      </c>
      <c r="C500" s="330">
        <v>45.709000000000003</v>
      </c>
      <c r="D500" s="330">
        <v>45.4</v>
      </c>
      <c r="E500" s="330">
        <v>6.056</v>
      </c>
      <c r="F500" s="330">
        <v>63.5</v>
      </c>
      <c r="G500" s="330">
        <v>36</v>
      </c>
      <c r="H500" s="330">
        <f t="shared" si="28"/>
        <v>47.309518111894342</v>
      </c>
      <c r="I500" s="330">
        <f t="shared" si="29"/>
        <v>44.108481888105665</v>
      </c>
      <c r="J500" s="350"/>
      <c r="K500" s="342"/>
      <c r="L500" s="342"/>
      <c r="M500" s="343"/>
      <c r="N500" s="343"/>
      <c r="O500" s="343"/>
      <c r="P500" s="343"/>
      <c r="Q500" s="343"/>
      <c r="R500" s="343"/>
      <c r="S500" s="343"/>
    </row>
    <row r="501" spans="1:19" x14ac:dyDescent="0.2">
      <c r="A501" s="324">
        <v>12</v>
      </c>
      <c r="B501" s="324">
        <v>35</v>
      </c>
      <c r="C501" s="326">
        <v>49.246000000000002</v>
      </c>
      <c r="D501" s="326">
        <v>47.2</v>
      </c>
      <c r="E501" s="326">
        <v>7.5339999999999998</v>
      </c>
      <c r="F501" s="326">
        <v>73.400000000000006</v>
      </c>
      <c r="G501" s="326">
        <v>40.5</v>
      </c>
      <c r="H501" s="326">
        <f t="shared" si="28"/>
        <v>51.742017724808861</v>
      </c>
      <c r="I501" s="326">
        <f t="shared" si="29"/>
        <v>46.749982275191144</v>
      </c>
      <c r="J501" s="350"/>
      <c r="K501" s="342"/>
      <c r="L501" s="342"/>
      <c r="M501" s="343"/>
      <c r="N501" s="343"/>
      <c r="O501" s="343"/>
      <c r="P501" s="343"/>
      <c r="Q501" s="343"/>
      <c r="R501" s="343"/>
      <c r="S501" s="343"/>
    </row>
    <row r="502" spans="1:19" x14ac:dyDescent="0.2">
      <c r="A502" s="329">
        <v>13</v>
      </c>
      <c r="B502" s="329">
        <v>64</v>
      </c>
      <c r="C502" s="330">
        <v>50.259</v>
      </c>
      <c r="D502" s="330">
        <v>49.25</v>
      </c>
      <c r="E502" s="330">
        <v>5.6059999999999999</v>
      </c>
      <c r="F502" s="330">
        <v>65.8</v>
      </c>
      <c r="G502" s="330">
        <v>40.700000000000003</v>
      </c>
      <c r="H502" s="330">
        <f t="shared" si="28"/>
        <v>51.632469999999998</v>
      </c>
      <c r="I502" s="330">
        <f t="shared" si="29"/>
        <v>48.885530000000003</v>
      </c>
      <c r="J502" s="350"/>
      <c r="K502" s="342"/>
      <c r="L502" s="342"/>
      <c r="M502" s="343"/>
      <c r="N502" s="343"/>
      <c r="O502" s="343"/>
      <c r="P502" s="343"/>
      <c r="Q502" s="343"/>
      <c r="R502" s="343"/>
      <c r="S502" s="343"/>
    </row>
    <row r="503" spans="1:19" x14ac:dyDescent="0.2">
      <c r="A503" s="324">
        <v>14</v>
      </c>
      <c r="B503" s="324">
        <v>87</v>
      </c>
      <c r="C503" s="326">
        <v>52.343000000000004</v>
      </c>
      <c r="D503" s="326">
        <v>51.1</v>
      </c>
      <c r="E503" s="326">
        <v>6.9580000000000002</v>
      </c>
      <c r="F503" s="326">
        <v>76.8</v>
      </c>
      <c r="G503" s="326">
        <v>39.799999999999997</v>
      </c>
      <c r="H503" s="326">
        <f t="shared" si="28"/>
        <v>53.805112767410677</v>
      </c>
      <c r="I503" s="326">
        <f t="shared" si="29"/>
        <v>50.88088723258933</v>
      </c>
      <c r="J503" s="350"/>
      <c r="K503" s="342"/>
      <c r="L503" s="342"/>
      <c r="M503" s="343"/>
      <c r="N503" s="343"/>
      <c r="O503" s="343"/>
      <c r="P503" s="343"/>
      <c r="Q503" s="343"/>
      <c r="R503" s="343"/>
      <c r="S503" s="343"/>
    </row>
    <row r="504" spans="1:19" x14ac:dyDescent="0.2">
      <c r="A504" s="329">
        <v>15</v>
      </c>
      <c r="B504" s="329">
        <v>70</v>
      </c>
      <c r="C504" s="330">
        <v>53.896000000000001</v>
      </c>
      <c r="D504" s="330">
        <v>52.5</v>
      </c>
      <c r="E504" s="330">
        <v>6.1859999999999999</v>
      </c>
      <c r="F504" s="330">
        <v>75.900000000000006</v>
      </c>
      <c r="G504" s="330">
        <v>44.6</v>
      </c>
      <c r="H504" s="330">
        <f t="shared" si="28"/>
        <v>55.34516209875914</v>
      </c>
      <c r="I504" s="330">
        <f t="shared" si="29"/>
        <v>52.446837901240862</v>
      </c>
      <c r="J504" s="350"/>
      <c r="K504" s="342"/>
      <c r="L504" s="342"/>
      <c r="M504" s="343"/>
      <c r="N504" s="343"/>
      <c r="O504" s="343"/>
      <c r="P504" s="343"/>
      <c r="Q504" s="343"/>
      <c r="R504" s="343"/>
      <c r="S504" s="343"/>
    </row>
    <row r="505" spans="1:19" x14ac:dyDescent="0.2">
      <c r="A505" s="329">
        <v>16</v>
      </c>
      <c r="B505" s="329">
        <v>38</v>
      </c>
      <c r="C505" s="330">
        <v>55.152999999999999</v>
      </c>
      <c r="D505" s="330">
        <v>53.05</v>
      </c>
      <c r="E505" s="330">
        <v>7.1040000000000001</v>
      </c>
      <c r="F505" s="330">
        <v>78.3</v>
      </c>
      <c r="G505" s="330">
        <v>46.6</v>
      </c>
      <c r="H505" s="330">
        <f t="shared" si="28"/>
        <v>57.411745112397355</v>
      </c>
      <c r="I505" s="330">
        <f t="shared" si="29"/>
        <v>52.894254887602642</v>
      </c>
      <c r="J505" s="350"/>
      <c r="K505" s="342"/>
      <c r="L505" s="342"/>
      <c r="M505" s="343"/>
      <c r="N505" s="343"/>
      <c r="O505" s="343"/>
      <c r="P505" s="343"/>
      <c r="Q505" s="343"/>
      <c r="R505" s="343"/>
      <c r="S505" s="343"/>
    </row>
    <row r="506" spans="1:19" x14ac:dyDescent="0.2">
      <c r="A506" s="324">
        <v>17</v>
      </c>
      <c r="B506" s="324">
        <v>30</v>
      </c>
      <c r="C506" s="326">
        <v>57.37</v>
      </c>
      <c r="D506" s="326">
        <v>55.1</v>
      </c>
      <c r="E506" s="326">
        <v>7.2640000000000002</v>
      </c>
      <c r="F506" s="326">
        <v>71.400000000000006</v>
      </c>
      <c r="G506" s="326">
        <v>47.7</v>
      </c>
      <c r="H506" s="326">
        <f t="shared" si="28"/>
        <v>59.969389016375445</v>
      </c>
      <c r="I506" s="326">
        <f t="shared" si="29"/>
        <v>54.77061098362455</v>
      </c>
      <c r="J506" s="350"/>
      <c r="K506" s="342"/>
      <c r="L506" s="342"/>
      <c r="M506" s="343"/>
      <c r="N506" s="343"/>
      <c r="O506" s="343"/>
      <c r="P506" s="343"/>
      <c r="Q506" s="343"/>
      <c r="R506" s="343"/>
      <c r="S506" s="343"/>
    </row>
    <row r="507" spans="1:19" x14ac:dyDescent="0.2">
      <c r="A507" s="329">
        <v>18</v>
      </c>
      <c r="B507" s="329">
        <v>21</v>
      </c>
      <c r="C507" s="330">
        <v>55.552</v>
      </c>
      <c r="D507" s="330">
        <v>54.7</v>
      </c>
      <c r="E507" s="330">
        <v>4.0810000000000004</v>
      </c>
      <c r="F507" s="330">
        <v>63.9</v>
      </c>
      <c r="G507" s="330">
        <v>47.7</v>
      </c>
      <c r="H507" s="330">
        <f t="shared" si="28"/>
        <v>57.297472531704045</v>
      </c>
      <c r="I507" s="330">
        <f t="shared" si="29"/>
        <v>53.806527468295954</v>
      </c>
      <c r="J507" s="350"/>
      <c r="K507" s="342"/>
      <c r="L507" s="342"/>
      <c r="M507" s="343"/>
      <c r="N507" s="343"/>
      <c r="O507" s="343"/>
      <c r="P507" s="343"/>
      <c r="Q507" s="343"/>
      <c r="R507" s="343"/>
      <c r="S507" s="343"/>
    </row>
    <row r="508" spans="1:19" x14ac:dyDescent="0.2">
      <c r="A508" s="324">
        <v>19</v>
      </c>
      <c r="B508" s="324">
        <v>7</v>
      </c>
      <c r="C508" s="326">
        <v>59.4</v>
      </c>
      <c r="D508" s="326">
        <v>59.4</v>
      </c>
      <c r="E508" s="326">
        <v>6.8890000000000002</v>
      </c>
      <c r="F508" s="326">
        <v>68.2</v>
      </c>
      <c r="G508" s="326">
        <v>49.4</v>
      </c>
      <c r="H508" s="326">
        <f t="shared" si="28"/>
        <v>64.503442618938706</v>
      </c>
      <c r="I508" s="326">
        <f t="shared" si="29"/>
        <v>54.296557381061291</v>
      </c>
      <c r="J508" s="350"/>
      <c r="K508" s="342"/>
      <c r="L508" s="342"/>
      <c r="M508" s="343"/>
      <c r="N508" s="343"/>
      <c r="O508" s="343"/>
      <c r="P508" s="343"/>
      <c r="Q508" s="343"/>
      <c r="R508" s="343"/>
      <c r="S508" s="343"/>
    </row>
    <row r="509" spans="1:19" x14ac:dyDescent="0.2">
      <c r="A509" s="329"/>
      <c r="B509" s="329"/>
      <c r="C509" s="330"/>
      <c r="D509" s="330"/>
      <c r="E509" s="330"/>
      <c r="F509" s="330"/>
      <c r="G509" s="330"/>
      <c r="H509" s="330"/>
      <c r="I509" s="330"/>
      <c r="J509" s="350"/>
      <c r="K509" s="342"/>
      <c r="L509" s="342"/>
      <c r="M509" s="343"/>
      <c r="N509" s="343"/>
      <c r="O509" s="343"/>
      <c r="P509" s="343"/>
      <c r="Q509" s="343"/>
      <c r="R509" s="343"/>
      <c r="S509" s="343"/>
    </row>
    <row r="510" spans="1:19" x14ac:dyDescent="0.2">
      <c r="A510" s="324"/>
      <c r="B510" s="324"/>
      <c r="C510" s="326"/>
      <c r="D510" s="326"/>
      <c r="E510" s="326"/>
      <c r="F510" s="326"/>
      <c r="G510" s="326"/>
      <c r="H510" s="326"/>
      <c r="I510" s="326"/>
      <c r="J510" s="350"/>
      <c r="K510" s="342"/>
      <c r="L510" s="342"/>
      <c r="M510" s="343"/>
      <c r="N510" s="343"/>
      <c r="O510" s="343"/>
      <c r="P510" s="343"/>
      <c r="Q510" s="343"/>
      <c r="R510" s="343"/>
      <c r="S510" s="343"/>
    </row>
    <row r="511" spans="1:19" x14ac:dyDescent="0.2">
      <c r="A511" s="800" t="s">
        <v>695</v>
      </c>
      <c r="B511" s="800"/>
      <c r="C511" s="800"/>
      <c r="D511" s="800"/>
      <c r="E511" s="800"/>
      <c r="F511" s="800"/>
      <c r="G511" s="800"/>
      <c r="H511" s="800"/>
      <c r="I511" s="801"/>
      <c r="J511" s="350"/>
      <c r="K511" s="342"/>
      <c r="L511" s="342"/>
      <c r="M511" s="343"/>
      <c r="N511" s="343"/>
      <c r="O511" s="343"/>
      <c r="P511" s="343"/>
      <c r="Q511" s="343"/>
      <c r="R511" s="343"/>
      <c r="S511" s="343"/>
    </row>
    <row r="512" spans="1:19" x14ac:dyDescent="0.2">
      <c r="A512" s="324" t="s">
        <v>504</v>
      </c>
      <c r="B512" s="324" t="s">
        <v>641</v>
      </c>
      <c r="C512" s="326" t="s">
        <v>642</v>
      </c>
      <c r="D512" s="326" t="s">
        <v>643</v>
      </c>
      <c r="E512" s="326" t="s">
        <v>644</v>
      </c>
      <c r="F512" s="326" t="s">
        <v>645</v>
      </c>
      <c r="G512" s="326" t="s">
        <v>646</v>
      </c>
      <c r="H512" s="326" t="s">
        <v>647</v>
      </c>
      <c r="I512" s="326" t="s">
        <v>648</v>
      </c>
      <c r="J512" s="350"/>
      <c r="K512" s="351"/>
      <c r="L512" s="342"/>
      <c r="M512" s="343"/>
      <c r="N512" s="343"/>
      <c r="O512" s="343"/>
      <c r="P512" s="343"/>
      <c r="Q512" s="343"/>
      <c r="R512" s="343"/>
      <c r="S512" s="343"/>
    </row>
    <row r="513" spans="1:19" x14ac:dyDescent="0.2">
      <c r="A513" s="329">
        <v>7</v>
      </c>
      <c r="B513" s="329">
        <v>14</v>
      </c>
      <c r="C513" s="330">
        <v>37.136000000000003</v>
      </c>
      <c r="D513" s="330">
        <v>35.9</v>
      </c>
      <c r="E513" s="330">
        <v>4.5819999999999999</v>
      </c>
      <c r="F513" s="330">
        <v>46.7</v>
      </c>
      <c r="G513" s="330">
        <v>31.2</v>
      </c>
      <c r="H513" s="330">
        <f t="shared" ref="H513:H559" si="30">C513+(1.96*E513)/(B513)^0.5</f>
        <v>39.536198380467752</v>
      </c>
      <c r="I513" s="330">
        <f t="shared" ref="I513:I559" si="31">C513-(1.96*E513)/(B513)^0.5</f>
        <v>34.735801619532253</v>
      </c>
      <c r="J513" s="350"/>
      <c r="K513" s="342"/>
      <c r="L513" s="342"/>
      <c r="M513" s="343"/>
      <c r="N513" s="343"/>
      <c r="O513" s="343"/>
      <c r="P513" s="343"/>
      <c r="Q513" s="343"/>
      <c r="R513" s="343"/>
      <c r="S513" s="343"/>
    </row>
    <row r="514" spans="1:19" x14ac:dyDescent="0.2">
      <c r="A514" s="324">
        <v>8</v>
      </c>
      <c r="B514" s="324">
        <v>39</v>
      </c>
      <c r="C514" s="326">
        <v>38.308</v>
      </c>
      <c r="D514" s="326">
        <v>36.6</v>
      </c>
      <c r="E514" s="326">
        <v>4.968</v>
      </c>
      <c r="F514" s="326">
        <v>49.9</v>
      </c>
      <c r="G514" s="326">
        <v>30.7</v>
      </c>
      <c r="H514" s="326">
        <f t="shared" si="30"/>
        <v>39.867212669483202</v>
      </c>
      <c r="I514" s="326">
        <f t="shared" si="31"/>
        <v>36.748787330516798</v>
      </c>
      <c r="J514" s="350"/>
      <c r="K514" s="342"/>
      <c r="L514" s="342"/>
      <c r="M514" s="343"/>
      <c r="N514" s="343"/>
      <c r="O514" s="343"/>
      <c r="P514" s="343"/>
      <c r="Q514" s="343"/>
      <c r="R514" s="343"/>
      <c r="S514" s="343"/>
    </row>
    <row r="515" spans="1:19" x14ac:dyDescent="0.2">
      <c r="A515" s="329">
        <v>9</v>
      </c>
      <c r="B515" s="329">
        <v>57</v>
      </c>
      <c r="C515" s="330">
        <v>38.142000000000003</v>
      </c>
      <c r="D515" s="330">
        <v>37</v>
      </c>
      <c r="E515" s="330">
        <v>4.4779999999999998</v>
      </c>
      <c r="F515" s="330">
        <v>55.7</v>
      </c>
      <c r="G515" s="330">
        <v>31.1</v>
      </c>
      <c r="H515" s="330">
        <f t="shared" si="30"/>
        <v>39.304526155407707</v>
      </c>
      <c r="I515" s="330">
        <f t="shared" si="31"/>
        <v>36.979473844592299</v>
      </c>
      <c r="J515" s="350"/>
      <c r="K515" s="342"/>
      <c r="L515" s="342"/>
      <c r="M515" s="343"/>
      <c r="N515" s="343"/>
      <c r="O515" s="343"/>
      <c r="P515" s="343"/>
      <c r="Q515" s="343"/>
      <c r="R515" s="343"/>
      <c r="S515" s="343"/>
    </row>
    <row r="516" spans="1:19" x14ac:dyDescent="0.2">
      <c r="A516" s="324">
        <v>10</v>
      </c>
      <c r="B516" s="324">
        <v>66</v>
      </c>
      <c r="C516" s="326">
        <v>39.895000000000003</v>
      </c>
      <c r="D516" s="326">
        <v>39</v>
      </c>
      <c r="E516" s="326">
        <v>4.7430000000000003</v>
      </c>
      <c r="F516" s="326">
        <v>53.9</v>
      </c>
      <c r="G516" s="326">
        <v>32</v>
      </c>
      <c r="H516" s="326">
        <f t="shared" si="30"/>
        <v>41.039292965761355</v>
      </c>
      <c r="I516" s="326">
        <f t="shared" si="31"/>
        <v>38.750707034238651</v>
      </c>
      <c r="J516" s="350"/>
      <c r="K516" s="342"/>
      <c r="L516" s="342"/>
      <c r="M516" s="343"/>
      <c r="N516" s="343"/>
      <c r="O516" s="343"/>
      <c r="P516" s="343"/>
      <c r="Q516" s="343"/>
      <c r="R516" s="343"/>
      <c r="S516" s="343"/>
    </row>
    <row r="517" spans="1:19" x14ac:dyDescent="0.2">
      <c r="A517" s="329">
        <v>11</v>
      </c>
      <c r="B517" s="329">
        <v>55</v>
      </c>
      <c r="C517" s="330">
        <v>41.406999999999996</v>
      </c>
      <c r="D517" s="330">
        <v>41</v>
      </c>
      <c r="E517" s="330">
        <v>5.3179999999999996</v>
      </c>
      <c r="F517" s="330">
        <v>56.5</v>
      </c>
      <c r="G517" s="330">
        <v>31.7</v>
      </c>
      <c r="H517" s="330">
        <f t="shared" si="30"/>
        <v>42.812474788483172</v>
      </c>
      <c r="I517" s="330">
        <f t="shared" si="31"/>
        <v>40.001525211516821</v>
      </c>
      <c r="J517" s="350"/>
      <c r="K517" s="342"/>
      <c r="L517" s="342"/>
      <c r="M517" s="343"/>
      <c r="N517" s="343"/>
      <c r="O517" s="343"/>
      <c r="P517" s="343"/>
      <c r="Q517" s="343"/>
      <c r="R517" s="343"/>
      <c r="S517" s="343"/>
    </row>
    <row r="518" spans="1:19" x14ac:dyDescent="0.2">
      <c r="A518" s="329">
        <v>12</v>
      </c>
      <c r="B518" s="329">
        <v>35</v>
      </c>
      <c r="C518" s="330">
        <v>44.533999999999999</v>
      </c>
      <c r="D518" s="330">
        <v>43.2</v>
      </c>
      <c r="E518" s="330">
        <v>6.8079999999999998</v>
      </c>
      <c r="F518" s="330">
        <v>67.7</v>
      </c>
      <c r="G518" s="330">
        <v>34.700000000000003</v>
      </c>
      <c r="H518" s="330">
        <f t="shared" si="30"/>
        <v>46.789493585147163</v>
      </c>
      <c r="I518" s="330">
        <f t="shared" si="31"/>
        <v>42.278506414852835</v>
      </c>
      <c r="J518" s="350"/>
      <c r="K518" s="342"/>
      <c r="L518" s="342"/>
      <c r="M518" s="343"/>
      <c r="N518" s="343"/>
      <c r="O518" s="343"/>
      <c r="P518" s="343"/>
      <c r="Q518" s="343"/>
      <c r="R518" s="343"/>
      <c r="S518" s="343"/>
    </row>
    <row r="519" spans="1:19" x14ac:dyDescent="0.2">
      <c r="A519" s="324">
        <v>13</v>
      </c>
      <c r="B519" s="324">
        <v>64</v>
      </c>
      <c r="C519" s="326">
        <v>45.216999999999999</v>
      </c>
      <c r="D519" s="326">
        <v>44.75</v>
      </c>
      <c r="E519" s="326">
        <v>4.819</v>
      </c>
      <c r="F519" s="326">
        <v>58.5</v>
      </c>
      <c r="G519" s="326">
        <v>36.700000000000003</v>
      </c>
      <c r="H519" s="326">
        <f t="shared" si="30"/>
        <v>46.397655</v>
      </c>
      <c r="I519" s="326">
        <f t="shared" si="31"/>
        <v>44.036344999999997</v>
      </c>
      <c r="J519" s="350"/>
      <c r="K519" s="342"/>
      <c r="L519" s="342"/>
      <c r="M519" s="343"/>
      <c r="N519" s="343"/>
      <c r="O519" s="343"/>
      <c r="P519" s="343"/>
      <c r="Q519" s="343"/>
      <c r="R519" s="343"/>
      <c r="S519" s="343"/>
    </row>
    <row r="520" spans="1:19" x14ac:dyDescent="0.2">
      <c r="A520" s="329">
        <v>14</v>
      </c>
      <c r="B520" s="329">
        <v>86</v>
      </c>
      <c r="C520" s="330">
        <v>47.372999999999998</v>
      </c>
      <c r="D520" s="330">
        <v>46.4</v>
      </c>
      <c r="E520" s="330">
        <v>6.5380000000000003</v>
      </c>
      <c r="F520" s="330">
        <v>72.900000000000006</v>
      </c>
      <c r="G520" s="330">
        <v>30</v>
      </c>
      <c r="H520" s="330">
        <f t="shared" si="30"/>
        <v>48.754820915559996</v>
      </c>
      <c r="I520" s="330">
        <f t="shared" si="31"/>
        <v>45.991179084439999</v>
      </c>
      <c r="J520" s="350"/>
      <c r="K520" s="342"/>
      <c r="L520" s="342"/>
      <c r="M520" s="343"/>
      <c r="N520" s="343"/>
      <c r="O520" s="343"/>
      <c r="P520" s="343"/>
      <c r="Q520" s="343"/>
      <c r="R520" s="343"/>
      <c r="S520" s="343"/>
    </row>
    <row r="521" spans="1:19" x14ac:dyDescent="0.2">
      <c r="A521" s="324">
        <v>15</v>
      </c>
      <c r="B521" s="324">
        <v>70</v>
      </c>
      <c r="C521" s="326">
        <v>48.982999999999997</v>
      </c>
      <c r="D521" s="326">
        <v>48.5</v>
      </c>
      <c r="E521" s="326">
        <v>5.6559999999999997</v>
      </c>
      <c r="F521" s="326">
        <v>69.7</v>
      </c>
      <c r="G521" s="326">
        <v>39.9</v>
      </c>
      <c r="H521" s="326">
        <f t="shared" si="30"/>
        <v>50.308001750821482</v>
      </c>
      <c r="I521" s="326">
        <f t="shared" si="31"/>
        <v>47.657998249178512</v>
      </c>
      <c r="J521" s="350"/>
      <c r="K521" s="342"/>
      <c r="L521" s="342"/>
      <c r="M521" s="343"/>
      <c r="N521" s="343"/>
      <c r="O521" s="343"/>
      <c r="P521" s="343"/>
      <c r="Q521" s="343"/>
      <c r="R521" s="343"/>
      <c r="S521" s="343"/>
    </row>
    <row r="522" spans="1:19" x14ac:dyDescent="0.2">
      <c r="A522" s="329">
        <v>16</v>
      </c>
      <c r="B522" s="329">
        <v>38</v>
      </c>
      <c r="C522" s="330">
        <v>50.228999999999999</v>
      </c>
      <c r="D522" s="330">
        <v>49.2</v>
      </c>
      <c r="E522" s="330">
        <v>6.4710000000000001</v>
      </c>
      <c r="F522" s="330">
        <v>73.400000000000006</v>
      </c>
      <c r="G522" s="330">
        <v>42.3</v>
      </c>
      <c r="H522" s="330">
        <f t="shared" si="30"/>
        <v>52.286480239628844</v>
      </c>
      <c r="I522" s="330">
        <f t="shared" si="31"/>
        <v>48.171519760371154</v>
      </c>
      <c r="J522" s="350"/>
      <c r="K522" s="342"/>
      <c r="L522" s="342"/>
      <c r="M522" s="343"/>
      <c r="N522" s="343"/>
      <c r="O522" s="343"/>
      <c r="P522" s="343"/>
      <c r="Q522" s="343"/>
      <c r="R522" s="343"/>
      <c r="S522" s="343"/>
    </row>
    <row r="523" spans="1:19" x14ac:dyDescent="0.2">
      <c r="A523" s="324">
        <v>17</v>
      </c>
      <c r="B523" s="324">
        <v>30</v>
      </c>
      <c r="C523" s="326">
        <v>52.533000000000001</v>
      </c>
      <c r="D523" s="326">
        <v>50.05</v>
      </c>
      <c r="E523" s="326">
        <v>7.2779999999999996</v>
      </c>
      <c r="F523" s="326">
        <v>76.7</v>
      </c>
      <c r="G523" s="326">
        <v>43.2</v>
      </c>
      <c r="H523" s="326">
        <f t="shared" si="30"/>
        <v>55.137398852034764</v>
      </c>
      <c r="I523" s="326">
        <f t="shared" si="31"/>
        <v>49.928601147965239</v>
      </c>
      <c r="J523" s="350"/>
      <c r="K523" s="342"/>
      <c r="L523" s="342"/>
      <c r="M523" s="343"/>
      <c r="N523" s="343"/>
      <c r="O523" s="343"/>
      <c r="P523" s="343"/>
      <c r="Q523" s="343"/>
      <c r="R523" s="343"/>
      <c r="S523" s="343"/>
    </row>
    <row r="524" spans="1:19" x14ac:dyDescent="0.2">
      <c r="A524" s="329">
        <v>18</v>
      </c>
      <c r="B524" s="329">
        <v>21</v>
      </c>
      <c r="C524" s="330">
        <v>50.619</v>
      </c>
      <c r="D524" s="330">
        <v>50.6</v>
      </c>
      <c r="E524" s="330">
        <v>3.81</v>
      </c>
      <c r="F524" s="330">
        <v>57.7</v>
      </c>
      <c r="G524" s="330">
        <v>44.7</v>
      </c>
      <c r="H524" s="330">
        <f t="shared" si="30"/>
        <v>52.248563917126297</v>
      </c>
      <c r="I524" s="330">
        <f t="shared" si="31"/>
        <v>48.989436082873702</v>
      </c>
      <c r="J524" s="350"/>
      <c r="K524" s="342"/>
      <c r="L524" s="342"/>
      <c r="M524" s="343"/>
      <c r="N524" s="343"/>
      <c r="O524" s="343"/>
      <c r="P524" s="343"/>
      <c r="Q524" s="343"/>
      <c r="R524" s="343"/>
      <c r="S524" s="343"/>
    </row>
    <row r="525" spans="1:19" x14ac:dyDescent="0.2">
      <c r="A525" s="324">
        <v>19</v>
      </c>
      <c r="B525" s="324">
        <v>7</v>
      </c>
      <c r="C525" s="326">
        <v>54.656999999999996</v>
      </c>
      <c r="D525" s="326">
        <v>53.3</v>
      </c>
      <c r="E525" s="326">
        <v>7.1920000000000002</v>
      </c>
      <c r="F525" s="326">
        <v>64.400000000000006</v>
      </c>
      <c r="G525" s="326">
        <v>44.5</v>
      </c>
      <c r="H525" s="326">
        <f t="shared" si="30"/>
        <v>59.984908160169425</v>
      </c>
      <c r="I525" s="326">
        <f t="shared" si="31"/>
        <v>49.329091839830568</v>
      </c>
      <c r="J525" s="350"/>
      <c r="K525" s="342"/>
      <c r="L525" s="342"/>
      <c r="M525" s="343"/>
      <c r="N525" s="343"/>
      <c r="O525" s="343"/>
      <c r="P525" s="343"/>
      <c r="Q525" s="343"/>
      <c r="R525" s="343"/>
      <c r="S525" s="343"/>
    </row>
    <row r="526" spans="1:19" x14ac:dyDescent="0.2">
      <c r="A526" s="324"/>
      <c r="B526" s="324"/>
      <c r="C526" s="324"/>
      <c r="D526" s="324"/>
      <c r="E526" s="324"/>
      <c r="F526" s="324"/>
      <c r="G526" s="324"/>
      <c r="H526" s="326"/>
      <c r="I526" s="326"/>
      <c r="J526" s="350"/>
      <c r="K526" s="342"/>
      <c r="L526" s="342"/>
      <c r="M526" s="343"/>
      <c r="N526" s="343"/>
      <c r="O526" s="343"/>
      <c r="P526" s="343"/>
      <c r="Q526" s="343"/>
      <c r="R526" s="343"/>
      <c r="S526" s="343"/>
    </row>
    <row r="527" spans="1:19" x14ac:dyDescent="0.2">
      <c r="A527" s="324"/>
      <c r="B527" s="324"/>
      <c r="C527" s="324"/>
      <c r="D527" s="324"/>
      <c r="E527" s="324"/>
      <c r="F527" s="324"/>
      <c r="G527" s="324"/>
      <c r="H527" s="326"/>
      <c r="I527" s="326"/>
      <c r="J527" s="350"/>
      <c r="K527" s="342"/>
      <c r="L527" s="342"/>
      <c r="M527" s="343"/>
      <c r="N527" s="343"/>
      <c r="O527" s="343"/>
      <c r="P527" s="343"/>
      <c r="Q527" s="343"/>
      <c r="R527" s="343"/>
      <c r="S527" s="343"/>
    </row>
    <row r="528" spans="1:19" x14ac:dyDescent="0.2">
      <c r="A528" s="800" t="s">
        <v>696</v>
      </c>
      <c r="B528" s="800"/>
      <c r="C528" s="800"/>
      <c r="D528" s="800"/>
      <c r="E528" s="800"/>
      <c r="F528" s="800"/>
      <c r="G528" s="800"/>
      <c r="H528" s="800"/>
      <c r="I528" s="801"/>
      <c r="J528" s="350"/>
      <c r="K528" s="351"/>
      <c r="L528" s="342"/>
      <c r="M528" s="343"/>
      <c r="N528" s="343"/>
      <c r="O528" s="343"/>
      <c r="P528" s="343"/>
      <c r="Q528" s="343"/>
      <c r="R528" s="343"/>
      <c r="S528" s="343"/>
    </row>
    <row r="529" spans="1:19" x14ac:dyDescent="0.2">
      <c r="A529" s="324" t="s">
        <v>504</v>
      </c>
      <c r="B529" s="324" t="s">
        <v>641</v>
      </c>
      <c r="C529" s="326" t="s">
        <v>642</v>
      </c>
      <c r="D529" s="326" t="s">
        <v>643</v>
      </c>
      <c r="E529" s="326" t="s">
        <v>644</v>
      </c>
      <c r="F529" s="326" t="s">
        <v>645</v>
      </c>
      <c r="G529" s="326" t="s">
        <v>646</v>
      </c>
      <c r="H529" s="326" t="s">
        <v>647</v>
      </c>
      <c r="I529" s="326" t="s">
        <v>648</v>
      </c>
      <c r="J529" s="350"/>
      <c r="K529" s="342"/>
      <c r="L529" s="342"/>
      <c r="M529" s="343"/>
      <c r="N529" s="343"/>
      <c r="O529" s="343"/>
      <c r="P529" s="343"/>
      <c r="Q529" s="343"/>
      <c r="R529" s="343"/>
      <c r="S529" s="343"/>
    </row>
    <row r="530" spans="1:19" x14ac:dyDescent="0.2">
      <c r="A530" s="329">
        <v>7</v>
      </c>
      <c r="B530" s="329">
        <v>14</v>
      </c>
      <c r="C530" s="330">
        <v>27.186</v>
      </c>
      <c r="D530" s="330">
        <v>26.65</v>
      </c>
      <c r="E530" s="330">
        <v>2.2410000000000001</v>
      </c>
      <c r="F530" s="330">
        <v>32.4</v>
      </c>
      <c r="G530" s="330">
        <v>24.7</v>
      </c>
      <c r="H530" s="330">
        <f t="shared" si="30"/>
        <v>28.359907588526458</v>
      </c>
      <c r="I530" s="330">
        <f t="shared" si="31"/>
        <v>26.012092411473542</v>
      </c>
      <c r="J530" s="350"/>
      <c r="K530" s="342"/>
      <c r="L530" s="342"/>
      <c r="M530" s="343"/>
      <c r="N530" s="343"/>
      <c r="O530" s="343"/>
      <c r="P530" s="343"/>
      <c r="Q530" s="343"/>
      <c r="R530" s="343"/>
      <c r="S530" s="343"/>
    </row>
    <row r="531" spans="1:19" x14ac:dyDescent="0.2">
      <c r="A531" s="324">
        <v>8</v>
      </c>
      <c r="B531" s="324">
        <v>39</v>
      </c>
      <c r="C531" s="326">
        <v>27.478999999999999</v>
      </c>
      <c r="D531" s="326">
        <v>26.6</v>
      </c>
      <c r="E531" s="326">
        <v>3.0249999999999999</v>
      </c>
      <c r="F531" s="326">
        <v>34.1</v>
      </c>
      <c r="G531" s="326">
        <v>22.5</v>
      </c>
      <c r="H531" s="326">
        <f t="shared" si="30"/>
        <v>28.428399823910361</v>
      </c>
      <c r="I531" s="326">
        <f t="shared" si="31"/>
        <v>26.529600176089637</v>
      </c>
      <c r="J531" s="350"/>
      <c r="K531" s="342"/>
      <c r="L531" s="342"/>
      <c r="M531" s="343"/>
      <c r="N531" s="343"/>
      <c r="O531" s="343"/>
      <c r="P531" s="343"/>
      <c r="Q531" s="343"/>
      <c r="R531" s="343"/>
      <c r="S531" s="343"/>
    </row>
    <row r="532" spans="1:19" x14ac:dyDescent="0.2">
      <c r="A532" s="329">
        <v>9</v>
      </c>
      <c r="B532" s="329">
        <v>57</v>
      </c>
      <c r="C532" s="330">
        <v>27.731999999999999</v>
      </c>
      <c r="D532" s="330">
        <v>27.2</v>
      </c>
      <c r="E532" s="330">
        <v>3.1920000000000002</v>
      </c>
      <c r="F532" s="330">
        <v>38.299999999999997</v>
      </c>
      <c r="G532" s="330">
        <v>22.7</v>
      </c>
      <c r="H532" s="330">
        <f t="shared" si="30"/>
        <v>28.560669827615317</v>
      </c>
      <c r="I532" s="330">
        <f t="shared" si="31"/>
        <v>26.903330172384681</v>
      </c>
      <c r="J532" s="350"/>
      <c r="K532" s="342"/>
      <c r="L532" s="342"/>
      <c r="M532" s="343"/>
      <c r="N532" s="343"/>
      <c r="O532" s="343"/>
      <c r="P532" s="343"/>
      <c r="Q532" s="343"/>
      <c r="R532" s="343"/>
      <c r="S532" s="343"/>
    </row>
    <row r="533" spans="1:19" x14ac:dyDescent="0.2">
      <c r="A533" s="324">
        <v>10</v>
      </c>
      <c r="B533" s="324">
        <v>66</v>
      </c>
      <c r="C533" s="326">
        <v>28.614999999999998</v>
      </c>
      <c r="D533" s="326">
        <v>28.1</v>
      </c>
      <c r="E533" s="326">
        <v>2.9089999999999998</v>
      </c>
      <c r="F533" s="326">
        <v>37</v>
      </c>
      <c r="G533" s="326">
        <v>23.3</v>
      </c>
      <c r="H533" s="326">
        <f t="shared" si="30"/>
        <v>29.3168233686274</v>
      </c>
      <c r="I533" s="326">
        <f t="shared" si="31"/>
        <v>27.913176631372597</v>
      </c>
      <c r="J533" s="350"/>
      <c r="K533" s="342"/>
      <c r="L533" s="342"/>
      <c r="M533" s="343"/>
      <c r="N533" s="343"/>
      <c r="O533" s="343"/>
      <c r="P533" s="343"/>
      <c r="Q533" s="343"/>
      <c r="R533" s="343"/>
      <c r="S533" s="343"/>
    </row>
    <row r="534" spans="1:19" x14ac:dyDescent="0.2">
      <c r="A534" s="329">
        <v>11</v>
      </c>
      <c r="B534" s="329">
        <v>55</v>
      </c>
      <c r="C534" s="330">
        <v>29.577999999999999</v>
      </c>
      <c r="D534" s="330">
        <v>30</v>
      </c>
      <c r="E534" s="330">
        <v>3.3220000000000001</v>
      </c>
      <c r="F534" s="330">
        <v>41.2</v>
      </c>
      <c r="G534" s="330">
        <v>22.4</v>
      </c>
      <c r="H534" s="330">
        <f t="shared" si="30"/>
        <v>30.455959241696334</v>
      </c>
      <c r="I534" s="330">
        <f t="shared" si="31"/>
        <v>28.700040758303665</v>
      </c>
      <c r="J534" s="350"/>
      <c r="K534" s="342"/>
      <c r="L534" s="342"/>
      <c r="M534" s="343"/>
      <c r="N534" s="343"/>
      <c r="O534" s="343"/>
      <c r="P534" s="343"/>
      <c r="Q534" s="343"/>
      <c r="R534" s="343"/>
      <c r="S534" s="343"/>
    </row>
    <row r="535" spans="1:19" x14ac:dyDescent="0.2">
      <c r="A535" s="329">
        <v>12</v>
      </c>
      <c r="B535" s="329">
        <v>35</v>
      </c>
      <c r="C535" s="330">
        <v>31.866</v>
      </c>
      <c r="D535" s="330">
        <v>30.8</v>
      </c>
      <c r="E535" s="330">
        <v>4.4240000000000004</v>
      </c>
      <c r="F535" s="330">
        <v>48.6</v>
      </c>
      <c r="G535" s="330">
        <v>25.7</v>
      </c>
      <c r="H535" s="330">
        <f t="shared" si="30"/>
        <v>33.331673269784233</v>
      </c>
      <c r="I535" s="330">
        <f t="shared" si="31"/>
        <v>30.400326730215767</v>
      </c>
      <c r="J535" s="350"/>
      <c r="K535" s="342"/>
      <c r="L535" s="342"/>
      <c r="M535" s="343"/>
      <c r="N535" s="343"/>
      <c r="O535" s="343"/>
      <c r="P535" s="343"/>
      <c r="Q535" s="343"/>
      <c r="R535" s="343"/>
      <c r="S535" s="343"/>
    </row>
    <row r="536" spans="1:19" x14ac:dyDescent="0.2">
      <c r="A536" s="324">
        <v>13</v>
      </c>
      <c r="B536" s="324">
        <v>64</v>
      </c>
      <c r="C536" s="326">
        <v>32.875</v>
      </c>
      <c r="D536" s="326">
        <v>32.6</v>
      </c>
      <c r="E536" s="326">
        <v>2.8969999999999998</v>
      </c>
      <c r="F536" s="326">
        <v>40</v>
      </c>
      <c r="G536" s="326">
        <v>26.4</v>
      </c>
      <c r="H536" s="326">
        <f t="shared" si="30"/>
        <v>33.584764999999997</v>
      </c>
      <c r="I536" s="326">
        <f t="shared" si="31"/>
        <v>32.165235000000003</v>
      </c>
      <c r="J536" s="350"/>
      <c r="K536" s="342"/>
      <c r="L536" s="342"/>
      <c r="M536" s="343"/>
      <c r="N536" s="343"/>
      <c r="O536" s="343"/>
      <c r="P536" s="343"/>
      <c r="Q536" s="343"/>
      <c r="R536" s="343"/>
      <c r="S536" s="343"/>
    </row>
    <row r="537" spans="1:19" x14ac:dyDescent="0.2">
      <c r="A537" s="329">
        <v>14</v>
      </c>
      <c r="B537" s="329">
        <v>87</v>
      </c>
      <c r="C537" s="330">
        <v>34.405999999999999</v>
      </c>
      <c r="D537" s="330">
        <v>33.5</v>
      </c>
      <c r="E537" s="330">
        <v>4.4530000000000003</v>
      </c>
      <c r="F537" s="330">
        <v>55.3</v>
      </c>
      <c r="G537" s="330">
        <v>27.1</v>
      </c>
      <c r="H537" s="330">
        <f t="shared" si="30"/>
        <v>35.341726955056011</v>
      </c>
      <c r="I537" s="330">
        <f t="shared" si="31"/>
        <v>33.470273044943987</v>
      </c>
      <c r="J537" s="350"/>
      <c r="K537" s="342"/>
      <c r="L537" s="342"/>
      <c r="M537" s="343"/>
      <c r="N537" s="343"/>
      <c r="O537" s="343"/>
      <c r="P537" s="343"/>
      <c r="Q537" s="343"/>
      <c r="R537" s="343"/>
      <c r="S537" s="343"/>
    </row>
    <row r="538" spans="1:19" x14ac:dyDescent="0.2">
      <c r="A538" s="324">
        <v>15</v>
      </c>
      <c r="B538" s="324">
        <v>70</v>
      </c>
      <c r="C538" s="326">
        <v>34.776000000000003</v>
      </c>
      <c r="D538" s="326">
        <v>34.4</v>
      </c>
      <c r="E538" s="326">
        <v>3.3559999999999999</v>
      </c>
      <c r="F538" s="326">
        <v>44.8</v>
      </c>
      <c r="G538" s="326">
        <v>21.6</v>
      </c>
      <c r="H538" s="326">
        <f t="shared" si="30"/>
        <v>35.562192693733543</v>
      </c>
      <c r="I538" s="326">
        <f t="shared" si="31"/>
        <v>33.989807306266464</v>
      </c>
      <c r="J538" s="350"/>
      <c r="K538" s="342"/>
      <c r="L538" s="342"/>
      <c r="M538" s="343"/>
      <c r="N538" s="343"/>
      <c r="O538" s="343"/>
      <c r="P538" s="343"/>
      <c r="Q538" s="343"/>
      <c r="R538" s="343"/>
      <c r="S538" s="343"/>
    </row>
    <row r="539" spans="1:19" x14ac:dyDescent="0.2">
      <c r="A539" s="329">
        <v>16</v>
      </c>
      <c r="B539" s="329">
        <v>38</v>
      </c>
      <c r="C539" s="330">
        <v>35.582000000000001</v>
      </c>
      <c r="D539" s="330">
        <v>34.950000000000003</v>
      </c>
      <c r="E539" s="330">
        <v>3.82</v>
      </c>
      <c r="F539" s="330">
        <v>50.2</v>
      </c>
      <c r="G539" s="330">
        <v>30.9</v>
      </c>
      <c r="H539" s="330">
        <f t="shared" si="30"/>
        <v>36.796584224290243</v>
      </c>
      <c r="I539" s="330">
        <f t="shared" si="31"/>
        <v>34.367415775709759</v>
      </c>
      <c r="J539" s="350"/>
      <c r="K539" s="342"/>
      <c r="L539" s="342"/>
      <c r="M539" s="343"/>
      <c r="N539" s="343"/>
      <c r="O539" s="343"/>
      <c r="P539" s="343"/>
      <c r="Q539" s="343"/>
      <c r="R539" s="343"/>
      <c r="S539" s="343"/>
    </row>
    <row r="540" spans="1:19" x14ac:dyDescent="0.2">
      <c r="A540" s="324">
        <v>17</v>
      </c>
      <c r="B540" s="324">
        <v>30</v>
      </c>
      <c r="C540" s="326">
        <v>36.353000000000002</v>
      </c>
      <c r="D540" s="326">
        <v>35.9</v>
      </c>
      <c r="E540" s="326">
        <v>3.53</v>
      </c>
      <c r="F540" s="326">
        <v>43.1</v>
      </c>
      <c r="G540" s="326">
        <v>31.7</v>
      </c>
      <c r="H540" s="326">
        <f t="shared" si="30"/>
        <v>37.616194276955582</v>
      </c>
      <c r="I540" s="326">
        <f t="shared" si="31"/>
        <v>35.089805723044421</v>
      </c>
      <c r="J540" s="350"/>
      <c r="K540" s="342"/>
      <c r="L540" s="342"/>
      <c r="M540" s="343"/>
      <c r="N540" s="343"/>
      <c r="O540" s="343"/>
      <c r="P540" s="343"/>
      <c r="Q540" s="343"/>
      <c r="R540" s="343"/>
      <c r="S540" s="343"/>
    </row>
    <row r="541" spans="1:19" x14ac:dyDescent="0.2">
      <c r="A541" s="329">
        <v>18</v>
      </c>
      <c r="B541" s="329">
        <v>21</v>
      </c>
      <c r="C541" s="330">
        <v>37.070999999999998</v>
      </c>
      <c r="D541" s="330">
        <v>36</v>
      </c>
      <c r="E541" s="330">
        <v>5.2880000000000003</v>
      </c>
      <c r="F541" s="330">
        <v>57.4</v>
      </c>
      <c r="G541" s="330">
        <v>31.6</v>
      </c>
      <c r="H541" s="330">
        <f t="shared" si="30"/>
        <v>39.332714958993137</v>
      </c>
      <c r="I541" s="330">
        <f t="shared" si="31"/>
        <v>34.809285041006859</v>
      </c>
      <c r="J541" s="350"/>
      <c r="K541" s="342"/>
      <c r="L541" s="342"/>
      <c r="M541" s="343"/>
      <c r="N541" s="343"/>
      <c r="O541" s="343"/>
      <c r="P541" s="343"/>
      <c r="Q541" s="343"/>
      <c r="R541" s="343"/>
      <c r="S541" s="343"/>
    </row>
    <row r="542" spans="1:19" x14ac:dyDescent="0.2">
      <c r="A542" s="324">
        <v>19</v>
      </c>
      <c r="B542" s="324">
        <v>7</v>
      </c>
      <c r="C542" s="326">
        <v>37.643000000000001</v>
      </c>
      <c r="D542" s="326">
        <v>38.1</v>
      </c>
      <c r="E542" s="326">
        <v>5.38</v>
      </c>
      <c r="F542" s="326">
        <v>45.7</v>
      </c>
      <c r="G542" s="326">
        <v>30.2</v>
      </c>
      <c r="H542" s="326">
        <f t="shared" si="30"/>
        <v>41.6285597749877</v>
      </c>
      <c r="I542" s="326">
        <f t="shared" si="31"/>
        <v>33.657440225012301</v>
      </c>
      <c r="J542" s="350"/>
      <c r="K542" s="342"/>
      <c r="L542" s="342"/>
      <c r="M542" s="343"/>
      <c r="N542" s="343"/>
      <c r="O542" s="343"/>
      <c r="P542" s="343"/>
      <c r="Q542" s="343"/>
      <c r="R542" s="343"/>
      <c r="S542" s="343"/>
    </row>
    <row r="543" spans="1:19" x14ac:dyDescent="0.2">
      <c r="A543" s="324"/>
      <c r="B543" s="324"/>
      <c r="C543" s="324"/>
      <c r="D543" s="324"/>
      <c r="E543" s="324"/>
      <c r="F543" s="324"/>
      <c r="G543" s="324"/>
      <c r="H543" s="326"/>
      <c r="I543" s="326"/>
      <c r="J543" s="350"/>
      <c r="K543" s="342"/>
      <c r="L543" s="342"/>
      <c r="M543" s="343"/>
      <c r="N543" s="343"/>
      <c r="O543" s="343"/>
      <c r="P543" s="343"/>
      <c r="Q543" s="343"/>
      <c r="R543" s="343"/>
      <c r="S543" s="343"/>
    </row>
    <row r="544" spans="1:19" x14ac:dyDescent="0.2">
      <c r="A544" s="324"/>
      <c r="B544" s="324"/>
      <c r="C544" s="324"/>
      <c r="D544" s="324"/>
      <c r="E544" s="324"/>
      <c r="F544" s="324"/>
      <c r="G544" s="324"/>
      <c r="H544" s="326"/>
      <c r="I544" s="326"/>
      <c r="J544" s="350"/>
      <c r="K544" s="351"/>
      <c r="L544" s="342"/>
      <c r="M544" s="343"/>
      <c r="N544" s="343"/>
      <c r="O544" s="343"/>
      <c r="P544" s="343"/>
      <c r="Q544" s="343"/>
      <c r="R544" s="343"/>
      <c r="S544" s="343"/>
    </row>
    <row r="545" spans="1:19" x14ac:dyDescent="0.2">
      <c r="A545" s="800" t="s">
        <v>697</v>
      </c>
      <c r="B545" s="800"/>
      <c r="C545" s="800"/>
      <c r="D545" s="800"/>
      <c r="E545" s="800"/>
      <c r="F545" s="800"/>
      <c r="G545" s="800"/>
      <c r="H545" s="800"/>
      <c r="I545" s="801"/>
      <c r="J545" s="350"/>
      <c r="K545" s="342"/>
      <c r="L545" s="342"/>
      <c r="M545" s="343"/>
      <c r="N545" s="343"/>
      <c r="O545" s="343"/>
      <c r="P545" s="343"/>
      <c r="Q545" s="343"/>
      <c r="R545" s="343"/>
      <c r="S545" s="343"/>
    </row>
    <row r="546" spans="1:19" x14ac:dyDescent="0.2">
      <c r="A546" s="324" t="s">
        <v>504</v>
      </c>
      <c r="B546" s="324" t="s">
        <v>641</v>
      </c>
      <c r="C546" s="326" t="s">
        <v>642</v>
      </c>
      <c r="D546" s="326" t="s">
        <v>643</v>
      </c>
      <c r="E546" s="326" t="s">
        <v>644</v>
      </c>
      <c r="F546" s="326" t="s">
        <v>645</v>
      </c>
      <c r="G546" s="326" t="s">
        <v>646</v>
      </c>
      <c r="H546" s="326" t="s">
        <v>647</v>
      </c>
      <c r="I546" s="326" t="s">
        <v>648</v>
      </c>
      <c r="J546" s="350"/>
      <c r="K546" s="342"/>
      <c r="L546" s="342"/>
      <c r="M546" s="343"/>
      <c r="N546" s="343"/>
      <c r="O546" s="343"/>
      <c r="P546" s="343"/>
      <c r="Q546" s="343"/>
      <c r="R546" s="343"/>
      <c r="S546" s="343"/>
    </row>
    <row r="547" spans="1:19" x14ac:dyDescent="0.2">
      <c r="A547" s="329">
        <v>7</v>
      </c>
      <c r="B547" s="329">
        <v>14</v>
      </c>
      <c r="C547" s="330">
        <v>18.093</v>
      </c>
      <c r="D547" s="330">
        <v>17.850000000000001</v>
      </c>
      <c r="E547" s="330">
        <v>1.2030000000000001</v>
      </c>
      <c r="F547" s="330">
        <v>20.6</v>
      </c>
      <c r="G547" s="330">
        <v>16.2</v>
      </c>
      <c r="H547" s="330">
        <f t="shared" si="30"/>
        <v>18.723169937080467</v>
      </c>
      <c r="I547" s="330">
        <f t="shared" si="31"/>
        <v>17.462830062919533</v>
      </c>
      <c r="J547" s="350"/>
      <c r="K547" s="342"/>
      <c r="L547" s="342"/>
      <c r="M547" s="343"/>
      <c r="N547" s="343"/>
      <c r="O547" s="343"/>
      <c r="P547" s="343"/>
      <c r="Q547" s="343"/>
      <c r="R547" s="343"/>
      <c r="S547" s="343"/>
    </row>
    <row r="548" spans="1:19" x14ac:dyDescent="0.2">
      <c r="A548" s="324">
        <v>8</v>
      </c>
      <c r="B548" s="324">
        <v>39</v>
      </c>
      <c r="C548" s="326">
        <v>18.507999999999999</v>
      </c>
      <c r="D548" s="326">
        <v>18.2</v>
      </c>
      <c r="E548" s="326">
        <v>1.7030000000000001</v>
      </c>
      <c r="F548" s="326">
        <v>22.5</v>
      </c>
      <c r="G548" s="326">
        <v>15</v>
      </c>
      <c r="H548" s="326">
        <f t="shared" si="30"/>
        <v>19.042488562022925</v>
      </c>
      <c r="I548" s="326">
        <f t="shared" si="31"/>
        <v>17.973511437977074</v>
      </c>
      <c r="J548" s="350"/>
      <c r="K548" s="342"/>
      <c r="L548" s="342"/>
      <c r="M548" s="343"/>
      <c r="N548" s="343"/>
      <c r="O548" s="343"/>
      <c r="P548" s="343"/>
      <c r="Q548" s="343"/>
      <c r="R548" s="343"/>
      <c r="S548" s="343"/>
    </row>
    <row r="549" spans="1:19" x14ac:dyDescent="0.2">
      <c r="A549" s="329">
        <v>9</v>
      </c>
      <c r="B549" s="329">
        <v>57</v>
      </c>
      <c r="C549" s="330">
        <v>18.306999999999999</v>
      </c>
      <c r="D549" s="330">
        <v>18.3</v>
      </c>
      <c r="E549" s="330">
        <v>1.532</v>
      </c>
      <c r="F549" s="330">
        <v>23.8</v>
      </c>
      <c r="G549" s="330">
        <v>15.7</v>
      </c>
      <c r="H549" s="330">
        <f t="shared" si="30"/>
        <v>18.704719979920633</v>
      </c>
      <c r="I549" s="330">
        <f t="shared" si="31"/>
        <v>17.909280020079365</v>
      </c>
      <c r="J549" s="350"/>
      <c r="K549" s="342"/>
      <c r="L549" s="342"/>
      <c r="M549" s="343"/>
      <c r="N549" s="343"/>
      <c r="O549" s="343"/>
      <c r="P549" s="343"/>
      <c r="Q549" s="343"/>
      <c r="R549" s="343"/>
      <c r="S549" s="343"/>
    </row>
    <row r="550" spans="1:19" x14ac:dyDescent="0.2">
      <c r="A550" s="324">
        <v>10</v>
      </c>
      <c r="B550" s="324">
        <v>66</v>
      </c>
      <c r="C550" s="326">
        <v>19.038</v>
      </c>
      <c r="D550" s="326">
        <v>18.5</v>
      </c>
      <c r="E550" s="326">
        <v>1.9810000000000001</v>
      </c>
      <c r="F550" s="326">
        <v>25.7</v>
      </c>
      <c r="G550" s="326">
        <v>16.3</v>
      </c>
      <c r="H550" s="326">
        <f t="shared" si="30"/>
        <v>19.515934717514913</v>
      </c>
      <c r="I550" s="326">
        <f t="shared" si="31"/>
        <v>18.560065282485088</v>
      </c>
      <c r="J550" s="350"/>
      <c r="K550" s="342"/>
      <c r="L550" s="342"/>
      <c r="M550" s="343"/>
      <c r="N550" s="343"/>
      <c r="O550" s="343"/>
      <c r="P550" s="343"/>
      <c r="Q550" s="343"/>
      <c r="R550" s="343"/>
      <c r="S550" s="343"/>
    </row>
    <row r="551" spans="1:19" x14ac:dyDescent="0.2">
      <c r="A551" s="329">
        <v>11</v>
      </c>
      <c r="B551" s="329">
        <v>55</v>
      </c>
      <c r="C551" s="330">
        <v>19.64</v>
      </c>
      <c r="D551" s="330">
        <v>19.8</v>
      </c>
      <c r="E551" s="330">
        <v>2.0209999999999999</v>
      </c>
      <c r="F551" s="330">
        <v>26.1</v>
      </c>
      <c r="G551" s="330">
        <v>16.100000000000001</v>
      </c>
      <c r="H551" s="330">
        <f t="shared" si="30"/>
        <v>20.174122705438979</v>
      </c>
      <c r="I551" s="330">
        <f t="shared" si="31"/>
        <v>19.105877294561022</v>
      </c>
      <c r="J551" s="350"/>
      <c r="K551" s="342"/>
      <c r="L551" s="342"/>
      <c r="M551" s="343"/>
      <c r="N551" s="343"/>
      <c r="O551" s="343"/>
      <c r="P551" s="343"/>
      <c r="Q551" s="343"/>
      <c r="R551" s="343"/>
      <c r="S551" s="343"/>
    </row>
    <row r="552" spans="1:19" x14ac:dyDescent="0.2">
      <c r="A552" s="329">
        <v>12</v>
      </c>
      <c r="B552" s="329">
        <v>35</v>
      </c>
      <c r="C552" s="330">
        <v>20.777000000000001</v>
      </c>
      <c r="D552" s="330">
        <v>20.100000000000001</v>
      </c>
      <c r="E552" s="330">
        <v>2.302</v>
      </c>
      <c r="F552" s="330">
        <v>29</v>
      </c>
      <c r="G552" s="330">
        <v>17.3</v>
      </c>
      <c r="H552" s="330">
        <f t="shared" si="30"/>
        <v>21.539653676998938</v>
      </c>
      <c r="I552" s="330">
        <f t="shared" si="31"/>
        <v>20.014346323001064</v>
      </c>
      <c r="J552" s="350"/>
      <c r="K552" s="342"/>
      <c r="L552" s="342"/>
      <c r="M552" s="343"/>
      <c r="N552" s="343"/>
      <c r="O552" s="343"/>
      <c r="P552" s="343"/>
      <c r="Q552" s="343"/>
      <c r="R552" s="343"/>
      <c r="S552" s="343"/>
    </row>
    <row r="553" spans="1:19" x14ac:dyDescent="0.2">
      <c r="A553" s="324">
        <v>13</v>
      </c>
      <c r="B553" s="324">
        <v>63</v>
      </c>
      <c r="C553" s="326">
        <v>21.518999999999998</v>
      </c>
      <c r="D553" s="326">
        <v>21.4</v>
      </c>
      <c r="E553" s="326">
        <v>1.5880000000000001</v>
      </c>
      <c r="F553" s="326">
        <v>25.5</v>
      </c>
      <c r="G553" s="326">
        <v>18.100000000000001</v>
      </c>
      <c r="H553" s="326">
        <f t="shared" si="30"/>
        <v>21.911135620983917</v>
      </c>
      <c r="I553" s="326">
        <f t="shared" si="31"/>
        <v>21.12686437901608</v>
      </c>
      <c r="J553" s="350"/>
      <c r="K553" s="342"/>
      <c r="L553" s="342"/>
      <c r="M553" s="343"/>
      <c r="N553" s="343"/>
      <c r="O553" s="343"/>
      <c r="P553" s="343"/>
      <c r="Q553" s="343"/>
      <c r="R553" s="343"/>
      <c r="S553" s="343"/>
    </row>
    <row r="554" spans="1:19" x14ac:dyDescent="0.2">
      <c r="A554" s="329">
        <v>14</v>
      </c>
      <c r="B554" s="329">
        <v>87</v>
      </c>
      <c r="C554" s="330">
        <v>22.263000000000002</v>
      </c>
      <c r="D554" s="330">
        <v>22</v>
      </c>
      <c r="E554" s="330">
        <v>2.218</v>
      </c>
      <c r="F554" s="330">
        <v>30.2</v>
      </c>
      <c r="G554" s="330">
        <v>17.8</v>
      </c>
      <c r="H554" s="330">
        <f t="shared" si="30"/>
        <v>22.729077338044966</v>
      </c>
      <c r="I554" s="330">
        <f t="shared" si="31"/>
        <v>21.796922661955037</v>
      </c>
      <c r="J554" s="350"/>
      <c r="K554" s="342"/>
      <c r="L554" s="342"/>
      <c r="M554" s="343"/>
      <c r="N554" s="343"/>
      <c r="O554" s="343"/>
      <c r="P554" s="343"/>
      <c r="Q554" s="343"/>
      <c r="R554" s="343"/>
      <c r="S554" s="343"/>
    </row>
    <row r="555" spans="1:19" x14ac:dyDescent="0.2">
      <c r="A555" s="324">
        <v>15</v>
      </c>
      <c r="B555" s="324">
        <v>70</v>
      </c>
      <c r="C555" s="326">
        <v>22.253</v>
      </c>
      <c r="D555" s="326">
        <v>22.1</v>
      </c>
      <c r="E555" s="326">
        <v>1.544</v>
      </c>
      <c r="F555" s="326">
        <v>26.2</v>
      </c>
      <c r="G555" s="326">
        <v>19.399999999999999</v>
      </c>
      <c r="H555" s="326">
        <f t="shared" si="30"/>
        <v>22.614704862671211</v>
      </c>
      <c r="I555" s="326">
        <f t="shared" si="31"/>
        <v>21.89129513732879</v>
      </c>
      <c r="J555" s="350"/>
      <c r="K555" s="342"/>
      <c r="L555" s="342"/>
      <c r="M555" s="343"/>
      <c r="N555" s="343"/>
      <c r="O555" s="343"/>
      <c r="P555" s="343"/>
      <c r="Q555" s="343"/>
      <c r="R555" s="343"/>
      <c r="S555" s="343"/>
    </row>
    <row r="556" spans="1:19" x14ac:dyDescent="0.2">
      <c r="A556" s="329">
        <v>16</v>
      </c>
      <c r="B556" s="329">
        <v>38</v>
      </c>
      <c r="C556" s="330">
        <v>22.402999999999999</v>
      </c>
      <c r="D556" s="330">
        <v>22.05</v>
      </c>
      <c r="E556" s="330">
        <v>1.968</v>
      </c>
      <c r="F556" s="330">
        <v>29.6</v>
      </c>
      <c r="G556" s="330">
        <v>20.100000000000001</v>
      </c>
      <c r="H556" s="330">
        <f t="shared" si="30"/>
        <v>23.028733443299267</v>
      </c>
      <c r="I556" s="330">
        <f t="shared" si="31"/>
        <v>21.777266556700731</v>
      </c>
      <c r="J556" s="350"/>
      <c r="K556" s="342"/>
      <c r="L556" s="342"/>
      <c r="M556" s="343"/>
      <c r="N556" s="343"/>
      <c r="O556" s="343"/>
      <c r="P556" s="343"/>
      <c r="Q556" s="343"/>
      <c r="R556" s="343"/>
      <c r="S556" s="343"/>
    </row>
    <row r="557" spans="1:19" x14ac:dyDescent="0.2">
      <c r="A557" s="324">
        <v>17</v>
      </c>
      <c r="B557" s="324">
        <v>30</v>
      </c>
      <c r="C557" s="326">
        <v>22.707000000000001</v>
      </c>
      <c r="D557" s="326">
        <v>22.55</v>
      </c>
      <c r="E557" s="326">
        <v>1.9590000000000001</v>
      </c>
      <c r="F557" s="326">
        <v>27.8</v>
      </c>
      <c r="G557" s="326">
        <v>20.2</v>
      </c>
      <c r="H557" s="326">
        <f t="shared" si="30"/>
        <v>23.408019146899711</v>
      </c>
      <c r="I557" s="326">
        <f t="shared" si="31"/>
        <v>22.00598085310029</v>
      </c>
      <c r="J557" s="350"/>
      <c r="K557" s="342"/>
      <c r="L557" s="342"/>
      <c r="M557" s="343"/>
      <c r="N557" s="343"/>
      <c r="O557" s="343"/>
      <c r="P557" s="343"/>
      <c r="Q557" s="343"/>
      <c r="R557" s="343"/>
      <c r="S557" s="343"/>
    </row>
    <row r="558" spans="1:19" x14ac:dyDescent="0.2">
      <c r="A558" s="329">
        <v>18</v>
      </c>
      <c r="B558" s="329">
        <v>21</v>
      </c>
      <c r="C558" s="330">
        <v>22.452000000000002</v>
      </c>
      <c r="D558" s="330">
        <v>22.4</v>
      </c>
      <c r="E558" s="330">
        <v>1.1839999999999999</v>
      </c>
      <c r="F558" s="330">
        <v>25.1</v>
      </c>
      <c r="G558" s="330">
        <v>20.3</v>
      </c>
      <c r="H558" s="330">
        <f t="shared" si="30"/>
        <v>22.958405164797256</v>
      </c>
      <c r="I558" s="330">
        <f t="shared" si="31"/>
        <v>21.945594835202748</v>
      </c>
      <c r="J558" s="350"/>
      <c r="K558" s="342"/>
      <c r="L558" s="342"/>
      <c r="M558" s="343"/>
      <c r="N558" s="343"/>
      <c r="O558" s="343"/>
      <c r="P558" s="343"/>
      <c r="Q558" s="343"/>
      <c r="R558" s="343"/>
      <c r="S558" s="343"/>
    </row>
    <row r="559" spans="1:19" x14ac:dyDescent="0.2">
      <c r="A559" s="324">
        <v>19</v>
      </c>
      <c r="B559" s="324">
        <v>7</v>
      </c>
      <c r="C559" s="326">
        <v>22.928999999999998</v>
      </c>
      <c r="D559" s="326">
        <v>23.4</v>
      </c>
      <c r="E559" s="326">
        <v>2.5510000000000002</v>
      </c>
      <c r="F559" s="326">
        <v>26.7</v>
      </c>
      <c r="G559" s="326">
        <v>19.5</v>
      </c>
      <c r="H559" s="326">
        <f t="shared" si="30"/>
        <v>24.818807246467216</v>
      </c>
      <c r="I559" s="326">
        <f t="shared" si="31"/>
        <v>21.039192753532781</v>
      </c>
      <c r="J559" s="350"/>
      <c r="K559" s="342"/>
      <c r="L559" s="342"/>
      <c r="M559" s="343"/>
      <c r="N559" s="343"/>
      <c r="O559" s="343"/>
      <c r="P559" s="343"/>
      <c r="Q559" s="343"/>
      <c r="R559" s="343"/>
      <c r="S559" s="343"/>
    </row>
    <row r="560" spans="1:19" x14ac:dyDescent="0.2">
      <c r="A560" s="324"/>
      <c r="B560" s="324"/>
      <c r="C560" s="324"/>
      <c r="D560" s="324"/>
      <c r="E560" s="324"/>
      <c r="F560" s="324"/>
      <c r="G560" s="324"/>
      <c r="H560" s="326"/>
      <c r="I560" s="326"/>
      <c r="J560" s="350"/>
      <c r="K560" s="351"/>
      <c r="L560" s="342"/>
      <c r="M560" s="343"/>
      <c r="N560" s="343"/>
      <c r="O560" s="343"/>
      <c r="P560" s="343"/>
      <c r="Q560" s="343"/>
      <c r="R560" s="343"/>
      <c r="S560" s="343"/>
    </row>
    <row r="561" spans="1:19" x14ac:dyDescent="0.2">
      <c r="A561" s="324"/>
      <c r="B561" s="324"/>
      <c r="C561" s="324"/>
      <c r="D561" s="324"/>
      <c r="E561" s="324"/>
      <c r="F561" s="324"/>
      <c r="G561" s="324"/>
      <c r="H561" s="326"/>
      <c r="I561" s="326"/>
      <c r="J561" s="350"/>
      <c r="K561" s="342"/>
      <c r="L561" s="342"/>
      <c r="M561" s="343"/>
      <c r="N561" s="343"/>
      <c r="O561" s="343"/>
      <c r="P561" s="343"/>
      <c r="Q561" s="343"/>
      <c r="R561" s="343"/>
      <c r="S561" s="343"/>
    </row>
    <row r="562" spans="1:19" x14ac:dyDescent="0.2">
      <c r="A562" s="800" t="s">
        <v>698</v>
      </c>
      <c r="B562" s="800"/>
      <c r="C562" s="800"/>
      <c r="D562" s="800"/>
      <c r="E562" s="800"/>
      <c r="F562" s="800"/>
      <c r="G562" s="800"/>
      <c r="H562" s="800"/>
      <c r="I562" s="801"/>
      <c r="J562" s="350"/>
      <c r="K562" s="342"/>
      <c r="L562" s="342"/>
      <c r="M562" s="352"/>
      <c r="N562" s="352"/>
      <c r="O562" s="352"/>
      <c r="P562" s="352"/>
      <c r="Q562" s="352"/>
      <c r="R562" s="343"/>
      <c r="S562" s="343"/>
    </row>
    <row r="563" spans="1:19" x14ac:dyDescent="0.2">
      <c r="A563" s="324" t="s">
        <v>504</v>
      </c>
      <c r="B563" s="324" t="s">
        <v>641</v>
      </c>
      <c r="C563" s="326" t="s">
        <v>642</v>
      </c>
      <c r="D563" s="326" t="s">
        <v>643</v>
      </c>
      <c r="E563" s="326" t="s">
        <v>644</v>
      </c>
      <c r="F563" s="326" t="s">
        <v>645</v>
      </c>
      <c r="G563" s="326" t="s">
        <v>646</v>
      </c>
      <c r="H563" s="326" t="s">
        <v>647</v>
      </c>
      <c r="I563" s="326" t="s">
        <v>648</v>
      </c>
      <c r="J563" s="350"/>
      <c r="K563" s="342"/>
      <c r="L563" s="342"/>
      <c r="M563" s="352"/>
      <c r="N563" s="352"/>
      <c r="O563" s="352"/>
      <c r="P563" s="352"/>
      <c r="Q563" s="352"/>
      <c r="R563" s="352"/>
      <c r="S563" s="352"/>
    </row>
    <row r="564" spans="1:19" x14ac:dyDescent="0.2">
      <c r="A564" s="329">
        <v>7</v>
      </c>
      <c r="B564" s="329">
        <v>14</v>
      </c>
      <c r="C564" s="330">
        <v>9.8140000000000001</v>
      </c>
      <c r="D564" s="330">
        <v>8.4499999999999993</v>
      </c>
      <c r="E564" s="330">
        <v>3.5449999999999999</v>
      </c>
      <c r="F564" s="330">
        <v>16.600000000000001</v>
      </c>
      <c r="G564" s="330">
        <v>5.9</v>
      </c>
      <c r="H564" s="330">
        <f t="shared" ref="H564:H627" si="32">C564+(1.96*E564)/(B564)^0.5</f>
        <v>11.670984561055906</v>
      </c>
      <c r="I564" s="330">
        <f t="shared" ref="I564:I627" si="33">C564-(1.96*E564)/(B564)^0.5</f>
        <v>7.9570154389440928</v>
      </c>
      <c r="J564" s="350"/>
      <c r="K564" s="342"/>
      <c r="L564" s="342"/>
      <c r="M564" s="352"/>
      <c r="N564" s="352"/>
      <c r="O564" s="352"/>
      <c r="P564" s="352"/>
      <c r="Q564" s="352"/>
      <c r="R564" s="352"/>
      <c r="S564" s="352"/>
    </row>
    <row r="565" spans="1:19" x14ac:dyDescent="0.2">
      <c r="A565" s="324">
        <v>8</v>
      </c>
      <c r="B565" s="324">
        <v>39</v>
      </c>
      <c r="C565" s="326">
        <v>11.897</v>
      </c>
      <c r="D565" s="326">
        <v>9.4</v>
      </c>
      <c r="E565" s="326">
        <v>5.4749999999999996</v>
      </c>
      <c r="F565" s="326">
        <v>24.9</v>
      </c>
      <c r="G565" s="326">
        <v>6.4</v>
      </c>
      <c r="H565" s="326">
        <f t="shared" si="32"/>
        <v>13.615335218482389</v>
      </c>
      <c r="I565" s="326">
        <f t="shared" si="33"/>
        <v>10.178664781517611</v>
      </c>
      <c r="J565" s="350"/>
      <c r="K565" s="342"/>
      <c r="L565" s="342"/>
      <c r="M565" s="352"/>
      <c r="N565" s="352"/>
      <c r="O565" s="352"/>
      <c r="P565" s="352"/>
      <c r="Q565" s="352"/>
      <c r="R565" s="352"/>
      <c r="S565" s="352"/>
    </row>
    <row r="566" spans="1:19" x14ac:dyDescent="0.2">
      <c r="A566" s="329">
        <v>9</v>
      </c>
      <c r="B566" s="329">
        <v>57</v>
      </c>
      <c r="C566" s="330">
        <v>11.084</v>
      </c>
      <c r="D566" s="330">
        <v>9.4</v>
      </c>
      <c r="E566" s="330">
        <v>5.016</v>
      </c>
      <c r="F566" s="330">
        <v>28.7</v>
      </c>
      <c r="G566" s="330">
        <v>4.8</v>
      </c>
      <c r="H566" s="330">
        <f t="shared" si="32"/>
        <v>12.386195443395499</v>
      </c>
      <c r="I566" s="330">
        <f t="shared" si="33"/>
        <v>9.7818045566045004</v>
      </c>
      <c r="J566" s="350"/>
      <c r="K566" s="342"/>
      <c r="L566" s="342"/>
      <c r="M566" s="352"/>
      <c r="N566" s="352"/>
      <c r="O566" s="352"/>
      <c r="P566" s="352"/>
      <c r="Q566" s="352"/>
      <c r="R566" s="352"/>
      <c r="S566" s="352"/>
    </row>
    <row r="567" spans="1:19" x14ac:dyDescent="0.2">
      <c r="A567" s="324">
        <v>10</v>
      </c>
      <c r="B567" s="324">
        <v>66</v>
      </c>
      <c r="C567" s="326">
        <v>13.195</v>
      </c>
      <c r="D567" s="326">
        <v>11.45</v>
      </c>
      <c r="E567" s="326">
        <v>6.0350000000000001</v>
      </c>
      <c r="F567" s="326">
        <v>29.2</v>
      </c>
      <c r="G567" s="326">
        <v>3.6</v>
      </c>
      <c r="H567" s="326">
        <f t="shared" si="32"/>
        <v>14.651000010198135</v>
      </c>
      <c r="I567" s="326">
        <f t="shared" si="33"/>
        <v>11.738999989801865</v>
      </c>
      <c r="J567" s="350"/>
      <c r="K567" s="342"/>
      <c r="L567" s="342"/>
      <c r="M567" s="352"/>
      <c r="N567" s="352"/>
      <c r="O567" s="352"/>
      <c r="P567" s="352"/>
      <c r="Q567" s="352"/>
      <c r="R567" s="352"/>
      <c r="S567" s="352"/>
    </row>
    <row r="568" spans="1:19" x14ac:dyDescent="0.2">
      <c r="A568" s="329">
        <v>11</v>
      </c>
      <c r="B568" s="329">
        <v>55</v>
      </c>
      <c r="C568" s="330">
        <v>12.427</v>
      </c>
      <c r="D568" s="330">
        <v>10.3</v>
      </c>
      <c r="E568" s="330">
        <v>6.0430000000000001</v>
      </c>
      <c r="F568" s="330">
        <v>29.4</v>
      </c>
      <c r="G568" s="330">
        <v>5.2</v>
      </c>
      <c r="H568" s="330">
        <f t="shared" si="32"/>
        <v>14.024082389395225</v>
      </c>
      <c r="I568" s="330">
        <f t="shared" si="33"/>
        <v>10.829917610604774</v>
      </c>
      <c r="J568" s="350"/>
      <c r="K568" s="342"/>
      <c r="L568" s="342"/>
      <c r="M568" s="352"/>
      <c r="N568" s="352"/>
      <c r="O568" s="352"/>
      <c r="P568" s="352"/>
      <c r="Q568" s="352"/>
      <c r="R568" s="352"/>
      <c r="S568" s="352"/>
    </row>
    <row r="569" spans="1:19" x14ac:dyDescent="0.2">
      <c r="A569" s="329">
        <v>12</v>
      </c>
      <c r="B569" s="329">
        <v>35</v>
      </c>
      <c r="C569" s="330">
        <v>14.72</v>
      </c>
      <c r="D569" s="330">
        <v>13.2</v>
      </c>
      <c r="E569" s="330">
        <v>6.4880000000000004</v>
      </c>
      <c r="F569" s="330">
        <v>32.200000000000003</v>
      </c>
      <c r="G569" s="330">
        <v>5.2</v>
      </c>
      <c r="H569" s="330">
        <f t="shared" si="32"/>
        <v>16.869477435434018</v>
      </c>
      <c r="I569" s="330">
        <f t="shared" si="33"/>
        <v>12.570522564565984</v>
      </c>
      <c r="J569" s="350"/>
      <c r="K569" s="342"/>
      <c r="L569" s="342"/>
      <c r="M569" s="352"/>
      <c r="N569" s="352"/>
      <c r="O569" s="352"/>
      <c r="P569" s="352"/>
      <c r="Q569" s="352"/>
      <c r="R569" s="352"/>
      <c r="S569" s="352"/>
    </row>
    <row r="570" spans="1:19" x14ac:dyDescent="0.2">
      <c r="A570" s="324">
        <v>13</v>
      </c>
      <c r="B570" s="324">
        <v>64</v>
      </c>
      <c r="C570" s="326">
        <v>10.688000000000001</v>
      </c>
      <c r="D570" s="326">
        <v>9.65</v>
      </c>
      <c r="E570" s="326">
        <v>4.4470000000000001</v>
      </c>
      <c r="F570" s="326">
        <v>27.8</v>
      </c>
      <c r="G570" s="326">
        <v>5.3</v>
      </c>
      <c r="H570" s="326">
        <f t="shared" si="32"/>
        <v>11.777515000000001</v>
      </c>
      <c r="I570" s="326">
        <f t="shared" si="33"/>
        <v>9.5984850000000002</v>
      </c>
      <c r="J570" s="350"/>
      <c r="K570" s="342"/>
      <c r="L570" s="342"/>
      <c r="M570" s="352"/>
      <c r="N570" s="352"/>
      <c r="O570" s="352"/>
      <c r="P570" s="352"/>
      <c r="Q570" s="352"/>
      <c r="R570" s="352"/>
      <c r="S570" s="352"/>
    </row>
    <row r="571" spans="1:19" x14ac:dyDescent="0.2">
      <c r="A571" s="329">
        <v>14</v>
      </c>
      <c r="B571" s="329">
        <v>87</v>
      </c>
      <c r="C571" s="330">
        <v>11.006</v>
      </c>
      <c r="D571" s="330">
        <v>9.3000000000000007</v>
      </c>
      <c r="E571" s="330">
        <v>5.665</v>
      </c>
      <c r="F571" s="330">
        <v>31.7</v>
      </c>
      <c r="G571" s="330">
        <v>4.7</v>
      </c>
      <c r="H571" s="330">
        <f t="shared" si="32"/>
        <v>12.196409431931798</v>
      </c>
      <c r="I571" s="330">
        <f t="shared" si="33"/>
        <v>9.8155905680682025</v>
      </c>
      <c r="J571" s="350"/>
      <c r="K571" s="342"/>
      <c r="L571" s="342"/>
      <c r="M571" s="352"/>
      <c r="N571" s="352"/>
      <c r="O571" s="352"/>
      <c r="P571" s="352"/>
      <c r="Q571" s="352"/>
      <c r="R571" s="352"/>
      <c r="S571" s="352"/>
    </row>
    <row r="572" spans="1:19" x14ac:dyDescent="0.2">
      <c r="A572" s="324">
        <v>15</v>
      </c>
      <c r="B572" s="324">
        <v>70</v>
      </c>
      <c r="C572" s="326">
        <v>11.331</v>
      </c>
      <c r="D572" s="326">
        <v>9.3000000000000007</v>
      </c>
      <c r="E572" s="326">
        <v>6.17</v>
      </c>
      <c r="F572" s="326">
        <v>36</v>
      </c>
      <c r="G572" s="326">
        <v>4.5</v>
      </c>
      <c r="H572" s="326">
        <f t="shared" si="32"/>
        <v>12.776413861840268</v>
      </c>
      <c r="I572" s="326">
        <f t="shared" si="33"/>
        <v>9.8855861381597308</v>
      </c>
      <c r="J572" s="350"/>
      <c r="K572" s="342"/>
      <c r="L572" s="342"/>
      <c r="M572" s="352"/>
      <c r="N572" s="352"/>
      <c r="O572" s="352"/>
      <c r="P572" s="352"/>
      <c r="Q572" s="352"/>
      <c r="R572" s="352"/>
      <c r="S572" s="352"/>
    </row>
    <row r="573" spans="1:19" x14ac:dyDescent="0.2">
      <c r="A573" s="329">
        <v>16</v>
      </c>
      <c r="B573" s="329">
        <v>38</v>
      </c>
      <c r="C573" s="330">
        <v>12.141999999999999</v>
      </c>
      <c r="D573" s="330">
        <v>9.6999999999999993</v>
      </c>
      <c r="E573" s="330">
        <v>7.0510000000000002</v>
      </c>
      <c r="F573" s="330">
        <v>39</v>
      </c>
      <c r="G573" s="330">
        <v>5.8</v>
      </c>
      <c r="H573" s="330">
        <f t="shared" si="32"/>
        <v>14.383893551170292</v>
      </c>
      <c r="I573" s="330">
        <f t="shared" si="33"/>
        <v>9.9001064488297068</v>
      </c>
      <c r="J573" s="350"/>
      <c r="K573" s="342"/>
      <c r="L573" s="342"/>
      <c r="M573" s="352"/>
      <c r="N573" s="352"/>
      <c r="O573" s="352"/>
      <c r="P573" s="352"/>
      <c r="Q573" s="352"/>
      <c r="R573" s="352"/>
      <c r="S573" s="352"/>
    </row>
    <row r="574" spans="1:19" x14ac:dyDescent="0.2">
      <c r="A574" s="324">
        <v>17</v>
      </c>
      <c r="B574" s="324">
        <v>30</v>
      </c>
      <c r="C574" s="326">
        <v>12.44</v>
      </c>
      <c r="D574" s="326">
        <v>10.1</v>
      </c>
      <c r="E574" s="326">
        <v>6.351</v>
      </c>
      <c r="F574" s="326">
        <v>29.1</v>
      </c>
      <c r="G574" s="326">
        <v>5.4</v>
      </c>
      <c r="H574" s="326">
        <f t="shared" si="32"/>
        <v>14.712676162307336</v>
      </c>
      <c r="I574" s="326">
        <f t="shared" si="33"/>
        <v>10.167323837692663</v>
      </c>
      <c r="J574" s="350"/>
      <c r="K574" s="342"/>
      <c r="L574" s="342"/>
      <c r="M574" s="352"/>
      <c r="N574" s="352"/>
      <c r="O574" s="352"/>
      <c r="P574" s="352"/>
      <c r="Q574" s="352"/>
      <c r="R574" s="343"/>
      <c r="S574" s="343"/>
    </row>
    <row r="575" spans="1:19" x14ac:dyDescent="0.2">
      <c r="A575" s="329">
        <v>18</v>
      </c>
      <c r="B575" s="329">
        <v>21</v>
      </c>
      <c r="C575" s="330">
        <v>9.5429999999999993</v>
      </c>
      <c r="D575" s="330">
        <v>9.1999999999999993</v>
      </c>
      <c r="E575" s="330">
        <v>3.0179999999999998</v>
      </c>
      <c r="F575" s="330">
        <v>16.2</v>
      </c>
      <c r="G575" s="330">
        <v>5.6</v>
      </c>
      <c r="H575" s="330">
        <f t="shared" si="32"/>
        <v>10.833819921755159</v>
      </c>
      <c r="I575" s="330">
        <f t="shared" si="33"/>
        <v>8.2521800782448391</v>
      </c>
      <c r="J575" s="350"/>
      <c r="K575" s="342"/>
      <c r="L575" s="342"/>
      <c r="M575" s="343"/>
      <c r="N575" s="343"/>
      <c r="O575" s="343"/>
      <c r="P575" s="343"/>
      <c r="Q575" s="343"/>
      <c r="R575" s="343"/>
      <c r="S575" s="343"/>
    </row>
    <row r="576" spans="1:19" x14ac:dyDescent="0.2">
      <c r="A576" s="324">
        <v>19</v>
      </c>
      <c r="B576" s="324">
        <v>7</v>
      </c>
      <c r="C576" s="326">
        <v>13.186</v>
      </c>
      <c r="D576" s="326">
        <v>11.3</v>
      </c>
      <c r="E576" s="326">
        <v>7.7750000000000004</v>
      </c>
      <c r="F576" s="326">
        <v>26</v>
      </c>
      <c r="G576" s="326">
        <v>4.9000000000000004</v>
      </c>
      <c r="H576" s="326">
        <f t="shared" si="32"/>
        <v>18.945800604187614</v>
      </c>
      <c r="I576" s="326">
        <f t="shared" si="33"/>
        <v>7.426199395812386</v>
      </c>
      <c r="J576" s="350"/>
      <c r="K576" s="351"/>
      <c r="L576" s="342"/>
      <c r="M576" s="343"/>
      <c r="N576" s="343"/>
      <c r="O576" s="343"/>
      <c r="P576" s="343"/>
      <c r="Q576" s="343"/>
      <c r="R576" s="343"/>
      <c r="S576" s="343"/>
    </row>
    <row r="577" spans="1:19" x14ac:dyDescent="0.2">
      <c r="A577" s="324"/>
      <c r="B577" s="324"/>
      <c r="C577" s="324"/>
      <c r="D577" s="324"/>
      <c r="E577" s="324"/>
      <c r="F577" s="324"/>
      <c r="G577" s="324"/>
      <c r="H577" s="326"/>
      <c r="I577" s="326"/>
      <c r="J577" s="350"/>
      <c r="K577" s="342"/>
      <c r="L577" s="342"/>
      <c r="M577" s="343"/>
      <c r="N577" s="343"/>
      <c r="O577" s="343"/>
      <c r="P577" s="343"/>
      <c r="Q577" s="343"/>
      <c r="R577" s="343"/>
      <c r="S577" s="343"/>
    </row>
    <row r="578" spans="1:19" x14ac:dyDescent="0.2">
      <c r="A578" s="324"/>
      <c r="B578" s="324"/>
      <c r="C578" s="324"/>
      <c r="D578" s="324"/>
      <c r="E578" s="324"/>
      <c r="F578" s="324"/>
      <c r="G578" s="324"/>
      <c r="H578" s="326"/>
      <c r="I578" s="326"/>
      <c r="J578" s="350"/>
      <c r="K578" s="342"/>
      <c r="L578" s="342"/>
      <c r="M578" s="352"/>
      <c r="N578" s="352"/>
      <c r="O578" s="352"/>
      <c r="P578" s="352"/>
      <c r="Q578" s="352"/>
      <c r="R578" s="343"/>
      <c r="S578" s="343"/>
    </row>
    <row r="579" spans="1:19" x14ac:dyDescent="0.2">
      <c r="A579" s="800" t="s">
        <v>699</v>
      </c>
      <c r="B579" s="800"/>
      <c r="C579" s="800"/>
      <c r="D579" s="800"/>
      <c r="E579" s="800"/>
      <c r="F579" s="800"/>
      <c r="G579" s="800"/>
      <c r="H579" s="800"/>
      <c r="I579" s="801"/>
      <c r="J579" s="350"/>
      <c r="K579" s="342"/>
      <c r="L579" s="342"/>
      <c r="M579" s="352"/>
      <c r="N579" s="352"/>
      <c r="O579" s="352"/>
      <c r="P579" s="352"/>
      <c r="Q579" s="352"/>
      <c r="R579" s="352"/>
      <c r="S579" s="352"/>
    </row>
    <row r="580" spans="1:19" x14ac:dyDescent="0.2">
      <c r="A580" s="324" t="s">
        <v>504</v>
      </c>
      <c r="B580" s="324" t="s">
        <v>641</v>
      </c>
      <c r="C580" s="326" t="s">
        <v>642</v>
      </c>
      <c r="D580" s="326" t="s">
        <v>643</v>
      </c>
      <c r="E580" s="326" t="s">
        <v>644</v>
      </c>
      <c r="F580" s="326" t="s">
        <v>645</v>
      </c>
      <c r="G580" s="326" t="s">
        <v>646</v>
      </c>
      <c r="H580" s="326" t="s">
        <v>647</v>
      </c>
      <c r="I580" s="326" t="s">
        <v>648</v>
      </c>
      <c r="J580" s="350"/>
      <c r="K580" s="342"/>
      <c r="L580" s="342"/>
      <c r="M580" s="352"/>
      <c r="N580" s="352"/>
      <c r="O580" s="352"/>
      <c r="P580" s="352"/>
      <c r="Q580" s="352"/>
      <c r="R580" s="352"/>
      <c r="S580" s="352"/>
    </row>
    <row r="581" spans="1:19" x14ac:dyDescent="0.2">
      <c r="A581" s="329">
        <v>7</v>
      </c>
      <c r="B581" s="329">
        <v>14</v>
      </c>
      <c r="C581" s="330">
        <v>6.157</v>
      </c>
      <c r="D581" s="330">
        <v>5.3</v>
      </c>
      <c r="E581" s="330">
        <v>2.3359999999999999</v>
      </c>
      <c r="F581" s="330">
        <v>12.2</v>
      </c>
      <c r="G581" s="330">
        <v>3.9</v>
      </c>
      <c r="H581" s="330">
        <f t="shared" si="32"/>
        <v>7.3806716317705501</v>
      </c>
      <c r="I581" s="330">
        <f t="shared" si="33"/>
        <v>4.93332836822945</v>
      </c>
      <c r="J581" s="350"/>
      <c r="K581" s="342"/>
      <c r="L581" s="342"/>
      <c r="M581" s="352"/>
      <c r="N581" s="352"/>
      <c r="O581" s="352"/>
      <c r="P581" s="352"/>
      <c r="Q581" s="352"/>
      <c r="R581" s="352"/>
      <c r="S581" s="352"/>
    </row>
    <row r="582" spans="1:19" x14ac:dyDescent="0.2">
      <c r="A582" s="324">
        <v>8</v>
      </c>
      <c r="B582" s="324">
        <v>39</v>
      </c>
      <c r="C582" s="326">
        <v>8.9489999999999998</v>
      </c>
      <c r="D582" s="326">
        <v>6</v>
      </c>
      <c r="E582" s="326">
        <v>5.7939999999999996</v>
      </c>
      <c r="F582" s="326">
        <v>21.7</v>
      </c>
      <c r="G582" s="326">
        <v>4.0999999999999996</v>
      </c>
      <c r="H582" s="326">
        <f t="shared" si="32"/>
        <v>10.767453745367483</v>
      </c>
      <c r="I582" s="326">
        <f t="shared" si="33"/>
        <v>7.1305462546325167</v>
      </c>
      <c r="J582" s="350"/>
      <c r="K582" s="342"/>
      <c r="L582" s="342"/>
      <c r="M582" s="352"/>
      <c r="N582" s="352"/>
      <c r="O582" s="352"/>
      <c r="P582" s="352"/>
      <c r="Q582" s="352"/>
      <c r="R582" s="352"/>
      <c r="S582" s="352"/>
    </row>
    <row r="583" spans="1:19" x14ac:dyDescent="0.2">
      <c r="A583" s="329">
        <v>9</v>
      </c>
      <c r="B583" s="329">
        <v>57</v>
      </c>
      <c r="C583" s="330">
        <v>7.44</v>
      </c>
      <c r="D583" s="330">
        <v>5.4</v>
      </c>
      <c r="E583" s="330">
        <v>5.4279999999999999</v>
      </c>
      <c r="F583" s="330">
        <v>34.6</v>
      </c>
      <c r="G583" s="330">
        <v>4.3</v>
      </c>
      <c r="H583" s="330">
        <f t="shared" si="32"/>
        <v>8.849154080293216</v>
      </c>
      <c r="I583" s="330">
        <f t="shared" si="33"/>
        <v>6.0308459197067847</v>
      </c>
      <c r="J583" s="350"/>
      <c r="K583" s="342"/>
      <c r="L583" s="342"/>
      <c r="M583" s="352"/>
      <c r="N583" s="352"/>
      <c r="O583" s="352"/>
      <c r="P583" s="352"/>
      <c r="Q583" s="352"/>
      <c r="R583" s="352"/>
      <c r="S583" s="352"/>
    </row>
    <row r="584" spans="1:19" x14ac:dyDescent="0.2">
      <c r="A584" s="324">
        <v>10</v>
      </c>
      <c r="B584" s="324">
        <v>66</v>
      </c>
      <c r="C584" s="326">
        <v>8.7729999999999997</v>
      </c>
      <c r="D584" s="326">
        <v>6.75</v>
      </c>
      <c r="E584" s="326">
        <v>6.63</v>
      </c>
      <c r="F584" s="326">
        <v>33.6</v>
      </c>
      <c r="G584" s="326">
        <v>4</v>
      </c>
      <c r="H584" s="326">
        <f t="shared" si="32"/>
        <v>10.372549306978232</v>
      </c>
      <c r="I584" s="326">
        <f t="shared" si="33"/>
        <v>7.173450693021767</v>
      </c>
      <c r="J584" s="350"/>
      <c r="K584" s="342"/>
      <c r="L584" s="342"/>
      <c r="M584" s="352"/>
      <c r="N584" s="352"/>
      <c r="O584" s="352"/>
      <c r="P584" s="352"/>
      <c r="Q584" s="352"/>
      <c r="R584" s="352"/>
      <c r="S584" s="352"/>
    </row>
    <row r="585" spans="1:19" x14ac:dyDescent="0.2">
      <c r="A585" s="329">
        <v>11</v>
      </c>
      <c r="B585" s="329">
        <v>55</v>
      </c>
      <c r="C585" s="330">
        <v>9.5150000000000006</v>
      </c>
      <c r="D585" s="330">
        <v>6.8</v>
      </c>
      <c r="E585" s="330">
        <v>6.7939999999999996</v>
      </c>
      <c r="F585" s="330">
        <v>32.5</v>
      </c>
      <c r="G585" s="330">
        <v>4.0999999999999996</v>
      </c>
      <c r="H585" s="330">
        <f t="shared" si="32"/>
        <v>11.310561435305505</v>
      </c>
      <c r="I585" s="330">
        <f t="shared" si="33"/>
        <v>7.7194385646944959</v>
      </c>
      <c r="J585" s="350"/>
      <c r="K585" s="342"/>
      <c r="L585" s="342"/>
      <c r="M585" s="352"/>
      <c r="N585" s="352"/>
      <c r="O585" s="352"/>
      <c r="P585" s="352"/>
      <c r="Q585" s="352"/>
      <c r="R585" s="352"/>
      <c r="S585" s="352"/>
    </row>
    <row r="586" spans="1:19" x14ac:dyDescent="0.2">
      <c r="A586" s="329">
        <v>12</v>
      </c>
      <c r="B586" s="329">
        <v>35</v>
      </c>
      <c r="C586" s="330">
        <v>9.7059999999999995</v>
      </c>
      <c r="D586" s="330">
        <v>7.3</v>
      </c>
      <c r="E586" s="330">
        <v>5.43</v>
      </c>
      <c r="F586" s="330">
        <v>30</v>
      </c>
      <c r="G586" s="330">
        <v>4.9000000000000004</v>
      </c>
      <c r="H586" s="330">
        <f t="shared" si="32"/>
        <v>11.504961540444931</v>
      </c>
      <c r="I586" s="330">
        <f t="shared" si="33"/>
        <v>7.9070384595550687</v>
      </c>
      <c r="J586" s="350"/>
      <c r="K586" s="342"/>
      <c r="L586" s="342"/>
      <c r="M586" s="352"/>
      <c r="N586" s="352"/>
      <c r="O586" s="352"/>
      <c r="P586" s="352"/>
      <c r="Q586" s="352"/>
      <c r="R586" s="352"/>
      <c r="S586" s="352"/>
    </row>
    <row r="587" spans="1:19" x14ac:dyDescent="0.2">
      <c r="A587" s="324">
        <v>13</v>
      </c>
      <c r="B587" s="324">
        <v>64</v>
      </c>
      <c r="C587" s="326">
        <v>7.9660000000000002</v>
      </c>
      <c r="D587" s="326">
        <v>6.75</v>
      </c>
      <c r="E587" s="326">
        <v>3.5750000000000002</v>
      </c>
      <c r="F587" s="326">
        <v>24.1</v>
      </c>
      <c r="G587" s="326">
        <v>4.7</v>
      </c>
      <c r="H587" s="326">
        <f t="shared" si="32"/>
        <v>8.8418749999999999</v>
      </c>
      <c r="I587" s="326">
        <f t="shared" si="33"/>
        <v>7.0901250000000005</v>
      </c>
      <c r="J587" s="350"/>
      <c r="K587" s="342"/>
      <c r="L587" s="342"/>
      <c r="M587" s="352"/>
      <c r="N587" s="352"/>
      <c r="O587" s="352"/>
      <c r="P587" s="352"/>
      <c r="Q587" s="352"/>
      <c r="R587" s="352"/>
      <c r="S587" s="352"/>
    </row>
    <row r="588" spans="1:19" x14ac:dyDescent="0.2">
      <c r="A588" s="329">
        <v>14</v>
      </c>
      <c r="B588" s="329">
        <v>87</v>
      </c>
      <c r="C588" s="330">
        <v>9.468</v>
      </c>
      <c r="D588" s="330">
        <v>7.6</v>
      </c>
      <c r="E588" s="330">
        <v>5.8239999999999998</v>
      </c>
      <c r="F588" s="330">
        <v>40.700000000000003</v>
      </c>
      <c r="G588" s="330">
        <v>4.9000000000000004</v>
      </c>
      <c r="H588" s="330">
        <f t="shared" si="32"/>
        <v>10.691820746967482</v>
      </c>
      <c r="I588" s="330">
        <f t="shared" si="33"/>
        <v>8.2441792530325184</v>
      </c>
      <c r="J588" s="350"/>
      <c r="K588" s="342"/>
      <c r="L588" s="342"/>
      <c r="M588" s="352"/>
      <c r="N588" s="352"/>
      <c r="O588" s="352"/>
      <c r="P588" s="352"/>
      <c r="Q588" s="352"/>
      <c r="R588" s="352"/>
      <c r="S588" s="352"/>
    </row>
    <row r="589" spans="1:19" x14ac:dyDescent="0.2">
      <c r="A589" s="324">
        <v>15</v>
      </c>
      <c r="B589" s="324">
        <v>70</v>
      </c>
      <c r="C589" s="326">
        <v>10.407</v>
      </c>
      <c r="D589" s="326">
        <v>8.6999999999999993</v>
      </c>
      <c r="E589" s="326">
        <v>6.48</v>
      </c>
      <c r="F589" s="326">
        <v>36.5</v>
      </c>
      <c r="G589" s="326">
        <v>2</v>
      </c>
      <c r="H589" s="326">
        <f t="shared" si="32"/>
        <v>11.925035952143427</v>
      </c>
      <c r="I589" s="326">
        <f t="shared" si="33"/>
        <v>8.8889640478565735</v>
      </c>
      <c r="J589" s="350"/>
      <c r="K589" s="342"/>
      <c r="L589" s="342"/>
      <c r="M589" s="352"/>
      <c r="N589" s="352"/>
      <c r="O589" s="352"/>
      <c r="P589" s="352"/>
      <c r="Q589" s="352"/>
      <c r="R589" s="352"/>
      <c r="S589" s="352"/>
    </row>
    <row r="590" spans="1:19" x14ac:dyDescent="0.2">
      <c r="A590" s="329">
        <v>16</v>
      </c>
      <c r="B590" s="329">
        <v>38</v>
      </c>
      <c r="C590" s="330">
        <v>10.834</v>
      </c>
      <c r="D590" s="330">
        <v>8.75</v>
      </c>
      <c r="E590" s="330">
        <v>6.6310000000000002</v>
      </c>
      <c r="F590" s="330">
        <v>41.9</v>
      </c>
      <c r="G590" s="330">
        <v>5.7</v>
      </c>
      <c r="H590" s="330">
        <f t="shared" si="32"/>
        <v>12.942352877295448</v>
      </c>
      <c r="I590" s="330">
        <f t="shared" si="33"/>
        <v>8.7256471227045509</v>
      </c>
      <c r="J590" s="350"/>
      <c r="K590" s="342"/>
      <c r="L590" s="342"/>
      <c r="M590" s="352"/>
      <c r="N590" s="352"/>
      <c r="O590" s="352"/>
      <c r="P590" s="352"/>
      <c r="Q590" s="352"/>
      <c r="R590" s="343"/>
      <c r="S590" s="343"/>
    </row>
    <row r="591" spans="1:19" x14ac:dyDescent="0.2">
      <c r="A591" s="324">
        <v>17</v>
      </c>
      <c r="B591" s="324">
        <v>30</v>
      </c>
      <c r="C591" s="326">
        <v>12.253</v>
      </c>
      <c r="D591" s="326">
        <v>9.5</v>
      </c>
      <c r="E591" s="326">
        <v>7.9539999999999997</v>
      </c>
      <c r="F591" s="326">
        <v>39</v>
      </c>
      <c r="G591" s="326">
        <v>5.6</v>
      </c>
      <c r="H591" s="326">
        <f t="shared" si="32"/>
        <v>15.09930234529878</v>
      </c>
      <c r="I591" s="326">
        <f t="shared" si="33"/>
        <v>9.4066976547012207</v>
      </c>
      <c r="J591" s="350"/>
      <c r="K591" s="342"/>
      <c r="L591" s="342"/>
      <c r="M591" s="343"/>
      <c r="N591" s="343"/>
      <c r="O591" s="343"/>
      <c r="P591" s="343"/>
      <c r="Q591" s="343"/>
      <c r="R591" s="343"/>
      <c r="S591" s="343"/>
    </row>
    <row r="592" spans="1:19" x14ac:dyDescent="0.2">
      <c r="A592" s="329">
        <v>18</v>
      </c>
      <c r="B592" s="329">
        <v>21</v>
      </c>
      <c r="C592" s="330">
        <v>10.143000000000001</v>
      </c>
      <c r="D592" s="330">
        <v>8.9</v>
      </c>
      <c r="E592" s="330">
        <v>3.16</v>
      </c>
      <c r="F592" s="330">
        <v>18.600000000000001</v>
      </c>
      <c r="G592" s="330">
        <v>6.4</v>
      </c>
      <c r="H592" s="330">
        <f t="shared" si="32"/>
        <v>11.494554324965643</v>
      </c>
      <c r="I592" s="330">
        <f t="shared" si="33"/>
        <v>8.7914456750343586</v>
      </c>
      <c r="J592" s="350"/>
      <c r="K592" s="351"/>
      <c r="L592" s="342"/>
      <c r="M592" s="343"/>
      <c r="N592" s="343"/>
      <c r="O592" s="343"/>
      <c r="P592" s="343"/>
      <c r="Q592" s="343"/>
      <c r="R592" s="343"/>
      <c r="S592" s="343"/>
    </row>
    <row r="593" spans="1:19" x14ac:dyDescent="0.2">
      <c r="A593" s="324">
        <v>19</v>
      </c>
      <c r="B593" s="324">
        <v>7</v>
      </c>
      <c r="C593" s="326">
        <v>18.343</v>
      </c>
      <c r="D593" s="326">
        <v>8.4</v>
      </c>
      <c r="E593" s="326">
        <v>13.659000000000001</v>
      </c>
      <c r="F593" s="326">
        <v>37.700000000000003</v>
      </c>
      <c r="G593" s="326">
        <v>7.6</v>
      </c>
      <c r="H593" s="326">
        <f t="shared" si="32"/>
        <v>28.461728804192749</v>
      </c>
      <c r="I593" s="326">
        <f t="shared" si="33"/>
        <v>8.2242711958072512</v>
      </c>
      <c r="J593" s="350"/>
      <c r="K593" s="342"/>
      <c r="L593" s="342"/>
      <c r="M593" s="343"/>
      <c r="N593" s="343"/>
      <c r="O593" s="343"/>
      <c r="P593" s="343"/>
      <c r="Q593" s="343"/>
      <c r="R593" s="343"/>
      <c r="S593" s="343"/>
    </row>
    <row r="594" spans="1:19" x14ac:dyDescent="0.2">
      <c r="A594" s="324"/>
      <c r="B594" s="324"/>
      <c r="C594" s="324"/>
      <c r="D594" s="324"/>
      <c r="E594" s="324"/>
      <c r="F594" s="324"/>
      <c r="G594" s="324"/>
      <c r="H594" s="326"/>
      <c r="I594" s="326"/>
      <c r="J594" s="350"/>
      <c r="K594" s="342"/>
      <c r="L594" s="342"/>
      <c r="M594" s="352"/>
      <c r="N594" s="352"/>
      <c r="O594" s="352"/>
      <c r="P594" s="352"/>
      <c r="Q594" s="352"/>
      <c r="R594" s="343"/>
      <c r="S594" s="343"/>
    </row>
    <row r="595" spans="1:19" x14ac:dyDescent="0.2">
      <c r="A595" s="324"/>
      <c r="B595" s="324"/>
      <c r="C595" s="324"/>
      <c r="D595" s="324"/>
      <c r="E595" s="324"/>
      <c r="F595" s="324"/>
      <c r="G595" s="324"/>
      <c r="H595" s="326"/>
      <c r="I595" s="326"/>
      <c r="J595" s="350"/>
      <c r="K595" s="342"/>
      <c r="L595" s="342"/>
      <c r="M595" s="352"/>
      <c r="N595" s="352"/>
      <c r="O595" s="352"/>
      <c r="P595" s="352"/>
      <c r="Q595" s="352"/>
      <c r="R595" s="352"/>
      <c r="S595" s="352"/>
    </row>
    <row r="596" spans="1:19" x14ac:dyDescent="0.2">
      <c r="A596" s="800" t="s">
        <v>700</v>
      </c>
      <c r="B596" s="800"/>
      <c r="C596" s="800"/>
      <c r="D596" s="800"/>
      <c r="E596" s="800"/>
      <c r="F596" s="800"/>
      <c r="G596" s="800"/>
      <c r="H596" s="800"/>
      <c r="I596" s="801"/>
      <c r="J596" s="350"/>
      <c r="K596" s="342"/>
      <c r="L596" s="342"/>
      <c r="M596" s="352"/>
      <c r="N596" s="352"/>
      <c r="O596" s="352"/>
      <c r="P596" s="352"/>
      <c r="Q596" s="352"/>
      <c r="R596" s="352"/>
      <c r="S596" s="352"/>
    </row>
    <row r="597" spans="1:19" x14ac:dyDescent="0.2">
      <c r="A597" s="324" t="s">
        <v>504</v>
      </c>
      <c r="B597" s="324" t="s">
        <v>641</v>
      </c>
      <c r="C597" s="326" t="s">
        <v>642</v>
      </c>
      <c r="D597" s="326" t="s">
        <v>643</v>
      </c>
      <c r="E597" s="326" t="s">
        <v>644</v>
      </c>
      <c r="F597" s="326" t="s">
        <v>645</v>
      </c>
      <c r="G597" s="326" t="s">
        <v>646</v>
      </c>
      <c r="H597" s="326" t="s">
        <v>647</v>
      </c>
      <c r="I597" s="326" t="s">
        <v>648</v>
      </c>
      <c r="J597" s="350"/>
      <c r="K597" s="342"/>
      <c r="L597" s="342"/>
      <c r="M597" s="352"/>
      <c r="N597" s="352"/>
      <c r="O597" s="352"/>
      <c r="P597" s="352"/>
      <c r="Q597" s="352"/>
      <c r="R597" s="352"/>
      <c r="S597" s="352"/>
    </row>
    <row r="598" spans="1:19" x14ac:dyDescent="0.2">
      <c r="A598" s="329">
        <v>7</v>
      </c>
      <c r="B598" s="329">
        <v>14</v>
      </c>
      <c r="C598" s="330">
        <v>6.5789999999999997</v>
      </c>
      <c r="D598" s="330">
        <v>4.9000000000000004</v>
      </c>
      <c r="E598" s="330">
        <v>3.6920000000000002</v>
      </c>
      <c r="F598" s="330">
        <v>15.3</v>
      </c>
      <c r="G598" s="330">
        <v>2.9</v>
      </c>
      <c r="H598" s="330">
        <f t="shared" si="32"/>
        <v>8.5129878700757153</v>
      </c>
      <c r="I598" s="330">
        <f t="shared" si="33"/>
        <v>4.645012129924285</v>
      </c>
      <c r="J598" s="350"/>
      <c r="K598" s="342"/>
      <c r="L598" s="342"/>
      <c r="M598" s="352"/>
      <c r="N598" s="352"/>
      <c r="O598" s="352"/>
      <c r="P598" s="352"/>
      <c r="Q598" s="352"/>
      <c r="R598" s="352"/>
      <c r="S598" s="352"/>
    </row>
    <row r="599" spans="1:19" x14ac:dyDescent="0.2">
      <c r="A599" s="324">
        <v>8</v>
      </c>
      <c r="B599" s="324">
        <v>39</v>
      </c>
      <c r="C599" s="326">
        <v>9.7330000000000005</v>
      </c>
      <c r="D599" s="326">
        <v>5.5</v>
      </c>
      <c r="E599" s="326">
        <v>8.2219999999999995</v>
      </c>
      <c r="F599" s="326">
        <v>29.2</v>
      </c>
      <c r="G599" s="326">
        <v>3</v>
      </c>
      <c r="H599" s="326">
        <f t="shared" si="32"/>
        <v>12.313484413947435</v>
      </c>
      <c r="I599" s="326">
        <f t="shared" si="33"/>
        <v>7.1525155860525658</v>
      </c>
      <c r="J599" s="350"/>
      <c r="K599" s="342"/>
      <c r="L599" s="342"/>
      <c r="M599" s="352"/>
      <c r="N599" s="352"/>
      <c r="O599" s="352"/>
      <c r="P599" s="352"/>
      <c r="Q599" s="352"/>
      <c r="R599" s="352"/>
      <c r="S599" s="352"/>
    </row>
    <row r="600" spans="1:19" x14ac:dyDescent="0.2">
      <c r="A600" s="329">
        <v>9</v>
      </c>
      <c r="B600" s="329">
        <v>57</v>
      </c>
      <c r="C600" s="330">
        <v>7.5510000000000002</v>
      </c>
      <c r="D600" s="330">
        <v>4.9000000000000004</v>
      </c>
      <c r="E600" s="330">
        <v>6.5549999999999997</v>
      </c>
      <c r="F600" s="330">
        <v>37</v>
      </c>
      <c r="G600" s="330">
        <v>3</v>
      </c>
      <c r="H600" s="330">
        <f t="shared" si="32"/>
        <v>9.2527326817100271</v>
      </c>
      <c r="I600" s="330">
        <f t="shared" si="33"/>
        <v>5.8492673182899733</v>
      </c>
      <c r="J600" s="350"/>
      <c r="K600" s="342"/>
      <c r="L600" s="342"/>
      <c r="M600" s="352"/>
      <c r="N600" s="352"/>
      <c r="O600" s="352"/>
      <c r="P600" s="352"/>
      <c r="Q600" s="352"/>
      <c r="R600" s="352"/>
      <c r="S600" s="352"/>
    </row>
    <row r="601" spans="1:19" x14ac:dyDescent="0.2">
      <c r="A601" s="324">
        <v>10</v>
      </c>
      <c r="B601" s="324">
        <v>66</v>
      </c>
      <c r="C601" s="326">
        <v>9.4860000000000007</v>
      </c>
      <c r="D601" s="326">
        <v>6.4</v>
      </c>
      <c r="E601" s="326">
        <v>7.8890000000000002</v>
      </c>
      <c r="F601" s="326">
        <v>37.1</v>
      </c>
      <c r="G601" s="326">
        <v>2.8</v>
      </c>
      <c r="H601" s="326">
        <f t="shared" si="32"/>
        <v>11.389294793778474</v>
      </c>
      <c r="I601" s="326">
        <f t="shared" si="33"/>
        <v>7.5827052062215268</v>
      </c>
      <c r="J601" s="350"/>
      <c r="K601" s="342"/>
      <c r="L601" s="342"/>
      <c r="M601" s="352"/>
      <c r="N601" s="352"/>
      <c r="O601" s="352"/>
      <c r="P601" s="352"/>
      <c r="Q601" s="352"/>
      <c r="R601" s="352"/>
      <c r="S601" s="352"/>
    </row>
    <row r="602" spans="1:19" x14ac:dyDescent="0.2">
      <c r="A602" s="329">
        <v>11</v>
      </c>
      <c r="B602" s="329">
        <v>55</v>
      </c>
      <c r="C602" s="330">
        <v>9.98</v>
      </c>
      <c r="D602" s="330">
        <v>6.8</v>
      </c>
      <c r="E602" s="330">
        <v>8.6750000000000007</v>
      </c>
      <c r="F602" s="330">
        <v>44</v>
      </c>
      <c r="G602" s="330">
        <v>3.5</v>
      </c>
      <c r="H602" s="330">
        <f t="shared" si="32"/>
        <v>12.272684052292501</v>
      </c>
      <c r="I602" s="330">
        <f t="shared" si="33"/>
        <v>7.6873159477074999</v>
      </c>
      <c r="J602" s="350"/>
      <c r="K602" s="342"/>
      <c r="L602" s="342"/>
      <c r="M602" s="352"/>
      <c r="N602" s="352"/>
      <c r="O602" s="352"/>
      <c r="P602" s="352"/>
      <c r="Q602" s="352"/>
      <c r="R602" s="352"/>
      <c r="S602" s="352"/>
    </row>
    <row r="603" spans="1:19" x14ac:dyDescent="0.2">
      <c r="A603" s="329">
        <v>12</v>
      </c>
      <c r="B603" s="329">
        <v>35</v>
      </c>
      <c r="C603" s="330">
        <v>11.134</v>
      </c>
      <c r="D603" s="330">
        <v>7.8</v>
      </c>
      <c r="E603" s="330">
        <v>8.0359999999999996</v>
      </c>
      <c r="F603" s="330">
        <v>44</v>
      </c>
      <c r="G603" s="330">
        <v>4</v>
      </c>
      <c r="H603" s="330">
        <f t="shared" si="32"/>
        <v>13.796330559671357</v>
      </c>
      <c r="I603" s="330">
        <f t="shared" si="33"/>
        <v>8.4716694403286432</v>
      </c>
      <c r="J603" s="350"/>
      <c r="K603" s="342"/>
      <c r="L603" s="342"/>
      <c r="M603" s="352"/>
      <c r="N603" s="352"/>
      <c r="O603" s="352"/>
      <c r="P603" s="352"/>
      <c r="Q603" s="352"/>
      <c r="R603" s="352"/>
      <c r="S603" s="352"/>
    </row>
    <row r="604" spans="1:19" x14ac:dyDescent="0.2">
      <c r="A604" s="324">
        <v>13</v>
      </c>
      <c r="B604" s="324">
        <v>64</v>
      </c>
      <c r="C604" s="326">
        <v>8.5749999999999993</v>
      </c>
      <c r="D604" s="326">
        <v>6.45</v>
      </c>
      <c r="E604" s="326">
        <v>5.3029999999999999</v>
      </c>
      <c r="F604" s="326">
        <v>27.3</v>
      </c>
      <c r="G604" s="326">
        <v>3.9</v>
      </c>
      <c r="H604" s="326">
        <f t="shared" si="32"/>
        <v>9.8742349999999988</v>
      </c>
      <c r="I604" s="326">
        <f t="shared" si="33"/>
        <v>7.2757649999999998</v>
      </c>
      <c r="J604" s="350"/>
      <c r="K604" s="342"/>
      <c r="L604" s="342"/>
      <c r="M604" s="352"/>
      <c r="N604" s="352"/>
      <c r="O604" s="352"/>
      <c r="P604" s="352"/>
      <c r="Q604" s="352"/>
      <c r="R604" s="352"/>
      <c r="S604" s="352"/>
    </row>
    <row r="605" spans="1:19" x14ac:dyDescent="0.2">
      <c r="A605" s="329">
        <v>14</v>
      </c>
      <c r="B605" s="329">
        <v>87</v>
      </c>
      <c r="C605" s="330">
        <v>9.8070000000000004</v>
      </c>
      <c r="D605" s="330">
        <v>6.9</v>
      </c>
      <c r="E605" s="330">
        <v>7.53</v>
      </c>
      <c r="F605" s="330">
        <v>40.5</v>
      </c>
      <c r="G605" s="330">
        <v>3.7</v>
      </c>
      <c r="H605" s="330">
        <f t="shared" si="32"/>
        <v>11.389309447916405</v>
      </c>
      <c r="I605" s="330">
        <f t="shared" si="33"/>
        <v>8.2246905520835956</v>
      </c>
      <c r="J605" s="350"/>
      <c r="K605" s="342"/>
      <c r="L605" s="342"/>
      <c r="M605" s="352"/>
      <c r="N605" s="352"/>
      <c r="O605" s="352"/>
      <c r="P605" s="352"/>
      <c r="Q605" s="352"/>
      <c r="R605" s="352"/>
      <c r="S605" s="352"/>
    </row>
    <row r="606" spans="1:19" x14ac:dyDescent="0.2">
      <c r="A606" s="324">
        <v>15</v>
      </c>
      <c r="B606" s="324">
        <v>70</v>
      </c>
      <c r="C606" s="326">
        <v>9.7840000000000007</v>
      </c>
      <c r="D606" s="326">
        <v>7.55</v>
      </c>
      <c r="E606" s="326">
        <v>6.6319999999999997</v>
      </c>
      <c r="F606" s="326">
        <v>37</v>
      </c>
      <c r="G606" s="326">
        <v>4.0999999999999996</v>
      </c>
      <c r="H606" s="326">
        <f t="shared" si="32"/>
        <v>11.337644202872717</v>
      </c>
      <c r="I606" s="326">
        <f t="shared" si="33"/>
        <v>8.2303557971272845</v>
      </c>
      <c r="J606" s="350"/>
      <c r="K606" s="342"/>
      <c r="L606" s="342"/>
      <c r="M606" s="352"/>
      <c r="N606" s="352"/>
      <c r="O606" s="352"/>
      <c r="P606" s="352"/>
      <c r="Q606" s="352"/>
      <c r="R606" s="343"/>
      <c r="S606" s="343"/>
    </row>
    <row r="607" spans="1:19" x14ac:dyDescent="0.2">
      <c r="A607" s="329">
        <v>16</v>
      </c>
      <c r="B607" s="329">
        <v>38</v>
      </c>
      <c r="C607" s="330">
        <v>11.289</v>
      </c>
      <c r="D607" s="330">
        <v>7.1</v>
      </c>
      <c r="E607" s="330">
        <v>9.1910000000000007</v>
      </c>
      <c r="F607" s="330">
        <v>42.8</v>
      </c>
      <c r="G607" s="330">
        <v>4.4000000000000004</v>
      </c>
      <c r="H607" s="330">
        <f t="shared" si="32"/>
        <v>14.211315079961164</v>
      </c>
      <c r="I607" s="330">
        <f t="shared" si="33"/>
        <v>8.3666849200388356</v>
      </c>
      <c r="J607" s="350"/>
      <c r="K607" s="342"/>
      <c r="L607" s="342"/>
      <c r="M607" s="343"/>
      <c r="N607" s="343"/>
      <c r="O607" s="343"/>
      <c r="P607" s="343"/>
      <c r="Q607" s="343"/>
      <c r="R607" s="343"/>
      <c r="S607" s="343"/>
    </row>
    <row r="608" spans="1:19" x14ac:dyDescent="0.2">
      <c r="A608" s="324">
        <v>17</v>
      </c>
      <c r="B608" s="324">
        <v>30</v>
      </c>
      <c r="C608" s="326">
        <v>12</v>
      </c>
      <c r="D608" s="326">
        <v>8.4</v>
      </c>
      <c r="E608" s="326">
        <v>9.1829999999999998</v>
      </c>
      <c r="F608" s="326">
        <v>40.200000000000003</v>
      </c>
      <c r="G608" s="326">
        <v>4.0999999999999996</v>
      </c>
      <c r="H608" s="326">
        <f t="shared" si="32"/>
        <v>15.286094347105694</v>
      </c>
      <c r="I608" s="326">
        <f t="shared" si="33"/>
        <v>8.7139056528943062</v>
      </c>
      <c r="J608" s="350"/>
      <c r="K608" s="351"/>
      <c r="L608" s="342"/>
      <c r="M608" s="343"/>
      <c r="N608" s="343"/>
      <c r="O608" s="343"/>
      <c r="P608" s="343"/>
      <c r="Q608" s="343"/>
      <c r="R608" s="343"/>
      <c r="S608" s="343"/>
    </row>
    <row r="609" spans="1:19" x14ac:dyDescent="0.2">
      <c r="A609" s="329">
        <v>18</v>
      </c>
      <c r="B609" s="329">
        <v>21</v>
      </c>
      <c r="C609" s="330">
        <v>9.2050000000000001</v>
      </c>
      <c r="D609" s="330">
        <v>7.5</v>
      </c>
      <c r="E609" s="330">
        <v>5.3630000000000004</v>
      </c>
      <c r="F609" s="330">
        <v>27.8</v>
      </c>
      <c r="G609" s="330">
        <v>4.3</v>
      </c>
      <c r="H609" s="330">
        <f t="shared" si="32"/>
        <v>11.498792988857829</v>
      </c>
      <c r="I609" s="330">
        <f t="shared" si="33"/>
        <v>6.9112070111421708</v>
      </c>
      <c r="J609" s="350"/>
      <c r="K609" s="342"/>
      <c r="L609" s="342"/>
      <c r="M609" s="343"/>
      <c r="N609" s="343"/>
      <c r="O609" s="343"/>
      <c r="P609" s="343"/>
      <c r="Q609" s="343"/>
      <c r="R609" s="343"/>
      <c r="S609" s="343"/>
    </row>
    <row r="610" spans="1:19" x14ac:dyDescent="0.2">
      <c r="A610" s="324">
        <v>19</v>
      </c>
      <c r="B610" s="324">
        <v>7</v>
      </c>
      <c r="C610" s="326">
        <v>14.929</v>
      </c>
      <c r="D610" s="326">
        <v>6.7</v>
      </c>
      <c r="E610" s="326">
        <v>13.243</v>
      </c>
      <c r="F610" s="326">
        <v>38.200000000000003</v>
      </c>
      <c r="G610" s="326">
        <v>4.2</v>
      </c>
      <c r="H610" s="326">
        <f t="shared" si="32"/>
        <v>24.739551691479946</v>
      </c>
      <c r="I610" s="326">
        <f t="shared" si="33"/>
        <v>5.1184483085200565</v>
      </c>
      <c r="J610" s="350"/>
      <c r="K610" s="342"/>
      <c r="L610" s="342"/>
      <c r="M610" s="352"/>
      <c r="N610" s="352"/>
      <c r="O610" s="352"/>
      <c r="P610" s="352"/>
      <c r="Q610" s="352"/>
      <c r="R610" s="343"/>
      <c r="S610" s="343"/>
    </row>
    <row r="611" spans="1:19" x14ac:dyDescent="0.2">
      <c r="A611" s="324"/>
      <c r="B611" s="324"/>
      <c r="C611" s="326"/>
      <c r="D611" s="326"/>
      <c r="E611" s="326"/>
      <c r="F611" s="326"/>
      <c r="G611" s="326"/>
      <c r="H611" s="326"/>
      <c r="I611" s="326"/>
      <c r="J611" s="350"/>
      <c r="K611" s="342"/>
      <c r="L611" s="342"/>
      <c r="M611" s="352"/>
      <c r="N611" s="352"/>
      <c r="O611" s="352"/>
      <c r="P611" s="352"/>
      <c r="Q611" s="352"/>
      <c r="R611" s="352"/>
      <c r="S611" s="352"/>
    </row>
    <row r="612" spans="1:19" x14ac:dyDescent="0.2">
      <c r="A612" s="324"/>
      <c r="B612" s="324"/>
      <c r="C612" s="324"/>
      <c r="D612" s="324"/>
      <c r="E612" s="324"/>
      <c r="F612" s="324"/>
      <c r="G612" s="324"/>
      <c r="H612" s="326"/>
      <c r="I612" s="326"/>
      <c r="J612" s="350"/>
      <c r="K612" s="342"/>
      <c r="L612" s="342"/>
      <c r="M612" s="352"/>
      <c r="N612" s="352"/>
      <c r="O612" s="352"/>
      <c r="P612" s="352"/>
      <c r="Q612" s="352"/>
      <c r="R612" s="352"/>
      <c r="S612" s="352"/>
    </row>
    <row r="613" spans="1:19" x14ac:dyDescent="0.2">
      <c r="A613" s="800" t="s">
        <v>701</v>
      </c>
      <c r="B613" s="800"/>
      <c r="C613" s="800"/>
      <c r="D613" s="800"/>
      <c r="E613" s="800"/>
      <c r="F613" s="800"/>
      <c r="G613" s="800"/>
      <c r="H613" s="800"/>
      <c r="I613" s="801"/>
      <c r="J613" s="350"/>
      <c r="K613" s="342"/>
      <c r="L613" s="342"/>
      <c r="M613" s="352"/>
      <c r="N613" s="352"/>
      <c r="O613" s="352"/>
      <c r="P613" s="352"/>
      <c r="Q613" s="352"/>
      <c r="R613" s="352"/>
      <c r="S613" s="352"/>
    </row>
    <row r="614" spans="1:19" x14ac:dyDescent="0.2">
      <c r="A614" s="324" t="s">
        <v>504</v>
      </c>
      <c r="B614" s="324" t="s">
        <v>641</v>
      </c>
      <c r="C614" s="326" t="s">
        <v>642</v>
      </c>
      <c r="D614" s="326" t="s">
        <v>643</v>
      </c>
      <c r="E614" s="326" t="s">
        <v>644</v>
      </c>
      <c r="F614" s="326" t="s">
        <v>645</v>
      </c>
      <c r="G614" s="326" t="s">
        <v>646</v>
      </c>
      <c r="H614" s="326" t="s">
        <v>647</v>
      </c>
      <c r="I614" s="326" t="s">
        <v>648</v>
      </c>
      <c r="J614" s="350"/>
      <c r="K614" s="342"/>
      <c r="L614" s="342"/>
      <c r="M614" s="352"/>
      <c r="N614" s="352"/>
      <c r="O614" s="352"/>
      <c r="P614" s="352"/>
      <c r="Q614" s="352"/>
      <c r="R614" s="352"/>
      <c r="S614" s="352"/>
    </row>
    <row r="615" spans="1:19" x14ac:dyDescent="0.2">
      <c r="A615" s="329">
        <v>7</v>
      </c>
      <c r="B615" s="329">
        <v>14</v>
      </c>
      <c r="C615" s="330">
        <v>10.693</v>
      </c>
      <c r="D615" s="330">
        <v>8.3000000000000007</v>
      </c>
      <c r="E615" s="330">
        <v>5.5609999999999999</v>
      </c>
      <c r="F615" s="330">
        <v>22.1</v>
      </c>
      <c r="G615" s="330">
        <v>5.3</v>
      </c>
      <c r="H615" s="330">
        <f t="shared" si="32"/>
        <v>13.606029941898983</v>
      </c>
      <c r="I615" s="330">
        <f t="shared" si="33"/>
        <v>7.7799700581010161</v>
      </c>
      <c r="J615" s="350"/>
      <c r="K615" s="342"/>
      <c r="L615" s="342"/>
      <c r="M615" s="352"/>
      <c r="N615" s="352"/>
      <c r="O615" s="352"/>
      <c r="P615" s="352"/>
      <c r="Q615" s="352"/>
      <c r="R615" s="352"/>
      <c r="S615" s="352"/>
    </row>
    <row r="616" spans="1:19" x14ac:dyDescent="0.2">
      <c r="A616" s="324">
        <v>8</v>
      </c>
      <c r="B616" s="324">
        <v>39</v>
      </c>
      <c r="C616" s="326">
        <v>15.092000000000001</v>
      </c>
      <c r="D616" s="326">
        <v>10.7</v>
      </c>
      <c r="E616" s="326">
        <v>10.755000000000001</v>
      </c>
      <c r="F616" s="326">
        <v>43.4</v>
      </c>
      <c r="G616" s="326">
        <v>4.5999999999999996</v>
      </c>
      <c r="H616" s="326">
        <f t="shared" si="32"/>
        <v>18.467469456580478</v>
      </c>
      <c r="I616" s="326">
        <f t="shared" si="33"/>
        <v>11.716530543419525</v>
      </c>
      <c r="J616" s="350"/>
      <c r="K616" s="342"/>
      <c r="L616" s="342"/>
      <c r="M616" s="352"/>
      <c r="N616" s="352"/>
      <c r="O616" s="352"/>
      <c r="P616" s="352"/>
      <c r="Q616" s="352"/>
      <c r="R616" s="352"/>
      <c r="S616" s="352"/>
    </row>
    <row r="617" spans="1:19" x14ac:dyDescent="0.2">
      <c r="A617" s="329">
        <v>9</v>
      </c>
      <c r="B617" s="329">
        <v>57</v>
      </c>
      <c r="C617" s="330">
        <v>12.641999999999999</v>
      </c>
      <c r="D617" s="330">
        <v>8.5</v>
      </c>
      <c r="E617" s="330">
        <v>9.3759999999999994</v>
      </c>
      <c r="F617" s="330">
        <v>45</v>
      </c>
      <c r="G617" s="330">
        <v>4.3</v>
      </c>
      <c r="H617" s="330">
        <f t="shared" si="32"/>
        <v>15.076087814449002</v>
      </c>
      <c r="I617" s="330">
        <f t="shared" si="33"/>
        <v>10.207912185550997</v>
      </c>
      <c r="J617" s="350"/>
      <c r="K617" s="342"/>
      <c r="L617" s="342"/>
      <c r="M617" s="352"/>
      <c r="N617" s="352"/>
      <c r="O617" s="352"/>
      <c r="P617" s="352"/>
      <c r="Q617" s="352"/>
      <c r="R617" s="352"/>
      <c r="S617" s="352"/>
    </row>
    <row r="618" spans="1:19" x14ac:dyDescent="0.2">
      <c r="A618" s="324">
        <v>10</v>
      </c>
      <c r="B618" s="324">
        <v>66</v>
      </c>
      <c r="C618" s="326">
        <v>16.527000000000001</v>
      </c>
      <c r="D618" s="326">
        <v>12.55</v>
      </c>
      <c r="E618" s="326">
        <v>11.804</v>
      </c>
      <c r="F618" s="326">
        <v>55.2</v>
      </c>
      <c r="G618" s="326">
        <v>3.7</v>
      </c>
      <c r="H618" s="326">
        <f t="shared" si="32"/>
        <v>19.374825040659285</v>
      </c>
      <c r="I618" s="326">
        <f t="shared" si="33"/>
        <v>13.679174959340715</v>
      </c>
      <c r="J618" s="350"/>
      <c r="K618" s="342"/>
      <c r="L618" s="342"/>
      <c r="M618" s="352"/>
      <c r="N618" s="352"/>
      <c r="O618" s="352"/>
      <c r="P618" s="352"/>
      <c r="Q618" s="352"/>
      <c r="R618" s="352"/>
      <c r="S618" s="352"/>
    </row>
    <row r="619" spans="1:19" x14ac:dyDescent="0.2">
      <c r="A619" s="329">
        <v>11</v>
      </c>
      <c r="B619" s="329">
        <v>55</v>
      </c>
      <c r="C619" s="330">
        <v>16.515000000000001</v>
      </c>
      <c r="D619" s="330">
        <v>12.2</v>
      </c>
      <c r="E619" s="330">
        <v>12.457000000000001</v>
      </c>
      <c r="F619" s="330">
        <v>67.8</v>
      </c>
      <c r="G619" s="330">
        <v>5.4</v>
      </c>
      <c r="H619" s="330">
        <f t="shared" si="32"/>
        <v>19.807215013188205</v>
      </c>
      <c r="I619" s="330">
        <f t="shared" si="33"/>
        <v>13.222784986811796</v>
      </c>
      <c r="J619" s="350"/>
      <c r="K619" s="342"/>
      <c r="L619" s="342"/>
      <c r="M619" s="352"/>
      <c r="N619" s="352"/>
      <c r="O619" s="352"/>
      <c r="P619" s="352"/>
      <c r="Q619" s="352"/>
      <c r="R619" s="352"/>
      <c r="S619" s="352"/>
    </row>
    <row r="620" spans="1:19" x14ac:dyDescent="0.2">
      <c r="A620" s="329">
        <v>12</v>
      </c>
      <c r="B620" s="329">
        <v>35</v>
      </c>
      <c r="C620" s="330">
        <v>19.390999999999998</v>
      </c>
      <c r="D620" s="330">
        <v>14.2</v>
      </c>
      <c r="E620" s="330">
        <v>11.177</v>
      </c>
      <c r="F620" s="330">
        <v>44</v>
      </c>
      <c r="G620" s="330">
        <v>5.0999999999999996</v>
      </c>
      <c r="H620" s="330">
        <f t="shared" si="32"/>
        <v>23.093945329199446</v>
      </c>
      <c r="I620" s="330">
        <f t="shared" si="33"/>
        <v>15.688054670800552</v>
      </c>
      <c r="J620" s="350"/>
      <c r="K620" s="342"/>
      <c r="L620" s="342"/>
      <c r="M620" s="352"/>
      <c r="N620" s="352"/>
      <c r="O620" s="352"/>
      <c r="P620" s="352"/>
      <c r="Q620" s="352"/>
      <c r="R620" s="352"/>
      <c r="S620" s="352"/>
    </row>
    <row r="621" spans="1:19" x14ac:dyDescent="0.2">
      <c r="A621" s="324">
        <v>13</v>
      </c>
      <c r="B621" s="324">
        <v>64</v>
      </c>
      <c r="C621" s="326">
        <v>14.884</v>
      </c>
      <c r="D621" s="326">
        <v>13.2</v>
      </c>
      <c r="E621" s="326">
        <v>9.1159999999999997</v>
      </c>
      <c r="F621" s="326">
        <v>58.8</v>
      </c>
      <c r="G621" s="326">
        <v>6.1</v>
      </c>
      <c r="H621" s="326">
        <f t="shared" si="32"/>
        <v>17.117419999999999</v>
      </c>
      <c r="I621" s="326">
        <f t="shared" si="33"/>
        <v>12.650580000000001</v>
      </c>
      <c r="J621" s="350"/>
      <c r="K621" s="342"/>
      <c r="L621" s="342"/>
      <c r="M621" s="352"/>
      <c r="N621" s="352"/>
      <c r="O621" s="352"/>
      <c r="P621" s="352"/>
      <c r="Q621" s="352"/>
      <c r="R621" s="352"/>
      <c r="S621" s="352"/>
    </row>
    <row r="622" spans="1:19" x14ac:dyDescent="0.2">
      <c r="A622" s="329">
        <v>14</v>
      </c>
      <c r="B622" s="329">
        <v>87</v>
      </c>
      <c r="C622" s="330">
        <v>16.260999999999999</v>
      </c>
      <c r="D622" s="330">
        <v>12</v>
      </c>
      <c r="E622" s="330">
        <v>11.378</v>
      </c>
      <c r="F622" s="330">
        <v>60.3</v>
      </c>
      <c r="G622" s="330">
        <v>5.2</v>
      </c>
      <c r="H622" s="330">
        <f t="shared" si="32"/>
        <v>18.651905298591348</v>
      </c>
      <c r="I622" s="330">
        <f t="shared" si="33"/>
        <v>13.87009470140865</v>
      </c>
      <c r="J622" s="350"/>
      <c r="K622" s="342"/>
      <c r="L622" s="342"/>
      <c r="M622" s="352"/>
      <c r="N622" s="352"/>
      <c r="O622" s="352"/>
      <c r="P622" s="352"/>
      <c r="Q622" s="352"/>
      <c r="R622" s="343"/>
      <c r="S622" s="343"/>
    </row>
    <row r="623" spans="1:19" x14ac:dyDescent="0.2">
      <c r="A623" s="324">
        <v>15</v>
      </c>
      <c r="B623" s="324">
        <v>70</v>
      </c>
      <c r="C623" s="326">
        <v>16.927</v>
      </c>
      <c r="D623" s="326">
        <v>13.4</v>
      </c>
      <c r="E623" s="326">
        <v>10.337999999999999</v>
      </c>
      <c r="F623" s="326">
        <v>60</v>
      </c>
      <c r="G623" s="326">
        <v>5.2</v>
      </c>
      <c r="H623" s="326">
        <f t="shared" si="32"/>
        <v>19.348829579206594</v>
      </c>
      <c r="I623" s="326">
        <f t="shared" si="33"/>
        <v>14.505170420793403</v>
      </c>
      <c r="J623" s="350"/>
      <c r="K623" s="342"/>
      <c r="L623" s="342"/>
      <c r="M623" s="343"/>
      <c r="N623" s="343"/>
      <c r="O623" s="343"/>
      <c r="P623" s="343"/>
      <c r="Q623" s="343"/>
      <c r="R623" s="343"/>
      <c r="S623" s="343"/>
    </row>
    <row r="624" spans="1:19" x14ac:dyDescent="0.2">
      <c r="A624" s="329">
        <v>16</v>
      </c>
      <c r="B624" s="329">
        <v>38</v>
      </c>
      <c r="C624" s="330">
        <v>18.725999999999999</v>
      </c>
      <c r="D624" s="330">
        <v>12.8</v>
      </c>
      <c r="E624" s="330">
        <v>14.738</v>
      </c>
      <c r="F624" s="330">
        <v>75.5</v>
      </c>
      <c r="G624" s="330">
        <v>5.8</v>
      </c>
      <c r="H624" s="330">
        <f t="shared" si="32"/>
        <v>23.412005837065347</v>
      </c>
      <c r="I624" s="330">
        <f t="shared" si="33"/>
        <v>14.039994162934651</v>
      </c>
      <c r="J624" s="350"/>
      <c r="K624" s="351"/>
      <c r="L624" s="342"/>
      <c r="M624" s="343"/>
      <c r="N624" s="343"/>
      <c r="O624" s="343"/>
      <c r="P624" s="343"/>
      <c r="Q624" s="343"/>
      <c r="R624" s="343"/>
      <c r="S624" s="343"/>
    </row>
    <row r="625" spans="1:19" x14ac:dyDescent="0.2">
      <c r="A625" s="324">
        <v>17</v>
      </c>
      <c r="B625" s="324">
        <v>30</v>
      </c>
      <c r="C625" s="326">
        <v>19.100000000000001</v>
      </c>
      <c r="D625" s="326">
        <v>13.05</v>
      </c>
      <c r="E625" s="326">
        <v>13.535</v>
      </c>
      <c r="F625" s="326">
        <v>53.3</v>
      </c>
      <c r="G625" s="326">
        <v>5.6</v>
      </c>
      <c r="H625" s="326">
        <f t="shared" si="32"/>
        <v>23.943437546343851</v>
      </c>
      <c r="I625" s="326">
        <f t="shared" si="33"/>
        <v>14.256562453656151</v>
      </c>
      <c r="J625" s="350"/>
      <c r="K625" s="342"/>
      <c r="L625" s="342"/>
      <c r="M625" s="343"/>
      <c r="N625" s="343"/>
      <c r="O625" s="343"/>
      <c r="P625" s="343"/>
      <c r="Q625" s="343"/>
      <c r="R625" s="343"/>
      <c r="S625" s="343"/>
    </row>
    <row r="626" spans="1:19" x14ac:dyDescent="0.2">
      <c r="A626" s="329">
        <v>18</v>
      </c>
      <c r="B626" s="329">
        <v>21</v>
      </c>
      <c r="C626" s="330">
        <v>15.957000000000001</v>
      </c>
      <c r="D626" s="330">
        <v>12.6</v>
      </c>
      <c r="E626" s="330">
        <v>8.9139999999999997</v>
      </c>
      <c r="F626" s="330">
        <v>38</v>
      </c>
      <c r="G626" s="330">
        <v>7.1</v>
      </c>
      <c r="H626" s="330">
        <f t="shared" si="32"/>
        <v>19.769580776184728</v>
      </c>
      <c r="I626" s="330">
        <f t="shared" si="33"/>
        <v>12.144419223815275</v>
      </c>
      <c r="J626" s="350"/>
      <c r="K626" s="342"/>
      <c r="L626" s="342"/>
      <c r="M626" s="352"/>
      <c r="N626" s="352"/>
      <c r="O626" s="352"/>
      <c r="P626" s="352"/>
      <c r="Q626" s="352"/>
      <c r="R626" s="343"/>
      <c r="S626" s="343"/>
    </row>
    <row r="627" spans="1:19" x14ac:dyDescent="0.2">
      <c r="A627" s="324">
        <v>19</v>
      </c>
      <c r="B627" s="324">
        <v>7</v>
      </c>
      <c r="C627" s="326">
        <v>24.728999999999999</v>
      </c>
      <c r="D627" s="326">
        <v>17.8</v>
      </c>
      <c r="E627" s="326">
        <v>16.021999999999998</v>
      </c>
      <c r="F627" s="326">
        <v>45.8</v>
      </c>
      <c r="G627" s="326">
        <v>7.9</v>
      </c>
      <c r="H627" s="326">
        <f t="shared" si="32"/>
        <v>36.598263701645521</v>
      </c>
      <c r="I627" s="326">
        <f t="shared" si="33"/>
        <v>12.859736298354477</v>
      </c>
      <c r="J627" s="350"/>
      <c r="K627" s="342"/>
      <c r="L627" s="342"/>
      <c r="M627" s="352"/>
      <c r="N627" s="352"/>
      <c r="O627" s="352"/>
      <c r="P627" s="352"/>
      <c r="Q627" s="352"/>
      <c r="R627" s="352"/>
      <c r="S627" s="352"/>
    </row>
    <row r="628" spans="1:19" x14ac:dyDescent="0.2">
      <c r="A628" s="324"/>
      <c r="B628" s="324"/>
      <c r="C628" s="324"/>
      <c r="D628" s="324"/>
      <c r="E628" s="324"/>
      <c r="F628" s="324"/>
      <c r="G628" s="324"/>
      <c r="H628" s="326"/>
      <c r="I628" s="326"/>
      <c r="J628" s="350"/>
      <c r="K628" s="342"/>
      <c r="L628" s="342"/>
      <c r="M628" s="352"/>
      <c r="N628" s="352"/>
      <c r="O628" s="352"/>
      <c r="P628" s="352"/>
      <c r="Q628" s="352"/>
      <c r="R628" s="352"/>
      <c r="S628" s="352"/>
    </row>
    <row r="629" spans="1:19" x14ac:dyDescent="0.2">
      <c r="A629" s="324"/>
      <c r="B629" s="324"/>
      <c r="C629" s="324"/>
      <c r="D629" s="324"/>
      <c r="E629" s="324"/>
      <c r="F629" s="324"/>
      <c r="G629" s="324"/>
      <c r="H629" s="326"/>
      <c r="I629" s="326"/>
      <c r="J629" s="350"/>
      <c r="K629" s="342"/>
      <c r="L629" s="342"/>
      <c r="M629" s="352"/>
      <c r="N629" s="352"/>
      <c r="O629" s="352"/>
      <c r="P629" s="352"/>
      <c r="Q629" s="352"/>
      <c r="R629" s="352"/>
      <c r="S629" s="352"/>
    </row>
    <row r="630" spans="1:19" x14ac:dyDescent="0.2">
      <c r="A630" s="800" t="s">
        <v>702</v>
      </c>
      <c r="B630" s="800"/>
      <c r="C630" s="800"/>
      <c r="D630" s="800"/>
      <c r="E630" s="800"/>
      <c r="F630" s="800"/>
      <c r="G630" s="800"/>
      <c r="H630" s="800"/>
      <c r="I630" s="801"/>
      <c r="J630" s="350"/>
      <c r="K630" s="342"/>
      <c r="L630" s="342"/>
      <c r="M630" s="352"/>
      <c r="N630" s="352"/>
      <c r="O630" s="352"/>
      <c r="P630" s="352"/>
      <c r="Q630" s="352"/>
      <c r="R630" s="352"/>
      <c r="S630" s="352"/>
    </row>
    <row r="631" spans="1:19" x14ac:dyDescent="0.2">
      <c r="A631" s="324" t="s">
        <v>504</v>
      </c>
      <c r="B631" s="324" t="s">
        <v>641</v>
      </c>
      <c r="C631" s="326" t="s">
        <v>642</v>
      </c>
      <c r="D631" s="326" t="s">
        <v>643</v>
      </c>
      <c r="E631" s="326" t="s">
        <v>644</v>
      </c>
      <c r="F631" s="326" t="s">
        <v>645</v>
      </c>
      <c r="G631" s="326" t="s">
        <v>646</v>
      </c>
      <c r="H631" s="326" t="s">
        <v>647</v>
      </c>
      <c r="I631" s="326" t="s">
        <v>648</v>
      </c>
      <c r="J631" s="350"/>
      <c r="K631" s="342"/>
      <c r="L631" s="342"/>
      <c r="M631" s="352"/>
      <c r="N631" s="352"/>
      <c r="O631" s="352"/>
      <c r="P631" s="352"/>
      <c r="Q631" s="352"/>
      <c r="R631" s="352"/>
      <c r="S631" s="352"/>
    </row>
    <row r="632" spans="1:19" x14ac:dyDescent="0.2">
      <c r="A632" s="329">
        <v>7</v>
      </c>
      <c r="B632" s="329">
        <v>14</v>
      </c>
      <c r="C632" s="330">
        <v>16.314</v>
      </c>
      <c r="D632" s="330">
        <v>14.35</v>
      </c>
      <c r="E632" s="330">
        <v>6.9580000000000002</v>
      </c>
      <c r="F632" s="330">
        <v>31.4</v>
      </c>
      <c r="G632" s="330">
        <v>7.1</v>
      </c>
      <c r="H632" s="330">
        <f t="shared" ref="H632:H678" si="34">C632+(1.96*E632)/(B632)^0.5</f>
        <v>19.958823293604233</v>
      </c>
      <c r="I632" s="330">
        <f t="shared" ref="I632:I678" si="35">C632-(1.96*E632)/(B632)^0.5</f>
        <v>12.669176706395769</v>
      </c>
      <c r="J632" s="350"/>
      <c r="K632" s="342"/>
      <c r="L632" s="342"/>
      <c r="M632" s="352"/>
      <c r="N632" s="352"/>
      <c r="O632" s="352"/>
      <c r="P632" s="352"/>
      <c r="Q632" s="352"/>
      <c r="R632" s="352"/>
      <c r="S632" s="352"/>
    </row>
    <row r="633" spans="1:19" x14ac:dyDescent="0.2">
      <c r="A633" s="324">
        <v>8</v>
      </c>
      <c r="B633" s="324">
        <v>39</v>
      </c>
      <c r="C633" s="326">
        <v>17.376999999999999</v>
      </c>
      <c r="D633" s="326">
        <v>14.8</v>
      </c>
      <c r="E633" s="326">
        <v>7.8120000000000003</v>
      </c>
      <c r="F633" s="326">
        <v>37.1</v>
      </c>
      <c r="G633" s="326">
        <v>7.3</v>
      </c>
      <c r="H633" s="326">
        <f t="shared" si="34"/>
        <v>19.828805429549668</v>
      </c>
      <c r="I633" s="326">
        <f t="shared" si="35"/>
        <v>14.925194570450332</v>
      </c>
      <c r="J633" s="350"/>
      <c r="K633" s="342"/>
      <c r="L633" s="342"/>
      <c r="M633" s="352"/>
      <c r="N633" s="352"/>
      <c r="O633" s="352"/>
      <c r="P633" s="352"/>
      <c r="Q633" s="352"/>
      <c r="R633" s="352"/>
      <c r="S633" s="352"/>
    </row>
    <row r="634" spans="1:19" x14ac:dyDescent="0.2">
      <c r="A634" s="329">
        <v>9</v>
      </c>
      <c r="B634" s="329">
        <v>57</v>
      </c>
      <c r="C634" s="330">
        <v>14.688000000000001</v>
      </c>
      <c r="D634" s="330">
        <v>13</v>
      </c>
      <c r="E634" s="330">
        <v>5.56</v>
      </c>
      <c r="F634" s="330">
        <v>37.299999999999997</v>
      </c>
      <c r="G634" s="330">
        <v>6.4</v>
      </c>
      <c r="H634" s="330">
        <f t="shared" si="34"/>
        <v>16.131422381435204</v>
      </c>
      <c r="I634" s="330">
        <f t="shared" si="35"/>
        <v>13.244577618564799</v>
      </c>
      <c r="J634" s="350"/>
      <c r="K634" s="342"/>
      <c r="L634" s="342"/>
      <c r="M634" s="352"/>
      <c r="N634" s="352"/>
      <c r="O634" s="352"/>
      <c r="P634" s="352"/>
      <c r="Q634" s="352"/>
      <c r="R634" s="352"/>
      <c r="S634" s="352"/>
    </row>
    <row r="635" spans="1:19" x14ac:dyDescent="0.2">
      <c r="A635" s="324">
        <v>10</v>
      </c>
      <c r="B635" s="324">
        <v>66</v>
      </c>
      <c r="C635" s="326">
        <v>17.577000000000002</v>
      </c>
      <c r="D635" s="326">
        <v>15.3</v>
      </c>
      <c r="E635" s="326">
        <v>8.06</v>
      </c>
      <c r="F635" s="326">
        <v>40.6</v>
      </c>
      <c r="G635" s="326">
        <v>4.5</v>
      </c>
      <c r="H635" s="326">
        <f t="shared" si="34"/>
        <v>19.521550137895108</v>
      </c>
      <c r="I635" s="326">
        <f t="shared" si="35"/>
        <v>15.632449862104895</v>
      </c>
      <c r="J635" s="350"/>
      <c r="K635" s="342"/>
      <c r="L635" s="342"/>
      <c r="M635" s="352"/>
      <c r="N635" s="352"/>
      <c r="O635" s="352"/>
      <c r="P635" s="352"/>
      <c r="Q635" s="352"/>
      <c r="R635" s="352"/>
      <c r="S635" s="352"/>
    </row>
    <row r="636" spans="1:19" x14ac:dyDescent="0.2">
      <c r="A636" s="329">
        <v>11</v>
      </c>
      <c r="B636" s="329">
        <v>55</v>
      </c>
      <c r="C636" s="330">
        <v>16.856000000000002</v>
      </c>
      <c r="D636" s="330">
        <v>14.4</v>
      </c>
      <c r="E636" s="330">
        <v>9.2289999999999992</v>
      </c>
      <c r="F636" s="330">
        <v>48.2</v>
      </c>
      <c r="G636" s="330">
        <v>6</v>
      </c>
      <c r="H636" s="330">
        <f t="shared" si="34"/>
        <v>19.29509868802392</v>
      </c>
      <c r="I636" s="330">
        <f t="shared" si="35"/>
        <v>14.416901311976083</v>
      </c>
      <c r="J636" s="350"/>
      <c r="K636" s="342"/>
      <c r="L636" s="342"/>
      <c r="M636" s="352"/>
      <c r="N636" s="352"/>
      <c r="O636" s="352"/>
      <c r="P636" s="352"/>
      <c r="Q636" s="352"/>
      <c r="R636" s="352"/>
      <c r="S636" s="352"/>
    </row>
    <row r="637" spans="1:19" x14ac:dyDescent="0.2">
      <c r="A637" s="329">
        <v>12</v>
      </c>
      <c r="B637" s="329">
        <v>35</v>
      </c>
      <c r="C637" s="330">
        <v>19.434000000000001</v>
      </c>
      <c r="D637" s="330">
        <v>17.5</v>
      </c>
      <c r="E637" s="330">
        <v>10.898</v>
      </c>
      <c r="F637" s="330">
        <v>59</v>
      </c>
      <c r="G637" s="330">
        <v>6</v>
      </c>
      <c r="H637" s="330">
        <f t="shared" si="34"/>
        <v>23.044512498668301</v>
      </c>
      <c r="I637" s="330">
        <f t="shared" si="35"/>
        <v>15.823487501331702</v>
      </c>
      <c r="J637" s="350"/>
      <c r="K637" s="342"/>
      <c r="L637" s="342"/>
      <c r="M637" s="352"/>
      <c r="N637" s="352"/>
      <c r="O637" s="352"/>
      <c r="P637" s="352"/>
      <c r="Q637" s="352"/>
      <c r="R637" s="352"/>
      <c r="S637" s="352"/>
    </row>
    <row r="638" spans="1:19" x14ac:dyDescent="0.2">
      <c r="A638" s="324">
        <v>13</v>
      </c>
      <c r="B638" s="324">
        <v>64</v>
      </c>
      <c r="C638" s="326">
        <v>14.641999999999999</v>
      </c>
      <c r="D638" s="326">
        <v>13.3</v>
      </c>
      <c r="E638" s="326">
        <v>5.234</v>
      </c>
      <c r="F638" s="326">
        <v>39.5</v>
      </c>
      <c r="G638" s="326">
        <v>7.9</v>
      </c>
      <c r="H638" s="326">
        <f t="shared" si="34"/>
        <v>15.924329999999999</v>
      </c>
      <c r="I638" s="326">
        <f t="shared" si="35"/>
        <v>13.359669999999999</v>
      </c>
      <c r="J638" s="350"/>
      <c r="K638" s="342"/>
      <c r="L638" s="342"/>
      <c r="M638" s="352"/>
      <c r="N638" s="352"/>
      <c r="O638" s="352"/>
      <c r="P638" s="352"/>
      <c r="Q638" s="352"/>
      <c r="R638" s="343"/>
      <c r="S638" s="343"/>
    </row>
    <row r="639" spans="1:19" x14ac:dyDescent="0.2">
      <c r="A639" s="329">
        <v>14</v>
      </c>
      <c r="B639" s="329">
        <v>87</v>
      </c>
      <c r="C639" s="330">
        <v>13.701000000000001</v>
      </c>
      <c r="D639" s="330">
        <v>12</v>
      </c>
      <c r="E639" s="330">
        <v>6.6470000000000002</v>
      </c>
      <c r="F639" s="330">
        <v>39.799999999999997</v>
      </c>
      <c r="G639" s="330">
        <v>6.8</v>
      </c>
      <c r="H639" s="330">
        <f t="shared" si="34"/>
        <v>15.097761075737097</v>
      </c>
      <c r="I639" s="330">
        <f t="shared" si="35"/>
        <v>12.304238924262904</v>
      </c>
      <c r="J639" s="350"/>
      <c r="K639" s="342"/>
      <c r="L639" s="342"/>
      <c r="M639" s="343"/>
      <c r="N639" s="343"/>
      <c r="O639" s="343"/>
      <c r="P639" s="343"/>
      <c r="Q639" s="343"/>
      <c r="R639" s="343"/>
      <c r="S639" s="343"/>
    </row>
    <row r="640" spans="1:19" x14ac:dyDescent="0.2">
      <c r="A640" s="324">
        <v>15</v>
      </c>
      <c r="B640" s="324">
        <v>70</v>
      </c>
      <c r="C640" s="326">
        <v>13.423999999999999</v>
      </c>
      <c r="D640" s="326">
        <v>11.95</v>
      </c>
      <c r="E640" s="326">
        <v>5.4980000000000002</v>
      </c>
      <c r="F640" s="326">
        <v>34.200000000000003</v>
      </c>
      <c r="G640" s="326">
        <v>4.9000000000000004</v>
      </c>
      <c r="H640" s="326">
        <f t="shared" si="34"/>
        <v>14.711987911247617</v>
      </c>
      <c r="I640" s="326">
        <f t="shared" si="35"/>
        <v>12.136012088752382</v>
      </c>
      <c r="J640" s="350"/>
      <c r="K640" s="351"/>
      <c r="L640" s="342"/>
      <c r="M640" s="343"/>
      <c r="N640" s="343"/>
      <c r="O640" s="343"/>
      <c r="P640" s="343"/>
      <c r="Q640" s="343"/>
      <c r="R640" s="343"/>
      <c r="S640" s="343"/>
    </row>
    <row r="641" spans="1:19" x14ac:dyDescent="0.2">
      <c r="A641" s="329">
        <v>16</v>
      </c>
      <c r="B641" s="329">
        <v>38</v>
      </c>
      <c r="C641" s="330">
        <v>13.154999999999999</v>
      </c>
      <c r="D641" s="330">
        <v>12.15</v>
      </c>
      <c r="E641" s="330">
        <v>4.8890000000000002</v>
      </c>
      <c r="F641" s="330">
        <v>24.5</v>
      </c>
      <c r="G641" s="330">
        <v>5.3</v>
      </c>
      <c r="H641" s="330">
        <f t="shared" si="34"/>
        <v>14.709477034700264</v>
      </c>
      <c r="I641" s="330">
        <f t="shared" si="35"/>
        <v>11.600522965299735</v>
      </c>
      <c r="J641" s="350"/>
      <c r="K641" s="342"/>
      <c r="L641" s="342"/>
      <c r="M641" s="343"/>
      <c r="N641" s="343"/>
      <c r="O641" s="343"/>
      <c r="P641" s="343"/>
      <c r="Q641" s="343"/>
      <c r="R641" s="343"/>
      <c r="S641" s="343"/>
    </row>
    <row r="642" spans="1:19" x14ac:dyDescent="0.2">
      <c r="A642" s="324">
        <v>17</v>
      </c>
      <c r="B642" s="324">
        <v>30</v>
      </c>
      <c r="C642" s="326">
        <v>13.452999999999999</v>
      </c>
      <c r="D642" s="326">
        <v>11.95</v>
      </c>
      <c r="E642" s="326">
        <v>5.3070000000000004</v>
      </c>
      <c r="F642" s="326">
        <v>25.5</v>
      </c>
      <c r="G642" s="326">
        <v>7</v>
      </c>
      <c r="H642" s="326">
        <f t="shared" si="34"/>
        <v>15.352085560284213</v>
      </c>
      <c r="I642" s="326">
        <f t="shared" si="35"/>
        <v>11.553914439715786</v>
      </c>
      <c r="J642" s="350"/>
      <c r="K642" s="342"/>
      <c r="L642" s="342"/>
      <c r="M642" s="352"/>
      <c r="N642" s="352"/>
      <c r="O642" s="352"/>
      <c r="P642" s="352"/>
      <c r="Q642" s="352"/>
      <c r="R642" s="343"/>
      <c r="S642" s="343"/>
    </row>
    <row r="643" spans="1:19" x14ac:dyDescent="0.2">
      <c r="A643" s="329">
        <v>18</v>
      </c>
      <c r="B643" s="329">
        <v>21</v>
      </c>
      <c r="C643" s="330">
        <v>11.162000000000001</v>
      </c>
      <c r="D643" s="330">
        <v>10</v>
      </c>
      <c r="E643" s="330">
        <v>3.7869999999999999</v>
      </c>
      <c r="F643" s="330">
        <v>21.3</v>
      </c>
      <c r="G643" s="330">
        <v>6.1</v>
      </c>
      <c r="H643" s="330">
        <f t="shared" si="34"/>
        <v>12.781726654634459</v>
      </c>
      <c r="I643" s="330">
        <f t="shared" si="35"/>
        <v>9.5422733453655422</v>
      </c>
      <c r="J643" s="350"/>
      <c r="K643" s="342"/>
      <c r="L643" s="342"/>
      <c r="M643" s="352"/>
      <c r="N643" s="352"/>
      <c r="O643" s="352"/>
      <c r="P643" s="352"/>
      <c r="Q643" s="352"/>
      <c r="R643" s="352"/>
      <c r="S643" s="352"/>
    </row>
    <row r="644" spans="1:19" x14ac:dyDescent="0.2">
      <c r="A644" s="324">
        <v>19</v>
      </c>
      <c r="B644" s="324">
        <v>7</v>
      </c>
      <c r="C644" s="326">
        <v>13.714</v>
      </c>
      <c r="D644" s="326">
        <v>11.3</v>
      </c>
      <c r="E644" s="326">
        <v>7.399</v>
      </c>
      <c r="F644" s="326">
        <v>27.5</v>
      </c>
      <c r="G644" s="326">
        <v>6.8</v>
      </c>
      <c r="H644" s="326">
        <f t="shared" si="34"/>
        <v>19.195255906158735</v>
      </c>
      <c r="I644" s="326">
        <f t="shared" si="35"/>
        <v>8.2327440938412675</v>
      </c>
      <c r="J644" s="350"/>
      <c r="K644" s="342"/>
      <c r="L644" s="342"/>
      <c r="M644" s="352"/>
      <c r="N644" s="352"/>
      <c r="O644" s="352"/>
      <c r="P644" s="352"/>
      <c r="Q644" s="352"/>
      <c r="R644" s="352"/>
      <c r="S644" s="352"/>
    </row>
    <row r="645" spans="1:19" x14ac:dyDescent="0.2">
      <c r="A645" s="324"/>
      <c r="B645" s="324"/>
      <c r="C645" s="324"/>
      <c r="D645" s="324"/>
      <c r="E645" s="324"/>
      <c r="F645" s="324"/>
      <c r="G645" s="324"/>
      <c r="H645" s="326"/>
      <c r="I645" s="326"/>
      <c r="J645" s="350"/>
      <c r="K645" s="342"/>
      <c r="L645" s="342"/>
      <c r="M645" s="352"/>
      <c r="N645" s="352"/>
      <c r="O645" s="352"/>
      <c r="P645" s="352"/>
      <c r="Q645" s="352"/>
      <c r="R645" s="352"/>
      <c r="S645" s="352"/>
    </row>
    <row r="646" spans="1:19" x14ac:dyDescent="0.2">
      <c r="A646" s="324"/>
      <c r="B646" s="324"/>
      <c r="C646" s="324"/>
      <c r="D646" s="324"/>
      <c r="E646" s="324"/>
      <c r="F646" s="324"/>
      <c r="G646" s="324"/>
      <c r="H646" s="326"/>
      <c r="I646" s="326"/>
      <c r="J646" s="350"/>
      <c r="K646" s="342"/>
      <c r="L646" s="342"/>
      <c r="M646" s="352"/>
      <c r="N646" s="352"/>
      <c r="O646" s="352"/>
      <c r="P646" s="352"/>
      <c r="Q646" s="352"/>
      <c r="R646" s="352"/>
      <c r="S646" s="352"/>
    </row>
    <row r="647" spans="1:19" x14ac:dyDescent="0.2">
      <c r="A647" s="800" t="s">
        <v>703</v>
      </c>
      <c r="B647" s="800"/>
      <c r="C647" s="800"/>
      <c r="D647" s="800"/>
      <c r="E647" s="800"/>
      <c r="F647" s="800"/>
      <c r="G647" s="800"/>
      <c r="H647" s="800"/>
      <c r="I647" s="801"/>
      <c r="J647" s="350"/>
      <c r="K647" s="342"/>
      <c r="L647" s="342"/>
      <c r="M647" s="352"/>
      <c r="N647" s="352"/>
      <c r="O647" s="352"/>
      <c r="P647" s="352"/>
      <c r="Q647" s="352"/>
      <c r="R647" s="352"/>
      <c r="S647" s="352"/>
    </row>
    <row r="648" spans="1:19" x14ac:dyDescent="0.2">
      <c r="A648" s="324" t="s">
        <v>504</v>
      </c>
      <c r="B648" s="324" t="s">
        <v>641</v>
      </c>
      <c r="C648" s="326" t="s">
        <v>642</v>
      </c>
      <c r="D648" s="326" t="s">
        <v>643</v>
      </c>
      <c r="E648" s="326" t="s">
        <v>644</v>
      </c>
      <c r="F648" s="326" t="s">
        <v>645</v>
      </c>
      <c r="G648" s="326" t="s">
        <v>646</v>
      </c>
      <c r="H648" s="326" t="s">
        <v>647</v>
      </c>
      <c r="I648" s="326" t="s">
        <v>648</v>
      </c>
      <c r="J648" s="350"/>
      <c r="K648" s="342"/>
      <c r="L648" s="342"/>
      <c r="M648" s="352"/>
      <c r="N648" s="352"/>
      <c r="O648" s="352"/>
      <c r="P648" s="352"/>
      <c r="Q648" s="352"/>
      <c r="R648" s="352"/>
      <c r="S648" s="352"/>
    </row>
    <row r="649" spans="1:19" x14ac:dyDescent="0.2">
      <c r="A649" s="329">
        <v>7</v>
      </c>
      <c r="B649" s="329">
        <v>14</v>
      </c>
      <c r="C649" s="330">
        <v>11.243</v>
      </c>
      <c r="D649" s="330">
        <v>9.4</v>
      </c>
      <c r="E649" s="330">
        <v>4.8150000000000004</v>
      </c>
      <c r="F649" s="330">
        <v>21.3</v>
      </c>
      <c r="G649" s="330">
        <v>5.5</v>
      </c>
      <c r="H649" s="330">
        <f t="shared" si="34"/>
        <v>13.765251244424315</v>
      </c>
      <c r="I649" s="330">
        <f t="shared" si="35"/>
        <v>8.720748755575686</v>
      </c>
      <c r="J649" s="350"/>
      <c r="K649" s="342"/>
      <c r="L649" s="342"/>
      <c r="M649" s="352"/>
      <c r="N649" s="352"/>
      <c r="O649" s="352"/>
      <c r="P649" s="352"/>
      <c r="Q649" s="352"/>
      <c r="R649" s="352"/>
      <c r="S649" s="352"/>
    </row>
    <row r="650" spans="1:19" x14ac:dyDescent="0.2">
      <c r="A650" s="324">
        <v>8</v>
      </c>
      <c r="B650" s="324">
        <v>39</v>
      </c>
      <c r="C650" s="326">
        <v>12.156000000000001</v>
      </c>
      <c r="D650" s="326">
        <v>9.8000000000000007</v>
      </c>
      <c r="E650" s="326">
        <v>6.548</v>
      </c>
      <c r="F650" s="326">
        <v>28</v>
      </c>
      <c r="G650" s="326">
        <v>5.6</v>
      </c>
      <c r="H650" s="326">
        <f t="shared" si="34"/>
        <v>14.211097536186793</v>
      </c>
      <c r="I650" s="326">
        <f t="shared" si="35"/>
        <v>10.100902463813208</v>
      </c>
      <c r="J650" s="350"/>
      <c r="K650" s="342"/>
      <c r="L650" s="342"/>
      <c r="M650" s="352"/>
      <c r="N650" s="352"/>
      <c r="O650" s="352"/>
      <c r="P650" s="352"/>
      <c r="Q650" s="352"/>
      <c r="R650" s="352"/>
      <c r="S650" s="352"/>
    </row>
    <row r="651" spans="1:19" x14ac:dyDescent="0.2">
      <c r="A651" s="329">
        <v>9</v>
      </c>
      <c r="B651" s="329">
        <v>57</v>
      </c>
      <c r="C651" s="330">
        <v>9.9649999999999999</v>
      </c>
      <c r="D651" s="330">
        <v>8.5</v>
      </c>
      <c r="E651" s="330">
        <v>4.9640000000000004</v>
      </c>
      <c r="F651" s="330">
        <v>27.4</v>
      </c>
      <c r="G651" s="330">
        <v>4.7</v>
      </c>
      <c r="H651" s="330">
        <f t="shared" si="34"/>
        <v>11.253695809612292</v>
      </c>
      <c r="I651" s="330">
        <f t="shared" si="35"/>
        <v>8.6763041903877074</v>
      </c>
      <c r="J651" s="350"/>
      <c r="K651" s="342"/>
      <c r="L651" s="342"/>
      <c r="M651" s="352"/>
      <c r="N651" s="352"/>
      <c r="O651" s="352"/>
      <c r="P651" s="352"/>
      <c r="Q651" s="352"/>
      <c r="R651" s="352"/>
      <c r="S651" s="352"/>
    </row>
    <row r="652" spans="1:19" x14ac:dyDescent="0.2">
      <c r="A652" s="324">
        <v>10</v>
      </c>
      <c r="B652" s="324">
        <v>66</v>
      </c>
      <c r="C652" s="326">
        <v>12.332000000000001</v>
      </c>
      <c r="D652" s="326">
        <v>10.35</v>
      </c>
      <c r="E652" s="326">
        <v>6.6660000000000004</v>
      </c>
      <c r="F652" s="326">
        <v>39.4</v>
      </c>
      <c r="G652" s="326">
        <v>4.8</v>
      </c>
      <c r="H652" s="326">
        <f t="shared" si="34"/>
        <v>13.940234642581736</v>
      </c>
      <c r="I652" s="326">
        <f t="shared" si="35"/>
        <v>10.723765357418266</v>
      </c>
      <c r="J652" s="350"/>
      <c r="K652" s="342"/>
      <c r="L652" s="342"/>
      <c r="M652" s="352"/>
      <c r="N652" s="352"/>
      <c r="O652" s="352"/>
      <c r="P652" s="352"/>
      <c r="Q652" s="352"/>
      <c r="R652" s="352"/>
      <c r="S652" s="352"/>
    </row>
    <row r="653" spans="1:19" x14ac:dyDescent="0.2">
      <c r="A653" s="329">
        <v>11</v>
      </c>
      <c r="B653" s="329">
        <v>55</v>
      </c>
      <c r="C653" s="330">
        <v>11.465</v>
      </c>
      <c r="D653" s="330">
        <v>8.8000000000000007</v>
      </c>
      <c r="E653" s="330">
        <v>7.27</v>
      </c>
      <c r="F653" s="330">
        <v>36.799999999999997</v>
      </c>
      <c r="G653" s="330">
        <v>4.5999999999999996</v>
      </c>
      <c r="H653" s="330">
        <f t="shared" si="34"/>
        <v>13.386361736042245</v>
      </c>
      <c r="I653" s="330">
        <f t="shared" si="35"/>
        <v>9.5436382639577548</v>
      </c>
      <c r="J653" s="350"/>
      <c r="K653" s="342"/>
      <c r="L653" s="342"/>
      <c r="M653" s="352"/>
      <c r="N653" s="352"/>
      <c r="O653" s="352"/>
      <c r="P653" s="352"/>
      <c r="Q653" s="352"/>
      <c r="R653" s="352"/>
      <c r="S653" s="352"/>
    </row>
    <row r="654" spans="1:19" x14ac:dyDescent="0.2">
      <c r="A654" s="329">
        <v>12</v>
      </c>
      <c r="B654" s="329">
        <v>35</v>
      </c>
      <c r="C654" s="330">
        <v>14.542999999999999</v>
      </c>
      <c r="D654" s="330">
        <v>12.4</v>
      </c>
      <c r="E654" s="330">
        <v>7.8010000000000002</v>
      </c>
      <c r="F654" s="330">
        <v>35.1</v>
      </c>
      <c r="G654" s="330">
        <v>4.9000000000000004</v>
      </c>
      <c r="H654" s="330">
        <f t="shared" si="34"/>
        <v>17.127474949725766</v>
      </c>
      <c r="I654" s="330">
        <f t="shared" si="35"/>
        <v>11.958525050274233</v>
      </c>
      <c r="J654" s="350"/>
      <c r="K654" s="342"/>
      <c r="L654" s="342"/>
      <c r="M654" s="352"/>
      <c r="N654" s="352"/>
      <c r="O654" s="352"/>
      <c r="P654" s="352"/>
      <c r="Q654" s="352"/>
      <c r="R654" s="343"/>
      <c r="S654" s="343"/>
    </row>
    <row r="655" spans="1:19" x14ac:dyDescent="0.2">
      <c r="A655" s="324">
        <v>13</v>
      </c>
      <c r="B655" s="324">
        <v>64</v>
      </c>
      <c r="C655" s="326">
        <v>11.916</v>
      </c>
      <c r="D655" s="326">
        <v>10.050000000000001</v>
      </c>
      <c r="E655" s="326">
        <v>5.2969999999999997</v>
      </c>
      <c r="F655" s="326">
        <v>30.1</v>
      </c>
      <c r="G655" s="326">
        <v>5.5</v>
      </c>
      <c r="H655" s="326">
        <f t="shared" si="34"/>
        <v>13.213765</v>
      </c>
      <c r="I655" s="326">
        <f t="shared" si="35"/>
        <v>10.618235</v>
      </c>
      <c r="J655" s="350"/>
      <c r="K655" s="342"/>
      <c r="L655" s="342"/>
      <c r="M655" s="343"/>
      <c r="N655" s="343"/>
      <c r="O655" s="343"/>
      <c r="P655" s="343"/>
      <c r="Q655" s="343"/>
      <c r="R655" s="343"/>
      <c r="S655" s="343"/>
    </row>
    <row r="656" spans="1:19" x14ac:dyDescent="0.2">
      <c r="A656" s="329">
        <v>14</v>
      </c>
      <c r="B656" s="329">
        <v>87</v>
      </c>
      <c r="C656" s="330">
        <v>12.122</v>
      </c>
      <c r="D656" s="330">
        <v>10.6</v>
      </c>
      <c r="E656" s="330">
        <v>6.423</v>
      </c>
      <c r="F656" s="330">
        <v>35.4</v>
      </c>
      <c r="G656" s="330">
        <v>4.5</v>
      </c>
      <c r="H656" s="330">
        <f t="shared" si="34"/>
        <v>13.471691047007578</v>
      </c>
      <c r="I656" s="330">
        <f t="shared" si="35"/>
        <v>10.772308952992422</v>
      </c>
      <c r="J656" s="350"/>
      <c r="K656" s="351"/>
      <c r="L656" s="342"/>
      <c r="M656" s="343"/>
      <c r="N656" s="343"/>
      <c r="O656" s="343"/>
      <c r="P656" s="343"/>
      <c r="Q656" s="343"/>
      <c r="R656" s="343"/>
      <c r="S656" s="343"/>
    </row>
    <row r="657" spans="1:19" x14ac:dyDescent="0.2">
      <c r="A657" s="324">
        <v>15</v>
      </c>
      <c r="B657" s="324">
        <v>70</v>
      </c>
      <c r="C657" s="326">
        <v>11.25</v>
      </c>
      <c r="D657" s="326">
        <v>9.1999999999999993</v>
      </c>
      <c r="E657" s="326">
        <v>6.04</v>
      </c>
      <c r="F657" s="326">
        <v>30.9</v>
      </c>
      <c r="G657" s="326">
        <v>4.3</v>
      </c>
      <c r="H657" s="326">
        <f t="shared" si="34"/>
        <v>12.664959436874428</v>
      </c>
      <c r="I657" s="326">
        <f t="shared" si="35"/>
        <v>9.8350405631255722</v>
      </c>
      <c r="J657" s="350"/>
      <c r="K657" s="342"/>
      <c r="L657" s="342"/>
      <c r="M657" s="343"/>
      <c r="N657" s="343"/>
      <c r="O657" s="343"/>
      <c r="P657" s="343"/>
      <c r="Q657" s="343"/>
      <c r="R657" s="343"/>
      <c r="S657" s="343"/>
    </row>
    <row r="658" spans="1:19" x14ac:dyDescent="0.2">
      <c r="A658" s="329">
        <v>16</v>
      </c>
      <c r="B658" s="329">
        <v>38</v>
      </c>
      <c r="C658" s="330">
        <v>11.276</v>
      </c>
      <c r="D658" s="330">
        <v>8.8000000000000007</v>
      </c>
      <c r="E658" s="330">
        <v>6.9130000000000003</v>
      </c>
      <c r="F658" s="330">
        <v>38.4</v>
      </c>
      <c r="G658" s="330">
        <v>4.8</v>
      </c>
      <c r="H658" s="330">
        <f t="shared" si="34"/>
        <v>13.474015901182845</v>
      </c>
      <c r="I658" s="330">
        <f t="shared" si="35"/>
        <v>9.0779840988171543</v>
      </c>
      <c r="J658" s="350"/>
      <c r="K658" s="342"/>
      <c r="L658" s="342"/>
      <c r="M658" s="343"/>
      <c r="N658" s="343"/>
      <c r="O658" s="343"/>
      <c r="P658" s="343"/>
      <c r="Q658" s="343"/>
      <c r="R658" s="343"/>
      <c r="S658" s="343"/>
    </row>
    <row r="659" spans="1:19" x14ac:dyDescent="0.2">
      <c r="A659" s="324">
        <v>17</v>
      </c>
      <c r="B659" s="324">
        <v>30</v>
      </c>
      <c r="C659" s="326">
        <v>11.962999999999999</v>
      </c>
      <c r="D659" s="326">
        <v>9.9499999999999993</v>
      </c>
      <c r="E659" s="326">
        <v>5.641</v>
      </c>
      <c r="F659" s="326">
        <v>26.7</v>
      </c>
      <c r="G659" s="326">
        <v>4.5999999999999996</v>
      </c>
      <c r="H659" s="326">
        <f t="shared" si="34"/>
        <v>13.981605925299272</v>
      </c>
      <c r="I659" s="326">
        <f t="shared" si="35"/>
        <v>9.9443940747007264</v>
      </c>
      <c r="J659" s="350"/>
      <c r="K659" s="342"/>
      <c r="L659" s="342"/>
      <c r="M659" s="343"/>
      <c r="N659" s="343"/>
      <c r="O659" s="343"/>
      <c r="P659" s="343"/>
      <c r="Q659" s="343"/>
      <c r="R659" s="343"/>
      <c r="S659" s="343"/>
    </row>
    <row r="660" spans="1:19" x14ac:dyDescent="0.2">
      <c r="A660" s="329">
        <v>18</v>
      </c>
      <c r="B660" s="329">
        <v>21</v>
      </c>
      <c r="C660" s="330">
        <v>9.2899999999999991</v>
      </c>
      <c r="D660" s="330">
        <v>8.6999999999999993</v>
      </c>
      <c r="E660" s="330">
        <v>3.246</v>
      </c>
      <c r="F660" s="330">
        <v>17.2</v>
      </c>
      <c r="G660" s="330">
        <v>4.2</v>
      </c>
      <c r="H660" s="330">
        <f t="shared" si="34"/>
        <v>10.67833713254382</v>
      </c>
      <c r="I660" s="330">
        <f t="shared" si="35"/>
        <v>7.901662867456178</v>
      </c>
      <c r="J660" s="350"/>
      <c r="K660" s="342"/>
      <c r="L660" s="342"/>
      <c r="M660" s="343"/>
      <c r="N660" s="343"/>
      <c r="O660" s="343"/>
      <c r="P660" s="343"/>
      <c r="Q660" s="343"/>
      <c r="R660" s="343"/>
      <c r="S660" s="343"/>
    </row>
    <row r="661" spans="1:19" x14ac:dyDescent="0.2">
      <c r="A661" s="324">
        <v>19</v>
      </c>
      <c r="B661" s="324">
        <v>7</v>
      </c>
      <c r="C661" s="326">
        <v>10.714</v>
      </c>
      <c r="D661" s="326">
        <v>7</v>
      </c>
      <c r="E661" s="326">
        <v>6.7539999999999996</v>
      </c>
      <c r="F661" s="326">
        <v>19.899999999999999</v>
      </c>
      <c r="G661" s="326">
        <v>4.2</v>
      </c>
      <c r="H661" s="326">
        <f t="shared" si="34"/>
        <v>15.717433219380467</v>
      </c>
      <c r="I661" s="326">
        <f t="shared" si="35"/>
        <v>5.7105667806195326</v>
      </c>
      <c r="J661" s="350"/>
      <c r="K661" s="342"/>
      <c r="L661" s="342"/>
      <c r="M661" s="343"/>
      <c r="N661" s="343"/>
      <c r="O661" s="343"/>
      <c r="P661" s="343"/>
      <c r="Q661" s="343"/>
      <c r="R661" s="343"/>
      <c r="S661" s="343"/>
    </row>
    <row r="662" spans="1:19" x14ac:dyDescent="0.2">
      <c r="A662" s="324"/>
      <c r="B662" s="324"/>
      <c r="C662" s="324"/>
      <c r="D662" s="324"/>
      <c r="E662" s="324"/>
      <c r="F662" s="324"/>
      <c r="G662" s="324"/>
      <c r="H662" s="326"/>
      <c r="I662" s="326"/>
      <c r="J662" s="350"/>
      <c r="K662" s="342"/>
      <c r="L662" s="342"/>
      <c r="M662" s="343"/>
      <c r="N662" s="343"/>
      <c r="O662" s="343"/>
      <c r="P662" s="343"/>
      <c r="Q662" s="343"/>
      <c r="R662" s="343"/>
      <c r="S662" s="343"/>
    </row>
    <row r="663" spans="1:19" x14ac:dyDescent="0.2">
      <c r="A663" s="324"/>
      <c r="B663" s="324"/>
      <c r="C663" s="324"/>
      <c r="D663" s="324"/>
      <c r="E663" s="324"/>
      <c r="F663" s="324"/>
      <c r="G663" s="324"/>
      <c r="H663" s="326"/>
      <c r="I663" s="326"/>
      <c r="J663" s="350"/>
      <c r="K663" s="342"/>
      <c r="L663" s="342"/>
      <c r="M663" s="343"/>
      <c r="N663" s="343"/>
      <c r="O663" s="343"/>
      <c r="P663" s="343"/>
      <c r="Q663" s="343"/>
      <c r="R663" s="343"/>
      <c r="S663" s="343"/>
    </row>
    <row r="664" spans="1:19" x14ac:dyDescent="0.2">
      <c r="A664" s="800" t="s">
        <v>704</v>
      </c>
      <c r="B664" s="800"/>
      <c r="C664" s="800"/>
      <c r="D664" s="800"/>
      <c r="E664" s="800"/>
      <c r="F664" s="800"/>
      <c r="G664" s="800"/>
      <c r="H664" s="800"/>
      <c r="I664" s="801"/>
      <c r="J664" s="350"/>
      <c r="K664" s="342"/>
      <c r="L664" s="342"/>
      <c r="M664" s="343"/>
      <c r="N664" s="343"/>
      <c r="O664" s="343"/>
      <c r="P664" s="343"/>
      <c r="Q664" s="343"/>
      <c r="R664" s="343"/>
      <c r="S664" s="343"/>
    </row>
    <row r="665" spans="1:19" x14ac:dyDescent="0.2">
      <c r="A665" s="324" t="s">
        <v>504</v>
      </c>
      <c r="B665" s="324" t="s">
        <v>641</v>
      </c>
      <c r="C665" s="326" t="s">
        <v>642</v>
      </c>
      <c r="D665" s="326" t="s">
        <v>643</v>
      </c>
      <c r="E665" s="326" t="s">
        <v>644</v>
      </c>
      <c r="F665" s="326" t="s">
        <v>645</v>
      </c>
      <c r="G665" s="326" t="s">
        <v>646</v>
      </c>
      <c r="H665" s="326" t="s">
        <v>647</v>
      </c>
      <c r="I665" s="326" t="s">
        <v>648</v>
      </c>
      <c r="J665" s="350"/>
      <c r="K665" s="342"/>
      <c r="L665" s="342"/>
      <c r="M665" s="343"/>
      <c r="N665" s="343"/>
      <c r="O665" s="343"/>
      <c r="P665" s="343"/>
      <c r="Q665" s="343"/>
      <c r="R665" s="343"/>
      <c r="S665" s="343"/>
    </row>
    <row r="666" spans="1:19" x14ac:dyDescent="0.2">
      <c r="A666" s="329">
        <v>7</v>
      </c>
      <c r="B666" s="329">
        <v>14</v>
      </c>
      <c r="C666" s="330">
        <v>60.735999999999997</v>
      </c>
      <c r="D666" s="330">
        <v>49.2</v>
      </c>
      <c r="E666" s="330">
        <v>25.861999999999998</v>
      </c>
      <c r="F666" s="330">
        <v>111.4</v>
      </c>
      <c r="G666" s="330">
        <v>30.6</v>
      </c>
      <c r="H666" s="330">
        <f t="shared" si="34"/>
        <v>74.283344067144668</v>
      </c>
      <c r="I666" s="330">
        <f t="shared" si="35"/>
        <v>47.188655932855326</v>
      </c>
      <c r="J666" s="350"/>
      <c r="K666" s="342"/>
      <c r="L666" s="342"/>
      <c r="M666" s="343"/>
      <c r="N666" s="343"/>
      <c r="O666" s="343"/>
      <c r="P666" s="343"/>
      <c r="Q666" s="343"/>
      <c r="R666" s="343"/>
      <c r="S666" s="343"/>
    </row>
    <row r="667" spans="1:19" x14ac:dyDescent="0.2">
      <c r="A667" s="324">
        <v>8</v>
      </c>
      <c r="B667" s="324">
        <v>39</v>
      </c>
      <c r="C667" s="326">
        <v>75.177000000000007</v>
      </c>
      <c r="D667" s="326">
        <v>55.6</v>
      </c>
      <c r="E667" s="326">
        <v>42.886000000000003</v>
      </c>
      <c r="F667" s="326">
        <v>176.9</v>
      </c>
      <c r="G667" s="326">
        <v>31.4</v>
      </c>
      <c r="H667" s="326">
        <f t="shared" si="34"/>
        <v>88.636821768006541</v>
      </c>
      <c r="I667" s="326">
        <f t="shared" si="35"/>
        <v>61.717178231993472</v>
      </c>
      <c r="J667" s="350"/>
      <c r="K667" s="342"/>
      <c r="L667" s="342"/>
      <c r="M667" s="343"/>
      <c r="N667" s="343"/>
      <c r="O667" s="343"/>
      <c r="P667" s="343"/>
      <c r="Q667" s="343"/>
      <c r="R667" s="343"/>
      <c r="S667" s="343"/>
    </row>
    <row r="668" spans="1:19" x14ac:dyDescent="0.2">
      <c r="A668" s="329">
        <v>9</v>
      </c>
      <c r="B668" s="329">
        <v>57</v>
      </c>
      <c r="C668" s="330">
        <v>63.332999999999998</v>
      </c>
      <c r="D668" s="330">
        <v>50.2</v>
      </c>
      <c r="E668" s="330">
        <v>34.472000000000001</v>
      </c>
      <c r="F668" s="330">
        <v>176.5</v>
      </c>
      <c r="G668" s="330">
        <v>28.2</v>
      </c>
      <c r="H668" s="330">
        <f t="shared" si="34"/>
        <v>72.282218764898246</v>
      </c>
      <c r="I668" s="330">
        <f t="shared" si="35"/>
        <v>54.383781235101743</v>
      </c>
      <c r="J668" s="350"/>
      <c r="K668" s="342"/>
      <c r="L668" s="342"/>
      <c r="M668" s="343"/>
      <c r="N668" s="343"/>
      <c r="O668" s="343"/>
      <c r="P668" s="343"/>
      <c r="Q668" s="343"/>
      <c r="R668" s="343"/>
      <c r="S668" s="343"/>
    </row>
    <row r="669" spans="1:19" x14ac:dyDescent="0.2">
      <c r="A669" s="324">
        <v>10</v>
      </c>
      <c r="B669" s="324">
        <v>66</v>
      </c>
      <c r="C669" s="326">
        <v>77.852000000000004</v>
      </c>
      <c r="D669" s="326">
        <v>65.150000000000006</v>
      </c>
      <c r="E669" s="326">
        <v>44.622999999999998</v>
      </c>
      <c r="F669" s="326">
        <v>229.8</v>
      </c>
      <c r="G669" s="326">
        <v>23.7</v>
      </c>
      <c r="H669" s="326">
        <f t="shared" si="34"/>
        <v>88.617714739862706</v>
      </c>
      <c r="I669" s="326">
        <f t="shared" si="35"/>
        <v>67.086285260137302</v>
      </c>
      <c r="J669" s="350"/>
      <c r="K669" s="342"/>
      <c r="L669" s="342"/>
      <c r="M669" s="343"/>
      <c r="N669" s="343"/>
      <c r="O669" s="343"/>
      <c r="P669" s="343"/>
      <c r="Q669" s="343"/>
      <c r="R669" s="343"/>
      <c r="S669" s="343"/>
    </row>
    <row r="670" spans="1:19" x14ac:dyDescent="0.2">
      <c r="A670" s="329">
        <v>11</v>
      </c>
      <c r="B670" s="329">
        <v>55</v>
      </c>
      <c r="C670" s="330">
        <v>76.734999999999999</v>
      </c>
      <c r="D670" s="330">
        <v>60.2</v>
      </c>
      <c r="E670" s="330">
        <v>48.436999999999998</v>
      </c>
      <c r="F670" s="330">
        <v>247.7</v>
      </c>
      <c r="G670" s="330">
        <v>33</v>
      </c>
      <c r="H670" s="330">
        <f t="shared" si="34"/>
        <v>89.536237745347762</v>
      </c>
      <c r="I670" s="330">
        <f t="shared" si="35"/>
        <v>63.933762254652237</v>
      </c>
      <c r="J670" s="350"/>
      <c r="K670" s="342"/>
      <c r="L670" s="342"/>
      <c r="M670" s="343"/>
      <c r="N670" s="343"/>
      <c r="O670" s="343"/>
      <c r="P670" s="343"/>
      <c r="Q670" s="343"/>
      <c r="R670" s="343"/>
      <c r="S670" s="343"/>
    </row>
    <row r="671" spans="1:19" x14ac:dyDescent="0.2">
      <c r="A671" s="329">
        <v>12</v>
      </c>
      <c r="B671" s="329">
        <v>35</v>
      </c>
      <c r="C671" s="330">
        <v>88.911000000000001</v>
      </c>
      <c r="D671" s="330">
        <v>70.900000000000006</v>
      </c>
      <c r="E671" s="330">
        <v>47.298999999999999</v>
      </c>
      <c r="F671" s="330">
        <v>243.7</v>
      </c>
      <c r="G671" s="330">
        <v>32.700000000000003</v>
      </c>
      <c r="H671" s="330">
        <f t="shared" si="34"/>
        <v>104.58118082900641</v>
      </c>
      <c r="I671" s="330">
        <f t="shared" si="35"/>
        <v>73.240819170993589</v>
      </c>
      <c r="J671" s="350"/>
      <c r="K671" s="342"/>
      <c r="L671" s="342"/>
      <c r="M671" s="343"/>
      <c r="N671" s="343"/>
      <c r="O671" s="343"/>
      <c r="P671" s="343"/>
      <c r="Q671" s="343"/>
      <c r="R671" s="343"/>
      <c r="S671" s="343"/>
    </row>
    <row r="672" spans="1:19" x14ac:dyDescent="0.2">
      <c r="A672" s="324">
        <v>13</v>
      </c>
      <c r="B672" s="324">
        <v>64</v>
      </c>
      <c r="C672" s="326">
        <v>68.634</v>
      </c>
      <c r="D672" s="326">
        <v>58.5</v>
      </c>
      <c r="E672" s="326">
        <v>30.45</v>
      </c>
      <c r="F672" s="326">
        <v>188.8</v>
      </c>
      <c r="G672" s="326">
        <v>38.700000000000003</v>
      </c>
      <c r="H672" s="326">
        <f t="shared" si="34"/>
        <v>76.094250000000002</v>
      </c>
      <c r="I672" s="326">
        <f t="shared" si="35"/>
        <v>61.173749999999998</v>
      </c>
      <c r="J672" s="350"/>
      <c r="K672" s="351"/>
      <c r="L672" s="342"/>
      <c r="M672" s="343"/>
      <c r="N672" s="343"/>
      <c r="O672" s="343"/>
      <c r="P672" s="343"/>
      <c r="Q672" s="343"/>
      <c r="R672" s="343"/>
      <c r="S672" s="343"/>
    </row>
    <row r="673" spans="1:19" x14ac:dyDescent="0.2">
      <c r="A673" s="329">
        <v>14</v>
      </c>
      <c r="B673" s="329">
        <v>87</v>
      </c>
      <c r="C673" s="330">
        <v>72.305000000000007</v>
      </c>
      <c r="D673" s="330">
        <v>58.1</v>
      </c>
      <c r="E673" s="330">
        <v>41.119</v>
      </c>
      <c r="F673" s="330">
        <v>242</v>
      </c>
      <c r="G673" s="330">
        <v>33.700000000000003</v>
      </c>
      <c r="H673" s="330">
        <f t="shared" si="34"/>
        <v>80.945502282719076</v>
      </c>
      <c r="I673" s="330">
        <f t="shared" si="35"/>
        <v>63.664497717280931</v>
      </c>
      <c r="J673" s="350"/>
      <c r="K673" s="342"/>
      <c r="L673" s="342"/>
      <c r="M673" s="343"/>
      <c r="N673" s="343"/>
      <c r="O673" s="343"/>
      <c r="P673" s="343"/>
      <c r="Q673" s="343"/>
      <c r="R673" s="343"/>
      <c r="S673" s="343"/>
    </row>
    <row r="674" spans="1:19" x14ac:dyDescent="0.2">
      <c r="A674" s="324">
        <v>15</v>
      </c>
      <c r="B674" s="324">
        <v>70</v>
      </c>
      <c r="C674" s="326">
        <v>73.049000000000007</v>
      </c>
      <c r="D674" s="326">
        <v>58.95</v>
      </c>
      <c r="E674" s="326">
        <v>38.588000000000001</v>
      </c>
      <c r="F674" s="326">
        <v>227.5</v>
      </c>
      <c r="G674" s="326">
        <v>29.3</v>
      </c>
      <c r="H674" s="326">
        <f t="shared" si="34"/>
        <v>82.088810389091137</v>
      </c>
      <c r="I674" s="326">
        <f t="shared" si="35"/>
        <v>64.009189610908876</v>
      </c>
      <c r="J674" s="350"/>
      <c r="K674" s="342"/>
      <c r="L674" s="342"/>
      <c r="M674" s="343"/>
      <c r="N674" s="343"/>
      <c r="O674" s="343"/>
      <c r="P674" s="343"/>
      <c r="Q674" s="343"/>
      <c r="R674" s="343"/>
      <c r="S674" s="343"/>
    </row>
    <row r="675" spans="1:19" x14ac:dyDescent="0.2">
      <c r="A675" s="329">
        <v>16</v>
      </c>
      <c r="B675" s="329">
        <v>38</v>
      </c>
      <c r="C675" s="330">
        <v>77.344999999999999</v>
      </c>
      <c r="D675" s="330">
        <v>61.55</v>
      </c>
      <c r="E675" s="330">
        <v>47.286999999999999</v>
      </c>
      <c r="F675" s="330">
        <v>262.10000000000002</v>
      </c>
      <c r="G675" s="330">
        <v>36.9</v>
      </c>
      <c r="H675" s="330">
        <f t="shared" si="34"/>
        <v>92.380090108380315</v>
      </c>
      <c r="I675" s="330">
        <f t="shared" si="35"/>
        <v>62.309909891619675</v>
      </c>
      <c r="J675" s="350"/>
      <c r="K675" s="342"/>
      <c r="L675" s="342"/>
      <c r="M675" s="343"/>
      <c r="N675" s="343"/>
      <c r="O675" s="343"/>
      <c r="P675" s="343"/>
      <c r="Q675" s="343"/>
      <c r="R675" s="343"/>
      <c r="S675" s="343"/>
    </row>
    <row r="676" spans="1:19" x14ac:dyDescent="0.2">
      <c r="A676" s="324">
        <v>17</v>
      </c>
      <c r="B676" s="324">
        <v>30</v>
      </c>
      <c r="C676" s="326">
        <v>81.156999999999996</v>
      </c>
      <c r="D676" s="326">
        <v>62.6</v>
      </c>
      <c r="E676" s="326">
        <v>45.301000000000002</v>
      </c>
      <c r="F676" s="326">
        <v>198.7</v>
      </c>
      <c r="G676" s="326">
        <v>35.4</v>
      </c>
      <c r="H676" s="326">
        <f t="shared" si="34"/>
        <v>97.367754657327126</v>
      </c>
      <c r="I676" s="326">
        <f t="shared" si="35"/>
        <v>64.946245342672867</v>
      </c>
      <c r="J676" s="350"/>
      <c r="K676" s="342"/>
      <c r="L676" s="342"/>
      <c r="M676" s="343"/>
      <c r="N676" s="343"/>
      <c r="O676" s="343"/>
      <c r="P676" s="343"/>
      <c r="Q676" s="343"/>
      <c r="R676" s="343"/>
      <c r="S676" s="343"/>
    </row>
    <row r="677" spans="1:19" x14ac:dyDescent="0.2">
      <c r="A677" s="329">
        <v>18</v>
      </c>
      <c r="B677" s="329">
        <v>21</v>
      </c>
      <c r="C677" s="330">
        <v>65.228999999999999</v>
      </c>
      <c r="D677" s="330">
        <v>59.1</v>
      </c>
      <c r="E677" s="330">
        <v>24.577999999999999</v>
      </c>
      <c r="F677" s="330">
        <v>135.30000000000001</v>
      </c>
      <c r="G677" s="330">
        <v>35.1</v>
      </c>
      <c r="H677" s="330">
        <f t="shared" si="34"/>
        <v>75.741184240191629</v>
      </c>
      <c r="I677" s="330">
        <f t="shared" si="35"/>
        <v>54.71681575980837</v>
      </c>
      <c r="J677" s="350"/>
      <c r="K677" s="342"/>
      <c r="L677" s="342"/>
      <c r="M677" s="343"/>
      <c r="N677" s="343"/>
      <c r="O677" s="343"/>
      <c r="P677" s="343"/>
      <c r="Q677" s="343"/>
      <c r="R677" s="343"/>
      <c r="S677" s="343"/>
    </row>
    <row r="678" spans="1:19" x14ac:dyDescent="0.2">
      <c r="A678" s="324">
        <v>19</v>
      </c>
      <c r="B678" s="324">
        <v>7</v>
      </c>
      <c r="C678" s="326">
        <v>95.570999999999998</v>
      </c>
      <c r="D678" s="326">
        <v>64.400000000000006</v>
      </c>
      <c r="E678" s="326">
        <v>62.29</v>
      </c>
      <c r="F678" s="326">
        <v>192.8</v>
      </c>
      <c r="G678" s="326">
        <v>36.1</v>
      </c>
      <c r="H678" s="326">
        <f t="shared" si="34"/>
        <v>141.71607776653974</v>
      </c>
      <c r="I678" s="326">
        <f t="shared" si="35"/>
        <v>49.425922233460263</v>
      </c>
      <c r="J678" s="350"/>
      <c r="K678" s="342"/>
      <c r="L678" s="342"/>
      <c r="M678" s="343"/>
      <c r="N678" s="343"/>
      <c r="O678" s="343"/>
      <c r="P678" s="343"/>
      <c r="Q678" s="343"/>
      <c r="R678" s="343"/>
      <c r="S678" s="343"/>
    </row>
  </sheetData>
  <mergeCells count="62">
    <mergeCell ref="K273:S273"/>
    <mergeCell ref="K290:S290"/>
    <mergeCell ref="K307:S307"/>
    <mergeCell ref="K324:S324"/>
    <mergeCell ref="K341:S341"/>
    <mergeCell ref="K256:S256"/>
    <mergeCell ref="K69:S69"/>
    <mergeCell ref="K86:S86"/>
    <mergeCell ref="K103:S103"/>
    <mergeCell ref="K120:S120"/>
    <mergeCell ref="K137:S137"/>
    <mergeCell ref="K154:S154"/>
    <mergeCell ref="K171:S171"/>
    <mergeCell ref="K188:S188"/>
    <mergeCell ref="K205:S205"/>
    <mergeCell ref="K222:S222"/>
    <mergeCell ref="K239:S239"/>
    <mergeCell ref="A69:I69"/>
    <mergeCell ref="A52:I52"/>
    <mergeCell ref="A35:I35"/>
    <mergeCell ref="A18:I18"/>
    <mergeCell ref="A1:I1"/>
    <mergeCell ref="K1:S1"/>
    <mergeCell ref="K18:S18"/>
    <mergeCell ref="K35:S35"/>
    <mergeCell ref="K52:S52"/>
    <mergeCell ref="K53:S53"/>
    <mergeCell ref="A154:I154"/>
    <mergeCell ref="A137:I137"/>
    <mergeCell ref="A120:I120"/>
    <mergeCell ref="A103:I103"/>
    <mergeCell ref="A86:I86"/>
    <mergeCell ref="A358:I358"/>
    <mergeCell ref="A545:I545"/>
    <mergeCell ref="A528:I528"/>
    <mergeCell ref="A511:I511"/>
    <mergeCell ref="A494:I494"/>
    <mergeCell ref="A477:I477"/>
    <mergeCell ref="A443:I443"/>
    <mergeCell ref="A426:I426"/>
    <mergeCell ref="A409:I409"/>
    <mergeCell ref="A392:I392"/>
    <mergeCell ref="A375:I375"/>
    <mergeCell ref="A460:I460"/>
    <mergeCell ref="A171:I171"/>
    <mergeCell ref="A341:I341"/>
    <mergeCell ref="A324:I324"/>
    <mergeCell ref="A307:I307"/>
    <mergeCell ref="A290:I290"/>
    <mergeCell ref="A273:I273"/>
    <mergeCell ref="A256:I256"/>
    <mergeCell ref="A239:I239"/>
    <mergeCell ref="A222:I222"/>
    <mergeCell ref="A205:I205"/>
    <mergeCell ref="A188:I188"/>
    <mergeCell ref="A664:I664"/>
    <mergeCell ref="A630:I630"/>
    <mergeCell ref="A647:I647"/>
    <mergeCell ref="A562:I562"/>
    <mergeCell ref="A579:I579"/>
    <mergeCell ref="A596:I596"/>
    <mergeCell ref="A613:I61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/>
  <dimension ref="A1:J32"/>
  <sheetViews>
    <sheetView workbookViewId="0">
      <selection activeCell="A44" sqref="A44:W52"/>
    </sheetView>
  </sheetViews>
  <sheetFormatPr baseColWidth="10" defaultRowHeight="15" x14ac:dyDescent="0.2"/>
  <cols>
    <col min="2" max="2" width="16.33203125" customWidth="1"/>
  </cols>
  <sheetData>
    <row r="1" spans="1:9" x14ac:dyDescent="0.2">
      <c r="A1" s="742" t="s">
        <v>727</v>
      </c>
      <c r="B1" s="742"/>
      <c r="C1" s="742"/>
      <c r="D1" s="742"/>
      <c r="E1" s="742"/>
      <c r="F1" s="742"/>
      <c r="G1" s="742"/>
      <c r="H1" s="742"/>
      <c r="I1" s="742"/>
    </row>
    <row r="2" spans="1:9" x14ac:dyDescent="0.2">
      <c r="A2" s="808" t="s">
        <v>728</v>
      </c>
      <c r="B2" s="808"/>
      <c r="C2" s="808"/>
      <c r="D2" s="808"/>
      <c r="E2" s="808"/>
      <c r="F2" s="808"/>
      <c r="G2" s="808"/>
    </row>
    <row r="4" spans="1:9" x14ac:dyDescent="0.2">
      <c r="A4" s="370" t="s">
        <v>729</v>
      </c>
      <c r="B4" s="370"/>
      <c r="C4" s="370"/>
      <c r="D4" s="370"/>
    </row>
    <row r="6" spans="1:9" x14ac:dyDescent="0.2">
      <c r="A6" t="s">
        <v>730</v>
      </c>
    </row>
    <row r="7" spans="1:9" x14ac:dyDescent="0.2">
      <c r="A7" t="s">
        <v>731</v>
      </c>
      <c r="B7" s="371" t="s">
        <v>732</v>
      </c>
      <c r="C7" s="372">
        <f>HISTORIA!C7</f>
        <v>23.673972602739727</v>
      </c>
    </row>
    <row r="8" spans="1:9" x14ac:dyDescent="0.2">
      <c r="B8" s="371" t="s">
        <v>733</v>
      </c>
      <c r="C8" s="372">
        <f>'ANTROPOMETRÍA DEPORTISTAS'!C9</f>
        <v>0</v>
      </c>
    </row>
    <row r="9" spans="1:9" x14ac:dyDescent="0.2">
      <c r="B9" s="371" t="s">
        <v>734</v>
      </c>
      <c r="C9" s="373">
        <f>'ANTROPOMETRÍA DEPORTISTAS'!C7</f>
        <v>0</v>
      </c>
    </row>
    <row r="10" spans="1:9" x14ac:dyDescent="0.2">
      <c r="B10" t="s">
        <v>735</v>
      </c>
      <c r="C10" s="369" t="e">
        <f>C8-C11</f>
        <v>#REF!</v>
      </c>
      <c r="E10" s="809" t="s">
        <v>736</v>
      </c>
      <c r="F10" s="809"/>
      <c r="G10" s="809"/>
      <c r="H10" s="809"/>
    </row>
    <row r="11" spans="1:9" x14ac:dyDescent="0.2">
      <c r="B11" s="371" t="s">
        <v>737</v>
      </c>
      <c r="C11" s="373" t="e">
        <f>'ANTROPOMETRÍA DEPORTISTAS'!#REF!</f>
        <v>#REF!</v>
      </c>
      <c r="E11" s="809"/>
      <c r="F11" s="809"/>
      <c r="G11" s="809"/>
      <c r="H11" s="809"/>
    </row>
    <row r="12" spans="1:9" ht="96" x14ac:dyDescent="0.2">
      <c r="B12" s="374" t="s">
        <v>738</v>
      </c>
      <c r="C12" s="375" t="e">
        <f>(C10*C11)</f>
        <v>#REF!</v>
      </c>
    </row>
    <row r="13" spans="1:9" ht="80" x14ac:dyDescent="0.2">
      <c r="B13" s="366" t="s">
        <v>739</v>
      </c>
      <c r="C13" s="375" t="e">
        <f>(C7*C10)</f>
        <v>#REF!</v>
      </c>
    </row>
    <row r="14" spans="1:9" ht="80" x14ac:dyDescent="0.2">
      <c r="B14" s="366" t="s">
        <v>740</v>
      </c>
      <c r="C14" s="375" t="e">
        <f>(C7*C11)</f>
        <v>#REF!</v>
      </c>
    </row>
    <row r="15" spans="1:9" ht="32" x14ac:dyDescent="0.2">
      <c r="B15" s="366" t="s">
        <v>741</v>
      </c>
      <c r="C15" s="375" t="e">
        <f>(C9/C8)*100</f>
        <v>#DIV/0!</v>
      </c>
    </row>
    <row r="18" spans="1:10" x14ac:dyDescent="0.2">
      <c r="A18" t="s">
        <v>742</v>
      </c>
    </row>
    <row r="20" spans="1:10" ht="96" x14ac:dyDescent="0.2">
      <c r="B20" s="374" t="s">
        <v>743</v>
      </c>
      <c r="C20" s="376" t="e">
        <f>-9.236+(0.0002708*C12)+(-0.001663*C13)+(0.007216*C14)+(0.02292*C15)</f>
        <v>#REF!</v>
      </c>
      <c r="E20" s="810" t="s">
        <v>744</v>
      </c>
      <c r="F20" s="810"/>
      <c r="G20" s="810"/>
    </row>
    <row r="21" spans="1:10" x14ac:dyDescent="0.2">
      <c r="B21" s="367"/>
    </row>
    <row r="22" spans="1:10" x14ac:dyDescent="0.2">
      <c r="A22" t="s">
        <v>745</v>
      </c>
    </row>
    <row r="23" spans="1:10" x14ac:dyDescent="0.2">
      <c r="B23" t="s">
        <v>746</v>
      </c>
      <c r="C23" s="377" t="e">
        <f>C7-(C20)</f>
        <v>#REF!</v>
      </c>
      <c r="E23" s="811" t="s">
        <v>747</v>
      </c>
      <c r="F23" s="811"/>
      <c r="G23" s="811"/>
      <c r="H23" s="811"/>
      <c r="I23" s="811"/>
    </row>
    <row r="25" spans="1:10" x14ac:dyDescent="0.2">
      <c r="B25" s="378" t="s">
        <v>748</v>
      </c>
      <c r="D25" s="379" t="s">
        <v>84</v>
      </c>
      <c r="E25" s="368" t="s">
        <v>264</v>
      </c>
    </row>
    <row r="26" spans="1:10" ht="32" x14ac:dyDescent="0.2">
      <c r="C26" s="380" t="s">
        <v>749</v>
      </c>
      <c r="D26" s="379" t="s">
        <v>750</v>
      </c>
      <c r="E26" s="368" t="s">
        <v>751</v>
      </c>
    </row>
    <row r="27" spans="1:10" ht="32" x14ac:dyDescent="0.2">
      <c r="C27" s="380" t="s">
        <v>752</v>
      </c>
      <c r="D27" s="381" t="s">
        <v>753</v>
      </c>
      <c r="E27" s="368" t="s">
        <v>754</v>
      </c>
    </row>
    <row r="28" spans="1:10" ht="32" x14ac:dyDescent="0.2">
      <c r="C28" s="380" t="s">
        <v>755</v>
      </c>
      <c r="D28" s="379" t="s">
        <v>756</v>
      </c>
      <c r="E28" s="368" t="s">
        <v>757</v>
      </c>
    </row>
    <row r="29" spans="1:10" x14ac:dyDescent="0.2">
      <c r="A29" t="s">
        <v>758</v>
      </c>
    </row>
    <row r="30" spans="1:10" ht="32" x14ac:dyDescent="0.2">
      <c r="B30" s="366" t="s">
        <v>759</v>
      </c>
      <c r="C30" s="382">
        <v>19.88</v>
      </c>
      <c r="E30" s="807" t="s">
        <v>760</v>
      </c>
      <c r="F30" s="807"/>
      <c r="G30" s="807"/>
      <c r="H30" s="807"/>
      <c r="I30" s="807"/>
    </row>
    <row r="31" spans="1:10" x14ac:dyDescent="0.2">
      <c r="C31" s="383">
        <f>C8+C30</f>
        <v>19.88</v>
      </c>
      <c r="D31" s="367"/>
      <c r="E31" s="384" t="s">
        <v>761</v>
      </c>
      <c r="F31" s="384"/>
      <c r="G31" s="384"/>
      <c r="H31" s="384"/>
      <c r="I31" s="384"/>
      <c r="J31" s="384"/>
    </row>
    <row r="32" spans="1:10" x14ac:dyDescent="0.2">
      <c r="B32" s="385" t="s">
        <v>762</v>
      </c>
    </row>
  </sheetData>
  <mergeCells count="6">
    <mergeCell ref="E30:I30"/>
    <mergeCell ref="A1:I1"/>
    <mergeCell ref="A2:G2"/>
    <mergeCell ref="E10:H11"/>
    <mergeCell ref="E20:G20"/>
    <mergeCell ref="E23:I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/>
  <dimension ref="A1:J46"/>
  <sheetViews>
    <sheetView workbookViewId="0">
      <selection activeCell="D24" sqref="D24"/>
    </sheetView>
  </sheetViews>
  <sheetFormatPr baseColWidth="10" defaultRowHeight="15" x14ac:dyDescent="0.2"/>
  <sheetData>
    <row r="1" spans="1:10" x14ac:dyDescent="0.2">
      <c r="A1" s="812" t="s">
        <v>763</v>
      </c>
      <c r="B1" s="812"/>
      <c r="C1" s="812"/>
      <c r="D1" s="812"/>
      <c r="E1" s="812"/>
      <c r="F1" s="812"/>
      <c r="G1" s="812"/>
      <c r="H1" s="812"/>
      <c r="I1" s="812"/>
      <c r="J1" s="812"/>
    </row>
    <row r="2" spans="1:10" x14ac:dyDescent="0.2">
      <c r="A2" s="812"/>
      <c r="B2" s="812"/>
      <c r="C2" s="812"/>
      <c r="D2" s="812"/>
      <c r="E2" s="812"/>
      <c r="F2" s="812"/>
      <c r="G2" s="812"/>
      <c r="H2" s="812"/>
      <c r="I2" s="812"/>
      <c r="J2" s="812"/>
    </row>
    <row r="3" spans="1:10" x14ac:dyDescent="0.2">
      <c r="B3" s="386"/>
      <c r="C3" s="698" t="s">
        <v>764</v>
      </c>
      <c r="D3" s="698"/>
      <c r="E3" s="698"/>
      <c r="F3" s="698"/>
      <c r="G3" s="698"/>
      <c r="H3" s="698"/>
    </row>
    <row r="4" spans="1:10" x14ac:dyDescent="0.2">
      <c r="B4" s="386"/>
      <c r="C4" s="813" t="s">
        <v>84</v>
      </c>
      <c r="D4" s="813"/>
      <c r="E4" s="813"/>
      <c r="F4" s="814" t="s">
        <v>264</v>
      </c>
      <c r="G4" s="814"/>
      <c r="H4" s="814"/>
    </row>
    <row r="5" spans="1:10" ht="48" x14ac:dyDescent="0.2">
      <c r="B5" s="387" t="s">
        <v>765</v>
      </c>
      <c r="C5" s="388" t="s">
        <v>766</v>
      </c>
      <c r="D5" s="389" t="s">
        <v>767</v>
      </c>
      <c r="E5" s="390" t="s">
        <v>768</v>
      </c>
      <c r="F5" s="388" t="s">
        <v>766</v>
      </c>
      <c r="G5" s="389" t="s">
        <v>767</v>
      </c>
      <c r="H5" s="390" t="s">
        <v>768</v>
      </c>
    </row>
    <row r="6" spans="1:10" x14ac:dyDescent="0.2">
      <c r="B6" s="391">
        <v>-4</v>
      </c>
      <c r="C6" s="392">
        <v>45.29</v>
      </c>
      <c r="D6" s="382">
        <v>40.090000000000003</v>
      </c>
      <c r="E6" s="393">
        <v>34.729999999999997</v>
      </c>
      <c r="F6" s="392">
        <v>42.61</v>
      </c>
      <c r="G6" s="382">
        <v>38.81</v>
      </c>
      <c r="H6" s="393">
        <v>34.35</v>
      </c>
    </row>
    <row r="7" spans="1:10" x14ac:dyDescent="0.2">
      <c r="B7" s="394">
        <v>-3.8</v>
      </c>
      <c r="C7" s="392">
        <v>44.21</v>
      </c>
      <c r="D7" s="382">
        <v>39.08</v>
      </c>
      <c r="E7" s="393">
        <v>33.83</v>
      </c>
      <c r="F7" s="392">
        <v>41.49</v>
      </c>
      <c r="G7" s="382">
        <v>37.67</v>
      </c>
      <c r="H7" s="393">
        <v>33.270000000000003</v>
      </c>
    </row>
    <row r="8" spans="1:10" x14ac:dyDescent="0.2">
      <c r="B8" s="394">
        <v>-3.6</v>
      </c>
      <c r="C8" s="392">
        <v>43.11</v>
      </c>
      <c r="D8" s="382">
        <v>38.07</v>
      </c>
      <c r="E8" s="393">
        <v>32.94</v>
      </c>
      <c r="F8" s="392">
        <v>40.39</v>
      </c>
      <c r="G8" s="382">
        <v>36.549999999999997</v>
      </c>
      <c r="H8" s="395">
        <v>32.200000000000003</v>
      </c>
    </row>
    <row r="9" spans="1:10" x14ac:dyDescent="0.2">
      <c r="B9" s="394">
        <v>-3.4</v>
      </c>
      <c r="C9" s="392">
        <v>41.99</v>
      </c>
      <c r="D9" s="382">
        <v>37.06</v>
      </c>
      <c r="E9" s="393">
        <v>32.049999999999997</v>
      </c>
      <c r="F9" s="396">
        <v>39.299999999999997</v>
      </c>
      <c r="G9" s="382">
        <v>35.44</v>
      </c>
      <c r="H9" s="393">
        <v>31.14</v>
      </c>
    </row>
    <row r="10" spans="1:10" x14ac:dyDescent="0.2">
      <c r="B10" s="394">
        <v>-3.2</v>
      </c>
      <c r="C10" s="392">
        <v>40.85</v>
      </c>
      <c r="D10" s="382">
        <v>36.049999999999997</v>
      </c>
      <c r="E10" s="393">
        <v>31.16</v>
      </c>
      <c r="F10" s="392">
        <v>38.21</v>
      </c>
      <c r="G10" s="382">
        <v>34.340000000000003</v>
      </c>
      <c r="H10" s="393">
        <v>30.09</v>
      </c>
    </row>
    <row r="11" spans="1:10" x14ac:dyDescent="0.2">
      <c r="B11" s="391">
        <v>-3</v>
      </c>
      <c r="C11" s="392">
        <v>39.69</v>
      </c>
      <c r="D11" s="382">
        <v>35.04</v>
      </c>
      <c r="E11" s="393">
        <v>30.27</v>
      </c>
      <c r="F11" s="392">
        <v>37.130000000000003</v>
      </c>
      <c r="G11" s="382">
        <v>33.25</v>
      </c>
      <c r="H11" s="393">
        <v>29.04</v>
      </c>
    </row>
    <row r="12" spans="1:10" x14ac:dyDescent="0.2">
      <c r="B12" s="394">
        <v>-2.8</v>
      </c>
      <c r="C12" s="392">
        <v>38.520000000000003</v>
      </c>
      <c r="D12" s="382">
        <v>34.04</v>
      </c>
      <c r="E12" s="393">
        <v>29.38</v>
      </c>
      <c r="F12" s="392">
        <v>36.04</v>
      </c>
      <c r="G12" s="382">
        <v>32.159999999999997</v>
      </c>
      <c r="H12" s="393">
        <v>27.99</v>
      </c>
    </row>
    <row r="13" spans="1:10" x14ac:dyDescent="0.2">
      <c r="B13" s="394">
        <v>-2.6</v>
      </c>
      <c r="C13" s="392">
        <v>37.33</v>
      </c>
      <c r="D13" s="382">
        <v>33.049999999999997</v>
      </c>
      <c r="E13" s="393">
        <v>28.49</v>
      </c>
      <c r="F13" s="392">
        <v>34.94</v>
      </c>
      <c r="G13" s="382">
        <v>31.04</v>
      </c>
      <c r="H13" s="393">
        <v>26.93</v>
      </c>
    </row>
    <row r="14" spans="1:10" x14ac:dyDescent="0.2">
      <c r="B14" s="394">
        <v>-2.4</v>
      </c>
      <c r="C14" s="392">
        <v>36.15</v>
      </c>
      <c r="D14" s="382">
        <v>32.06</v>
      </c>
      <c r="E14" s="393">
        <v>27.6</v>
      </c>
      <c r="F14" s="392">
        <v>33.82</v>
      </c>
      <c r="G14" s="382">
        <v>29.91</v>
      </c>
      <c r="H14" s="393">
        <v>25.87</v>
      </c>
    </row>
    <row r="15" spans="1:10" x14ac:dyDescent="0.2">
      <c r="B15" s="394">
        <v>-2.2000000000000002</v>
      </c>
      <c r="C15" s="392">
        <v>34.97</v>
      </c>
      <c r="D15" s="382">
        <v>31.07</v>
      </c>
      <c r="E15" s="395">
        <v>26.7</v>
      </c>
      <c r="F15" s="392">
        <v>32.68</v>
      </c>
      <c r="G15" s="382">
        <v>28.76</v>
      </c>
      <c r="H15" s="393">
        <v>24.79</v>
      </c>
    </row>
    <row r="16" spans="1:10" x14ac:dyDescent="0.2">
      <c r="B16" s="391">
        <v>-2</v>
      </c>
      <c r="C16" s="396">
        <v>33.799999999999997</v>
      </c>
      <c r="D16" s="382">
        <v>30.06</v>
      </c>
      <c r="E16" s="393">
        <v>25.77</v>
      </c>
      <c r="F16" s="392">
        <v>31.53</v>
      </c>
      <c r="G16" s="382">
        <v>27.58</v>
      </c>
      <c r="H16" s="393">
        <v>23.71</v>
      </c>
    </row>
    <row r="17" spans="2:8" x14ac:dyDescent="0.2">
      <c r="B17" s="394">
        <v>-1.8</v>
      </c>
      <c r="C17" s="392">
        <v>32.619999999999997</v>
      </c>
      <c r="D17" s="382">
        <v>29.03</v>
      </c>
      <c r="E17" s="393">
        <v>24.79</v>
      </c>
      <c r="F17" s="392">
        <v>30.44</v>
      </c>
      <c r="G17" s="382">
        <v>26.39</v>
      </c>
      <c r="H17" s="393">
        <v>22.63</v>
      </c>
    </row>
    <row r="18" spans="2:8" x14ac:dyDescent="0.2">
      <c r="B18" s="394">
        <v>-1.6</v>
      </c>
      <c r="C18" s="392">
        <v>31.44</v>
      </c>
      <c r="D18" s="382">
        <v>27.95</v>
      </c>
      <c r="E18" s="393">
        <v>23.74</v>
      </c>
      <c r="F18" s="392">
        <v>29.36</v>
      </c>
      <c r="G18" s="382">
        <v>25.21</v>
      </c>
      <c r="H18" s="393">
        <v>21.55</v>
      </c>
    </row>
    <row r="19" spans="2:8" x14ac:dyDescent="0.2">
      <c r="B19" s="394">
        <v>-1.4</v>
      </c>
      <c r="C19" s="392">
        <v>30.23</v>
      </c>
      <c r="D19" s="382">
        <v>26.83</v>
      </c>
      <c r="E19" s="393">
        <v>22.63</v>
      </c>
      <c r="F19" s="392">
        <v>28.24</v>
      </c>
      <c r="G19" s="382">
        <v>24.03</v>
      </c>
      <c r="H19" s="393">
        <v>20.47</v>
      </c>
    </row>
    <row r="20" spans="2:8" x14ac:dyDescent="0.2">
      <c r="B20" s="394">
        <v>-1.2</v>
      </c>
      <c r="C20" s="392">
        <v>28.98</v>
      </c>
      <c r="D20" s="382">
        <v>25.63</v>
      </c>
      <c r="E20" s="393">
        <v>21.45</v>
      </c>
      <c r="F20" s="392">
        <v>27.09</v>
      </c>
      <c r="G20" s="382">
        <v>22.85</v>
      </c>
      <c r="H20" s="393">
        <v>19.37</v>
      </c>
    </row>
    <row r="21" spans="2:8" x14ac:dyDescent="0.2">
      <c r="B21" s="391">
        <v>-1</v>
      </c>
      <c r="C21" s="392">
        <v>27.66</v>
      </c>
      <c r="D21" s="382">
        <v>24.36</v>
      </c>
      <c r="E21" s="393">
        <v>20.22</v>
      </c>
      <c r="F21" s="392">
        <v>25.87</v>
      </c>
      <c r="G21" s="382">
        <v>21.66</v>
      </c>
      <c r="H21" s="393">
        <v>18.25</v>
      </c>
    </row>
    <row r="22" spans="2:8" x14ac:dyDescent="0.2">
      <c r="B22" s="394">
        <v>-0.8</v>
      </c>
      <c r="C22" s="392">
        <v>26.24</v>
      </c>
      <c r="D22" s="382">
        <v>22.99</v>
      </c>
      <c r="E22" s="393">
        <v>18.96</v>
      </c>
      <c r="F22" s="392">
        <v>24.54</v>
      </c>
      <c r="G22" s="382">
        <v>20.440000000000001</v>
      </c>
      <c r="H22" s="393">
        <v>17.07</v>
      </c>
    </row>
    <row r="23" spans="2:8" x14ac:dyDescent="0.2">
      <c r="B23" s="394">
        <v>-0.6</v>
      </c>
      <c r="C23" s="392">
        <v>24.68</v>
      </c>
      <c r="D23" s="382">
        <v>21.51</v>
      </c>
      <c r="E23" s="393">
        <v>17.68</v>
      </c>
      <c r="F23" s="392">
        <v>23.09</v>
      </c>
      <c r="G23" s="382">
        <v>19.16</v>
      </c>
      <c r="H23" s="393">
        <v>15.81</v>
      </c>
    </row>
    <row r="24" spans="2:8" x14ac:dyDescent="0.2">
      <c r="B24" s="394">
        <v>-0.4</v>
      </c>
      <c r="C24" s="392">
        <v>22.96</v>
      </c>
      <c r="D24" s="382">
        <v>19.88</v>
      </c>
      <c r="E24" s="393">
        <v>16.309999999999999</v>
      </c>
      <c r="F24" s="396">
        <v>21.5</v>
      </c>
      <c r="G24" s="397">
        <v>17.8</v>
      </c>
      <c r="H24" s="393">
        <v>14.44</v>
      </c>
    </row>
    <row r="25" spans="2:8" x14ac:dyDescent="0.2">
      <c r="B25" s="394">
        <v>-0.2</v>
      </c>
      <c r="C25" s="392">
        <v>21.07</v>
      </c>
      <c r="D25" s="382">
        <v>18.09</v>
      </c>
      <c r="E25" s="393">
        <v>14.76</v>
      </c>
      <c r="F25" s="392">
        <v>19.77</v>
      </c>
      <c r="G25" s="382">
        <v>16.329999999999998</v>
      </c>
      <c r="H25" s="393">
        <v>12.94</v>
      </c>
    </row>
    <row r="26" spans="2:8" x14ac:dyDescent="0.2">
      <c r="B26" s="391">
        <v>0</v>
      </c>
      <c r="C26" s="392">
        <v>19.04</v>
      </c>
      <c r="D26" s="382">
        <v>16.16</v>
      </c>
      <c r="E26" s="393">
        <v>13.05</v>
      </c>
      <c r="F26" s="392">
        <v>17.940000000000001</v>
      </c>
      <c r="G26" s="382">
        <v>14.75</v>
      </c>
      <c r="H26" s="393">
        <v>11.36</v>
      </c>
    </row>
    <row r="27" spans="2:8" x14ac:dyDescent="0.2">
      <c r="B27" s="394">
        <v>0.2</v>
      </c>
      <c r="C27" s="392">
        <v>16.96</v>
      </c>
      <c r="D27" s="382">
        <v>14.21</v>
      </c>
      <c r="E27" s="393">
        <v>11.32</v>
      </c>
      <c r="F27" s="392">
        <v>16.09</v>
      </c>
      <c r="G27" s="382">
        <v>13.13</v>
      </c>
      <c r="H27" s="393">
        <v>9.81</v>
      </c>
    </row>
    <row r="28" spans="2:8" x14ac:dyDescent="0.2">
      <c r="B28" s="394">
        <v>0.4</v>
      </c>
      <c r="C28" s="392">
        <v>14.92</v>
      </c>
      <c r="D28" s="382">
        <v>12.35</v>
      </c>
      <c r="E28" s="393">
        <v>9.7100000000000009</v>
      </c>
      <c r="F28" s="392">
        <v>14.3</v>
      </c>
      <c r="G28" s="382">
        <v>11.56</v>
      </c>
      <c r="H28" s="393">
        <v>8.42</v>
      </c>
    </row>
    <row r="29" spans="2:8" x14ac:dyDescent="0.2">
      <c r="B29" s="394">
        <v>0.6</v>
      </c>
      <c r="C29" s="392">
        <v>13.01</v>
      </c>
      <c r="D29" s="382">
        <v>10.65</v>
      </c>
      <c r="E29" s="393">
        <v>8.27</v>
      </c>
      <c r="F29" s="392">
        <v>12.64</v>
      </c>
      <c r="G29" s="382">
        <v>10.11</v>
      </c>
      <c r="H29" s="395">
        <v>7.2</v>
      </c>
    </row>
    <row r="30" spans="2:8" x14ac:dyDescent="0.2">
      <c r="B30" s="394">
        <v>0.8</v>
      </c>
      <c r="C30" s="392">
        <v>11.26</v>
      </c>
      <c r="D30" s="382">
        <v>9.1199999999999992</v>
      </c>
      <c r="E30" s="393">
        <v>6.94</v>
      </c>
      <c r="F30" s="392">
        <v>11.11</v>
      </c>
      <c r="G30" s="382">
        <v>8.77</v>
      </c>
      <c r="H30" s="393">
        <v>6.12</v>
      </c>
    </row>
    <row r="31" spans="2:8" x14ac:dyDescent="0.2">
      <c r="B31" s="391">
        <v>1</v>
      </c>
      <c r="C31" s="396">
        <v>9.6999999999999993</v>
      </c>
      <c r="D31" s="382">
        <v>7.78</v>
      </c>
      <c r="E31" s="393">
        <v>5.7</v>
      </c>
      <c r="F31" s="392">
        <v>9.69</v>
      </c>
      <c r="G31" s="382">
        <v>7.52</v>
      </c>
      <c r="H31" s="393">
        <v>5.13</v>
      </c>
    </row>
    <row r="32" spans="2:8" x14ac:dyDescent="0.2">
      <c r="B32" s="394">
        <v>1.2</v>
      </c>
      <c r="C32" s="392">
        <v>8.33</v>
      </c>
      <c r="D32" s="382">
        <v>6.59</v>
      </c>
      <c r="E32" s="393">
        <v>4.54</v>
      </c>
      <c r="F32" s="392">
        <v>8.39</v>
      </c>
      <c r="G32" s="382">
        <v>6.37</v>
      </c>
      <c r="H32" s="393">
        <v>4.24</v>
      </c>
    </row>
    <row r="33" spans="2:8" x14ac:dyDescent="0.2">
      <c r="B33" s="394">
        <v>1.4</v>
      </c>
      <c r="C33" s="392">
        <v>7.11</v>
      </c>
      <c r="D33" s="382">
        <v>5.54</v>
      </c>
      <c r="E33" s="393">
        <v>3.51</v>
      </c>
      <c r="F33" s="392">
        <v>7.2</v>
      </c>
      <c r="G33" s="382">
        <v>5.33</v>
      </c>
      <c r="H33" s="393">
        <v>3.46</v>
      </c>
    </row>
    <row r="34" spans="2:8" x14ac:dyDescent="0.2">
      <c r="B34" s="394">
        <v>1.6</v>
      </c>
      <c r="C34" s="392">
        <v>6.04</v>
      </c>
      <c r="D34" s="382">
        <v>4.62</v>
      </c>
      <c r="E34" s="393">
        <v>2.64</v>
      </c>
      <c r="F34" s="392">
        <v>6.14</v>
      </c>
      <c r="G34" s="382">
        <v>4.42</v>
      </c>
      <c r="H34" s="395">
        <v>2.8</v>
      </c>
    </row>
    <row r="35" spans="2:8" x14ac:dyDescent="0.2">
      <c r="B35" s="394">
        <v>1.8</v>
      </c>
      <c r="C35" s="396">
        <v>5.0999999999999996</v>
      </c>
      <c r="D35" s="382">
        <v>3.8</v>
      </c>
      <c r="E35" s="393">
        <v>1.92</v>
      </c>
      <c r="F35" s="392">
        <v>5.19</v>
      </c>
      <c r="G35" s="382">
        <v>3.64</v>
      </c>
      <c r="H35" s="393">
        <v>2.25</v>
      </c>
    </row>
    <row r="36" spans="2:8" x14ac:dyDescent="0.2">
      <c r="B36" s="391">
        <v>2</v>
      </c>
      <c r="C36" s="392">
        <v>4.26</v>
      </c>
      <c r="D36" s="382">
        <v>3.09</v>
      </c>
      <c r="E36" s="393">
        <v>1.35</v>
      </c>
      <c r="F36" s="392">
        <v>4.3600000000000003</v>
      </c>
      <c r="G36" s="382">
        <v>2.99</v>
      </c>
      <c r="H36" s="393">
        <v>1.82</v>
      </c>
    </row>
    <row r="37" spans="2:8" x14ac:dyDescent="0.2">
      <c r="B37" s="394">
        <v>2.2000000000000002</v>
      </c>
      <c r="C37" s="392">
        <v>3.52</v>
      </c>
      <c r="D37" s="382">
        <v>2.48</v>
      </c>
      <c r="E37" s="393">
        <v>0.91</v>
      </c>
      <c r="F37" s="392">
        <v>3.63</v>
      </c>
      <c r="G37" s="382">
        <v>2.4500000000000002</v>
      </c>
      <c r="H37" s="393">
        <v>1.46</v>
      </c>
    </row>
    <row r="38" spans="2:8" x14ac:dyDescent="0.2">
      <c r="B38" s="394">
        <v>2.4</v>
      </c>
      <c r="C38" s="392">
        <v>2.86</v>
      </c>
      <c r="D38" s="382">
        <v>1.96</v>
      </c>
      <c r="E38" s="393">
        <v>0.57999999999999996</v>
      </c>
      <c r="F38" s="392">
        <v>2.99</v>
      </c>
      <c r="G38" s="382">
        <v>1.99</v>
      </c>
      <c r="H38" s="393">
        <v>1.18</v>
      </c>
    </row>
    <row r="39" spans="2:8" x14ac:dyDescent="0.2">
      <c r="B39" s="394">
        <v>2.6</v>
      </c>
      <c r="C39" s="392">
        <v>2.29</v>
      </c>
      <c r="D39" s="382">
        <v>1.52</v>
      </c>
      <c r="E39" s="393">
        <v>0.32</v>
      </c>
      <c r="F39" s="392">
        <v>2.42</v>
      </c>
      <c r="G39" s="382">
        <v>1.6</v>
      </c>
      <c r="H39" s="393">
        <v>0.94</v>
      </c>
    </row>
    <row r="40" spans="2:8" x14ac:dyDescent="0.2">
      <c r="B40" s="394">
        <v>2.8</v>
      </c>
      <c r="C40" s="392">
        <v>1.78</v>
      </c>
      <c r="D40" s="382">
        <v>1.1599999999999999</v>
      </c>
      <c r="E40" s="393">
        <v>0.13</v>
      </c>
      <c r="F40" s="392">
        <v>1.92</v>
      </c>
      <c r="G40" s="382">
        <v>1.26</v>
      </c>
      <c r="H40" s="393">
        <v>0.74</v>
      </c>
    </row>
    <row r="41" spans="2:8" x14ac:dyDescent="0.2">
      <c r="B41" s="391">
        <v>3</v>
      </c>
      <c r="C41" s="392">
        <v>1.34</v>
      </c>
      <c r="D41" s="382">
        <v>0.87</v>
      </c>
      <c r="E41" s="395">
        <v>0</v>
      </c>
      <c r="F41" s="392">
        <v>1.47</v>
      </c>
      <c r="G41" s="382">
        <v>0.96</v>
      </c>
      <c r="H41" s="393">
        <v>0.56999999999999995</v>
      </c>
    </row>
    <row r="42" spans="2:8" x14ac:dyDescent="0.2">
      <c r="B42" s="394">
        <v>3.2</v>
      </c>
      <c r="C42" s="392">
        <v>0.96</v>
      </c>
      <c r="D42" s="382">
        <v>0.63</v>
      </c>
      <c r="E42" s="395">
        <v>0</v>
      </c>
      <c r="F42" s="392">
        <v>1.07</v>
      </c>
      <c r="G42" s="382">
        <v>0.69</v>
      </c>
      <c r="H42" s="393">
        <v>0.41</v>
      </c>
    </row>
    <row r="43" spans="2:8" x14ac:dyDescent="0.2">
      <c r="B43" s="394">
        <v>3.4</v>
      </c>
      <c r="C43" s="392">
        <v>0.64</v>
      </c>
      <c r="D43" s="382">
        <v>0.43</v>
      </c>
      <c r="E43" s="395">
        <v>0</v>
      </c>
      <c r="F43" s="392">
        <v>0.72</v>
      </c>
      <c r="G43" s="382">
        <v>0.46</v>
      </c>
      <c r="H43" s="393">
        <v>0.28000000000000003</v>
      </c>
    </row>
    <row r="44" spans="2:8" x14ac:dyDescent="0.2">
      <c r="B44" s="394">
        <v>3.6</v>
      </c>
      <c r="C44" s="392">
        <v>0.37</v>
      </c>
      <c r="D44" s="382">
        <v>0.27</v>
      </c>
      <c r="E44" s="395">
        <v>0</v>
      </c>
      <c r="F44" s="392">
        <v>0.43</v>
      </c>
      <c r="G44" s="382">
        <v>0.26</v>
      </c>
      <c r="H44" s="393">
        <v>0.17</v>
      </c>
    </row>
    <row r="45" spans="2:8" x14ac:dyDescent="0.2">
      <c r="B45" s="394">
        <v>3.8</v>
      </c>
      <c r="C45" s="392">
        <v>0.16</v>
      </c>
      <c r="D45" s="382">
        <v>0.12</v>
      </c>
      <c r="E45" s="395">
        <v>0</v>
      </c>
      <c r="F45" s="392">
        <v>0.19</v>
      </c>
      <c r="G45" s="382">
        <v>0.11</v>
      </c>
      <c r="H45" s="393">
        <v>0.08</v>
      </c>
    </row>
    <row r="46" spans="2:8" x14ac:dyDescent="0.2">
      <c r="B46" s="391">
        <v>4</v>
      </c>
      <c r="C46" s="396">
        <v>0</v>
      </c>
      <c r="D46" s="397">
        <v>0</v>
      </c>
      <c r="E46" s="395">
        <v>0</v>
      </c>
      <c r="F46" s="396">
        <v>0</v>
      </c>
      <c r="G46" s="397">
        <v>0</v>
      </c>
      <c r="H46" s="395">
        <v>0</v>
      </c>
    </row>
  </sheetData>
  <mergeCells count="4">
    <mergeCell ref="A1:J2"/>
    <mergeCell ref="C3:H3"/>
    <mergeCell ref="C4:E4"/>
    <mergeCell ref="F4:H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AX84"/>
  <sheetViews>
    <sheetView tabSelected="1" topLeftCell="D29" zoomScale="80" zoomScaleNormal="80" workbookViewId="0">
      <selection activeCell="K55" sqref="K55"/>
    </sheetView>
  </sheetViews>
  <sheetFormatPr baseColWidth="10" defaultRowHeight="15" x14ac:dyDescent="0.2"/>
  <cols>
    <col min="1" max="1" width="20.83203125" customWidth="1"/>
    <col min="5" max="5" width="17.83203125" customWidth="1"/>
    <col min="7" max="7" width="21.6640625" customWidth="1"/>
    <col min="8" max="8" width="17.33203125" customWidth="1"/>
    <col min="9" max="9" width="17.6640625" customWidth="1"/>
    <col min="10" max="10" width="18" customWidth="1"/>
    <col min="11" max="11" width="14.5" customWidth="1"/>
    <col min="12" max="12" width="17.33203125" customWidth="1"/>
    <col min="13" max="13" width="19.1640625" customWidth="1"/>
    <col min="20" max="20" width="19.1640625" customWidth="1"/>
  </cols>
  <sheetData>
    <row r="1" spans="1:28" ht="28" x14ac:dyDescent="0.2">
      <c r="A1" s="851" t="s">
        <v>256</v>
      </c>
      <c r="B1" s="852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67"/>
      <c r="T1" s="11"/>
      <c r="U1" s="11"/>
      <c r="V1" s="11"/>
      <c r="W1" s="11"/>
      <c r="X1" s="11"/>
    </row>
    <row r="2" spans="1:28" ht="16" thickBot="1" x14ac:dyDescent="0.25">
      <c r="A2" s="11"/>
      <c r="B2" s="11"/>
      <c r="C2" s="11"/>
      <c r="D2" s="11"/>
      <c r="E2" s="10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8" ht="18" thickTop="1" thickBot="1" x14ac:dyDescent="0.25">
      <c r="A3" s="249" t="s">
        <v>255</v>
      </c>
      <c r="B3" s="254">
        <f>'ANTROPOMETRÍA DEPORTISTAS'!B7</f>
        <v>90.05</v>
      </c>
      <c r="C3" s="188" t="s">
        <v>309</v>
      </c>
      <c r="D3" s="136">
        <f>'ANTROPOMETRÍA DEPORTISTAS'!B6</f>
        <v>45994</v>
      </c>
      <c r="E3" s="172" t="s">
        <v>253</v>
      </c>
      <c r="F3" s="136"/>
      <c r="G3" s="172" t="s">
        <v>254</v>
      </c>
      <c r="H3" s="137">
        <f>'ANTROPOMETRÍA DEPORTISTAS'!B7</f>
        <v>90.05</v>
      </c>
      <c r="I3" s="173" t="s">
        <v>252</v>
      </c>
      <c r="J3" s="222">
        <f>B3</f>
        <v>90.05</v>
      </c>
      <c r="K3" s="114"/>
      <c r="L3" s="114"/>
      <c r="M3" s="114"/>
      <c r="N3" s="114"/>
      <c r="O3" s="399" t="s">
        <v>772</v>
      </c>
      <c r="P3" s="400" t="s">
        <v>772</v>
      </c>
      <c r="Q3" s="114"/>
      <c r="R3" s="114"/>
      <c r="S3" s="11"/>
      <c r="T3" s="11"/>
      <c r="U3" s="11"/>
      <c r="V3" s="11"/>
      <c r="W3" s="11"/>
      <c r="X3" s="11"/>
    </row>
    <row r="4" spans="1:28" ht="18" thickTop="1" thickBot="1" x14ac:dyDescent="0.25">
      <c r="A4" s="190" t="s">
        <v>261</v>
      </c>
      <c r="B4" s="255">
        <f>'ANTROPOMETRÍA DEPORTISTAS'!B9</f>
        <v>186</v>
      </c>
      <c r="C4" s="138"/>
      <c r="D4" s="139"/>
      <c r="E4" s="140"/>
      <c r="F4" s="139"/>
      <c r="G4" s="140"/>
      <c r="H4" s="139"/>
      <c r="I4" s="223" t="s">
        <v>353</v>
      </c>
      <c r="J4" s="224">
        <f>'ANTROPOMETRÍA DEPORTISTAS'!C58</f>
        <v>0</v>
      </c>
      <c r="K4" s="853" t="s">
        <v>354</v>
      </c>
      <c r="L4" s="853"/>
      <c r="M4" s="853"/>
      <c r="N4" s="114"/>
      <c r="O4" s="114"/>
      <c r="P4" s="114"/>
      <c r="Q4" s="114"/>
      <c r="R4" s="114"/>
      <c r="S4" s="11"/>
      <c r="T4" s="11"/>
      <c r="U4" s="11"/>
      <c r="V4" s="11"/>
      <c r="W4" s="11"/>
      <c r="X4" s="11"/>
    </row>
    <row r="5" spans="1:28" ht="16" thickBot="1" x14ac:dyDescent="0.25">
      <c r="A5" s="138"/>
      <c r="B5" s="193"/>
      <c r="C5" s="138"/>
      <c r="D5" s="139"/>
      <c r="E5" s="140"/>
      <c r="F5" s="139"/>
      <c r="G5" s="140"/>
      <c r="H5" s="139"/>
      <c r="I5" s="114"/>
      <c r="J5" s="114"/>
      <c r="K5" s="225" t="s">
        <v>355</v>
      </c>
      <c r="L5" s="226" t="s">
        <v>356</v>
      </c>
      <c r="M5" s="227" t="s">
        <v>357</v>
      </c>
      <c r="O5" s="114"/>
      <c r="P5" s="114"/>
      <c r="Q5" s="114"/>
      <c r="R5" s="114"/>
      <c r="S5" s="11"/>
      <c r="T5" s="11"/>
      <c r="U5" s="11"/>
      <c r="V5" s="11"/>
      <c r="W5" s="11"/>
      <c r="X5" s="11"/>
    </row>
    <row r="6" spans="1:28" ht="17" thickBot="1" x14ac:dyDescent="0.25">
      <c r="A6" s="854" t="s">
        <v>257</v>
      </c>
      <c r="B6" s="855"/>
      <c r="C6" s="855"/>
      <c r="D6" s="856"/>
      <c r="E6" s="854" t="s">
        <v>257</v>
      </c>
      <c r="F6" s="855"/>
      <c r="G6" s="855"/>
      <c r="H6" s="856"/>
      <c r="I6" s="857" t="s">
        <v>263</v>
      </c>
      <c r="J6" s="858"/>
      <c r="K6" s="228" t="s">
        <v>358</v>
      </c>
      <c r="L6" s="229" t="s">
        <v>359</v>
      </c>
      <c r="M6" s="229" t="s">
        <v>360</v>
      </c>
      <c r="O6" s="114"/>
      <c r="P6" s="114"/>
      <c r="Q6" s="114"/>
      <c r="R6" s="114"/>
      <c r="S6" s="11"/>
      <c r="T6" s="11" t="s">
        <v>706</v>
      </c>
      <c r="U6" s="11"/>
      <c r="V6" s="11"/>
      <c r="W6" s="11"/>
      <c r="X6" s="11"/>
    </row>
    <row r="7" spans="1:28" ht="16" thickBot="1" x14ac:dyDescent="0.25">
      <c r="A7" s="859" t="s">
        <v>258</v>
      </c>
      <c r="B7" s="860"/>
      <c r="C7" s="633" t="s">
        <v>262</v>
      </c>
      <c r="D7" s="635"/>
      <c r="E7" s="859" t="s">
        <v>361</v>
      </c>
      <c r="F7" s="860"/>
      <c r="G7" s="633"/>
      <c r="H7" s="635"/>
      <c r="I7" s="818">
        <f>((D3-B3)/D3)*100</f>
        <v>99.80421359307735</v>
      </c>
      <c r="J7" s="818"/>
      <c r="K7" s="228" t="s">
        <v>362</v>
      </c>
      <c r="L7" s="229" t="s">
        <v>363</v>
      </c>
      <c r="M7" s="229" t="s">
        <v>364</v>
      </c>
      <c r="O7" s="114"/>
      <c r="P7" s="114"/>
      <c r="Q7" s="114"/>
      <c r="R7" s="114"/>
      <c r="S7" s="11"/>
      <c r="T7" s="11"/>
      <c r="U7" s="11"/>
      <c r="V7" s="11"/>
      <c r="W7" s="11"/>
      <c r="X7" s="11"/>
    </row>
    <row r="8" spans="1:28" ht="17" thickBot="1" x14ac:dyDescent="0.25">
      <c r="A8" s="141" t="s">
        <v>259</v>
      </c>
      <c r="B8" s="191">
        <f>22.1*(POWER(B4/100,2))</f>
        <v>76.457160000000016</v>
      </c>
      <c r="C8" s="142" t="s">
        <v>259</v>
      </c>
      <c r="D8" s="143">
        <f>23*(POWER(B3/100,2))</f>
        <v>18.65070575</v>
      </c>
      <c r="E8" s="141" t="s">
        <v>259</v>
      </c>
      <c r="F8" s="191">
        <f>(B4-152)*1.08+48.5</f>
        <v>85.22</v>
      </c>
      <c r="G8" s="142" t="s">
        <v>259</v>
      </c>
      <c r="H8" s="143">
        <f>23*(POWER(F4/100,2))</f>
        <v>0</v>
      </c>
      <c r="I8" s="816" t="s">
        <v>365</v>
      </c>
      <c r="J8" s="817"/>
      <c r="K8" s="228" t="s">
        <v>366</v>
      </c>
      <c r="L8" s="229" t="s">
        <v>367</v>
      </c>
      <c r="M8" s="229" t="s">
        <v>368</v>
      </c>
      <c r="O8" s="114"/>
      <c r="P8" s="114"/>
      <c r="Q8" s="114"/>
      <c r="R8" s="114"/>
      <c r="S8" s="11"/>
      <c r="T8" s="11"/>
      <c r="U8" s="11"/>
      <c r="V8" s="11"/>
      <c r="W8" s="11"/>
      <c r="X8" s="11"/>
    </row>
    <row r="9" spans="1:28" ht="16" thickBot="1" x14ac:dyDescent="0.25">
      <c r="A9" s="141" t="s">
        <v>260</v>
      </c>
      <c r="B9" s="191">
        <f>20.6*(POWER(B4/100,2))</f>
        <v>71.26776000000001</v>
      </c>
      <c r="C9" s="141" t="s">
        <v>260</v>
      </c>
      <c r="D9" s="144">
        <f>21.5*(POWER(B3/100,2))</f>
        <v>17.434355374999999</v>
      </c>
      <c r="E9" s="141" t="s">
        <v>260</v>
      </c>
      <c r="F9" s="191">
        <f>(B4-152)*0.88+45.5</f>
        <v>75.42</v>
      </c>
      <c r="G9" s="141" t="s">
        <v>260</v>
      </c>
      <c r="H9" s="144">
        <f>21.5*(POWER(F4/100,2))</f>
        <v>0</v>
      </c>
      <c r="I9" s="818">
        <f>(B3-F8)*0.25+F8</f>
        <v>86.427499999999995</v>
      </c>
      <c r="J9" s="818"/>
      <c r="K9" s="228" t="s">
        <v>369</v>
      </c>
      <c r="L9" s="229" t="s">
        <v>370</v>
      </c>
      <c r="M9" s="229" t="s">
        <v>371</v>
      </c>
      <c r="O9" s="114"/>
      <c r="P9" s="114"/>
      <c r="Q9" s="114"/>
      <c r="R9" s="114"/>
      <c r="S9" s="11"/>
      <c r="T9" s="11"/>
      <c r="U9" s="11"/>
      <c r="V9" s="11"/>
      <c r="W9" s="11"/>
      <c r="X9" s="11"/>
    </row>
    <row r="10" spans="1:28" x14ac:dyDescent="0.2">
      <c r="A10" s="138"/>
      <c r="B10" s="193"/>
      <c r="C10" s="138"/>
      <c r="D10" s="139"/>
      <c r="E10" s="140"/>
      <c r="H10" s="139"/>
      <c r="K10" s="114"/>
      <c r="O10" s="114"/>
      <c r="P10" s="114"/>
      <c r="Q10" s="114"/>
      <c r="R10" s="114"/>
      <c r="S10" s="11"/>
      <c r="T10" s="11"/>
      <c r="U10" s="11"/>
      <c r="V10" s="11"/>
      <c r="W10" s="11"/>
      <c r="X10" s="11"/>
    </row>
    <row r="11" spans="1:28" ht="16" thickBot="1" x14ac:dyDescent="0.25">
      <c r="A11" s="114"/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"/>
      <c r="T11" s="11"/>
      <c r="U11" s="11"/>
      <c r="V11" s="11"/>
      <c r="W11" s="11"/>
      <c r="X11" s="11"/>
    </row>
    <row r="12" spans="1:28" ht="17" thickTop="1" thickBot="1" x14ac:dyDescent="0.25">
      <c r="A12" s="819" t="s">
        <v>80</v>
      </c>
      <c r="B12" s="819"/>
      <c r="C12" s="819"/>
      <c r="D12" s="145"/>
      <c r="E12" s="819" t="s">
        <v>303</v>
      </c>
      <c r="F12" s="819"/>
      <c r="G12" s="819"/>
      <c r="H12" s="819"/>
      <c r="I12" s="114"/>
      <c r="J12" s="820" t="s">
        <v>90</v>
      </c>
      <c r="K12" s="821"/>
      <c r="L12" s="338"/>
      <c r="M12" s="339"/>
      <c r="N12" s="822" t="s">
        <v>372</v>
      </c>
      <c r="O12" s="823"/>
      <c r="P12" s="824"/>
      <c r="Q12" s="825"/>
      <c r="S12" s="948" t="s">
        <v>773</v>
      </c>
      <c r="T12" s="949"/>
      <c r="U12" s="950"/>
      <c r="V12" s="951"/>
      <c r="W12" s="66"/>
      <c r="X12" s="66" t="s">
        <v>373</v>
      </c>
      <c r="Y12" s="66"/>
      <c r="Z12" s="11"/>
      <c r="AA12" s="11"/>
      <c r="AB12" s="11"/>
    </row>
    <row r="13" spans="1:28" ht="17" thickTop="1" thickBot="1" x14ac:dyDescent="0.25">
      <c r="A13" s="826" t="s">
        <v>81</v>
      </c>
      <c r="B13" s="827"/>
      <c r="C13" s="230">
        <f>J3</f>
        <v>90.05</v>
      </c>
      <c r="D13" s="114"/>
      <c r="E13" s="188" t="s">
        <v>304</v>
      </c>
      <c r="F13" s="194"/>
      <c r="G13" s="147">
        <f>(J3*F13)</f>
        <v>0</v>
      </c>
      <c r="H13" s="148" t="s">
        <v>87</v>
      </c>
      <c r="I13" s="114"/>
      <c r="J13" s="828" t="s">
        <v>265</v>
      </c>
      <c r="K13" s="829"/>
      <c r="L13" s="160">
        <f>(66.47+(13.75*J3)+(5*B4)-(6.75*HISTORIA!C7))</f>
        <v>2074.8581849315069</v>
      </c>
      <c r="M13" s="339"/>
      <c r="N13" s="943" t="s">
        <v>265</v>
      </c>
      <c r="O13" s="944"/>
      <c r="P13" s="815">
        <f>88.362+(13.397*J3)+(4.799*B4)-(5.677*HISTORIA!C7)</f>
        <v>2052.978707534247</v>
      </c>
      <c r="Q13" s="815"/>
      <c r="S13" s="943" t="s">
        <v>265</v>
      </c>
      <c r="T13" s="944"/>
      <c r="U13" s="815">
        <f>(500+(22*O4))</f>
        <v>500</v>
      </c>
      <c r="V13" s="815"/>
      <c r="W13" s="11"/>
      <c r="X13" s="11" t="s">
        <v>374</v>
      </c>
      <c r="Y13" s="11"/>
      <c r="Z13" s="11"/>
      <c r="AA13" s="11"/>
      <c r="AB13" s="11"/>
    </row>
    <row r="14" spans="1:28" ht="17" thickTop="1" thickBot="1" x14ac:dyDescent="0.25">
      <c r="A14" s="830" t="s">
        <v>265</v>
      </c>
      <c r="B14" s="831"/>
      <c r="C14" s="149">
        <f>(J3*24*1)</f>
        <v>2161.1999999999998</v>
      </c>
      <c r="D14" s="114"/>
      <c r="E14" s="188" t="s">
        <v>305</v>
      </c>
      <c r="F14" s="194"/>
      <c r="G14" s="150">
        <f>F14*J3</f>
        <v>0</v>
      </c>
      <c r="H14" s="191" t="s">
        <v>88</v>
      </c>
      <c r="I14" s="114"/>
      <c r="J14" s="832" t="s">
        <v>266</v>
      </c>
      <c r="K14" s="833"/>
      <c r="L14" s="160">
        <f>(655.1+(9.56*J3)+(1.85*B4)-(4.7*HISTORIA!C7))</f>
        <v>1748.8103287671233</v>
      </c>
      <c r="M14" s="339"/>
      <c r="N14" s="945" t="s">
        <v>266</v>
      </c>
      <c r="O14" s="946"/>
      <c r="P14" s="815">
        <f>447.593+(9.247*J3)+(3.098*B4)-(4.33*HISTORIA!C7)</f>
        <v>1754.0050486301368</v>
      </c>
      <c r="Q14" s="815"/>
      <c r="S14" s="945" t="s">
        <v>266</v>
      </c>
      <c r="T14" s="946"/>
      <c r="U14" s="815">
        <f>(500+(22*P4))</f>
        <v>500</v>
      </c>
      <c r="V14" s="815"/>
      <c r="W14" s="11"/>
      <c r="X14" s="66" t="s">
        <v>375</v>
      </c>
      <c r="Y14" s="66"/>
      <c r="Z14" s="11"/>
      <c r="AA14" s="11"/>
      <c r="AB14" s="11"/>
    </row>
    <row r="15" spans="1:28" ht="17" thickTop="1" thickBot="1" x14ac:dyDescent="0.25">
      <c r="A15" s="835" t="s">
        <v>266</v>
      </c>
      <c r="B15" s="836"/>
      <c r="C15" s="151">
        <f>(J3*24*0.98)</f>
        <v>2117.9759999999997</v>
      </c>
      <c r="D15" s="114"/>
      <c r="E15" s="188" t="s">
        <v>306</v>
      </c>
      <c r="F15" s="194"/>
      <c r="G15" s="150">
        <f>F15*J3</f>
        <v>0</v>
      </c>
      <c r="H15" s="191" t="s">
        <v>89</v>
      </c>
      <c r="I15" s="114"/>
      <c r="J15" s="837" t="s">
        <v>91</v>
      </c>
      <c r="K15" s="838"/>
      <c r="L15" s="191">
        <v>1.7250000000000001</v>
      </c>
      <c r="M15" s="339"/>
      <c r="N15" s="838" t="s">
        <v>91</v>
      </c>
      <c r="O15" s="942"/>
      <c r="P15" s="665">
        <f>L15</f>
        <v>1.7250000000000001</v>
      </c>
      <c r="Q15" s="665"/>
      <c r="S15" s="838" t="s">
        <v>91</v>
      </c>
      <c r="T15" s="942"/>
      <c r="U15" s="665">
        <f>Q15</f>
        <v>0</v>
      </c>
      <c r="V15" s="665"/>
      <c r="W15" s="11"/>
      <c r="X15" s="11" t="s">
        <v>376</v>
      </c>
      <c r="Y15" s="11"/>
      <c r="Z15" s="11"/>
      <c r="AA15" s="11"/>
      <c r="AB15" s="11"/>
    </row>
    <row r="16" spans="1:28" ht="17" thickTop="1" thickBot="1" x14ac:dyDescent="0.25">
      <c r="A16" s="839" t="s">
        <v>267</v>
      </c>
      <c r="B16" s="840"/>
      <c r="C16" s="152">
        <f>C14/10</f>
        <v>216.11999999999998</v>
      </c>
      <c r="D16" s="114"/>
      <c r="E16" s="114"/>
      <c r="F16" s="114"/>
      <c r="G16" s="114"/>
      <c r="H16" s="114"/>
      <c r="I16" s="114"/>
      <c r="J16" s="841" t="s">
        <v>274</v>
      </c>
      <c r="K16" s="842"/>
      <c r="L16" s="160">
        <v>1</v>
      </c>
      <c r="M16" s="339"/>
      <c r="N16" s="907" t="s">
        <v>269</v>
      </c>
      <c r="O16" s="941"/>
      <c r="P16" s="834">
        <f>P13*P15</f>
        <v>3541.3882704965763</v>
      </c>
      <c r="Q16" s="834"/>
      <c r="S16" s="907" t="s">
        <v>269</v>
      </c>
      <c r="T16" s="941"/>
      <c r="U16" s="834">
        <f>U13*U15</f>
        <v>0</v>
      </c>
      <c r="V16" s="834"/>
      <c r="W16" s="11"/>
      <c r="X16" s="11" t="s">
        <v>377</v>
      </c>
      <c r="Y16" s="11"/>
      <c r="Z16" s="11"/>
      <c r="AA16" s="11"/>
      <c r="AB16" s="11"/>
    </row>
    <row r="17" spans="1:50" ht="16" thickBot="1" x14ac:dyDescent="0.25">
      <c r="A17" s="868" t="s">
        <v>268</v>
      </c>
      <c r="B17" s="869"/>
      <c r="C17" s="152">
        <f>(C15)/10</f>
        <v>211.79759999999996</v>
      </c>
      <c r="D17" s="114"/>
      <c r="E17" s="870" t="s">
        <v>378</v>
      </c>
      <c r="F17" s="871"/>
      <c r="G17" s="871"/>
      <c r="H17" s="872"/>
      <c r="I17" s="231"/>
      <c r="J17" s="873" t="s">
        <v>269</v>
      </c>
      <c r="K17" s="874"/>
      <c r="L17" s="160">
        <f>L13*L15*L16</f>
        <v>3579.1303690068498</v>
      </c>
      <c r="M17" s="339"/>
      <c r="N17" s="868" t="s">
        <v>270</v>
      </c>
      <c r="O17" s="947"/>
      <c r="P17" s="834">
        <f>P14*P15</f>
        <v>3025.658708886986</v>
      </c>
      <c r="Q17" s="834"/>
      <c r="S17" s="868" t="s">
        <v>270</v>
      </c>
      <c r="T17" s="947"/>
      <c r="U17" s="834">
        <f>U14*U15</f>
        <v>0</v>
      </c>
      <c r="V17" s="834"/>
      <c r="W17" s="11"/>
      <c r="X17" s="66" t="s">
        <v>379</v>
      </c>
      <c r="Y17" s="66"/>
      <c r="Z17" s="11"/>
      <c r="AA17" s="11"/>
      <c r="AB17" s="11"/>
    </row>
    <row r="18" spans="1:50" ht="16" thickBot="1" x14ac:dyDescent="0.25">
      <c r="A18" s="843" t="s">
        <v>302</v>
      </c>
      <c r="B18" s="844"/>
      <c r="C18" s="152">
        <v>1.5</v>
      </c>
      <c r="D18" s="114"/>
      <c r="E18" s="192" t="s">
        <v>380</v>
      </c>
      <c r="F18" s="848" t="s">
        <v>381</v>
      </c>
      <c r="G18" s="849"/>
      <c r="H18" s="850"/>
      <c r="I18" s="114"/>
      <c r="J18" s="861" t="s">
        <v>270</v>
      </c>
      <c r="K18" s="862"/>
      <c r="L18" s="191">
        <f>L14*L15*L16</f>
        <v>3016.6978171232881</v>
      </c>
      <c r="M18" s="339"/>
      <c r="N18" s="145"/>
      <c r="O18" s="145"/>
      <c r="T18" s="11"/>
      <c r="U18" s="11"/>
      <c r="V18" s="11"/>
      <c r="W18" s="11"/>
      <c r="X18" s="11" t="s">
        <v>382</v>
      </c>
      <c r="Y18" s="11"/>
      <c r="Z18" s="11"/>
      <c r="AA18" s="11"/>
      <c r="AB18" s="11"/>
    </row>
    <row r="19" spans="1:50" ht="17" thickTop="1" thickBot="1" x14ac:dyDescent="0.25">
      <c r="A19" s="863" t="s">
        <v>269</v>
      </c>
      <c r="B19" s="864"/>
      <c r="C19" s="149">
        <f>(C14*C18)+C16</f>
        <v>3457.9199999999996</v>
      </c>
      <c r="D19" s="114"/>
      <c r="E19" s="189" t="s">
        <v>383</v>
      </c>
      <c r="F19" s="865" t="s">
        <v>384</v>
      </c>
      <c r="G19" s="866"/>
      <c r="H19" s="867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"/>
      <c r="T19" s="11"/>
      <c r="U19" s="11"/>
      <c r="V19" s="11"/>
      <c r="W19" s="11"/>
      <c r="X19" s="11" t="s">
        <v>385</v>
      </c>
      <c r="Y19" s="11"/>
      <c r="Z19" s="11"/>
      <c r="AA19" s="11"/>
      <c r="AB19" s="11"/>
    </row>
    <row r="20" spans="1:50" ht="17" thickTop="1" thickBot="1" x14ac:dyDescent="0.25">
      <c r="A20" s="868" t="s">
        <v>270</v>
      </c>
      <c r="B20" s="869"/>
      <c r="C20" s="149">
        <f>(C15*C18)+C17</f>
        <v>3388.7615999999994</v>
      </c>
      <c r="D20" s="114"/>
      <c r="E20" s="189" t="s">
        <v>386</v>
      </c>
      <c r="F20" s="865" t="s">
        <v>430</v>
      </c>
      <c r="G20" s="866"/>
      <c r="H20" s="867"/>
      <c r="I20" s="153"/>
      <c r="J20" s="881" t="s">
        <v>387</v>
      </c>
      <c r="K20" s="882"/>
      <c r="L20" s="883"/>
      <c r="M20" s="153"/>
      <c r="N20" s="884" t="s">
        <v>388</v>
      </c>
      <c r="O20" s="885"/>
      <c r="P20" s="885"/>
      <c r="Q20" s="886"/>
      <c r="S20" s="887" t="s">
        <v>389</v>
      </c>
      <c r="T20" s="888"/>
      <c r="U20" s="888"/>
      <c r="V20" s="889"/>
      <c r="W20" s="11"/>
      <c r="X20" s="11" t="s">
        <v>390</v>
      </c>
      <c r="Y20" s="11"/>
      <c r="Z20" s="11"/>
      <c r="AA20" s="11"/>
      <c r="AB20" s="11"/>
    </row>
    <row r="21" spans="1:50" ht="16" thickBot="1" x14ac:dyDescent="0.25">
      <c r="A21" s="138"/>
      <c r="B21" s="138"/>
      <c r="C21" s="114"/>
      <c r="D21" s="114"/>
      <c r="E21" s="890" t="s">
        <v>391</v>
      </c>
      <c r="F21" s="890"/>
      <c r="G21" s="890"/>
      <c r="H21" s="232">
        <f>(J3-20) *20 + 1000</f>
        <v>2401</v>
      </c>
      <c r="I21" s="114"/>
      <c r="J21" s="859" t="s">
        <v>392</v>
      </c>
      <c r="K21" s="891"/>
      <c r="L21" s="154">
        <v>1.2</v>
      </c>
      <c r="M21" s="114"/>
      <c r="N21" s="829" t="s">
        <v>265</v>
      </c>
      <c r="O21" s="892"/>
      <c r="P21" s="875">
        <f>((13.587*'ANTROPOMETRÍA DEPORTISTAS'!B58)+(9.613*'ANTROPOMETRÍA DEPORTISTAS'!B59)+(198*1)-(3.351*HISTORIA!C7)+674)</f>
        <v>1977.778734651469</v>
      </c>
      <c r="Q21" s="876"/>
      <c r="R21" s="11"/>
      <c r="S21" s="893" t="s">
        <v>265</v>
      </c>
      <c r="T21" s="894"/>
      <c r="U21" s="875">
        <f>(9.99*J3)+(6.25*B4)-(4.92*HISTORIA!C7)+5</f>
        <v>1950.6235547945207</v>
      </c>
      <c r="V21" s="876"/>
      <c r="W21" s="11"/>
      <c r="X21" s="11" t="s">
        <v>393</v>
      </c>
      <c r="Y21" s="11"/>
      <c r="Z21" s="11"/>
      <c r="AA21" s="11"/>
      <c r="AB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</row>
    <row r="22" spans="1:50" ht="17" thickTop="1" thickBot="1" x14ac:dyDescent="0.25">
      <c r="A22" s="611"/>
      <c r="B22" s="611"/>
      <c r="C22" s="611"/>
      <c r="D22" s="114"/>
      <c r="E22" s="877" t="s">
        <v>394</v>
      </c>
      <c r="F22" s="877"/>
      <c r="G22" s="877"/>
      <c r="H22" s="233">
        <f>HISTORIA!K41</f>
        <v>0</v>
      </c>
      <c r="I22" s="114"/>
      <c r="J22" s="878" t="s">
        <v>395</v>
      </c>
      <c r="K22" s="879"/>
      <c r="L22" s="234">
        <v>1375</v>
      </c>
      <c r="M22" s="114"/>
      <c r="N22" s="833" t="s">
        <v>266</v>
      </c>
      <c r="O22" s="880"/>
      <c r="P22" s="875">
        <f>((13.587*'ANTROPOMETRÍA DEPORTISTAS'!B58)+(9.613*'ANTROPOMETRÍA DEPORTISTAS'!B59)+(198*0)-(3.351*HISTORIA!C7)+674)</f>
        <v>1779.778734651469</v>
      </c>
      <c r="Q22" s="876"/>
      <c r="R22" s="235"/>
      <c r="S22" s="833" t="s">
        <v>266</v>
      </c>
      <c r="T22" s="880"/>
      <c r="U22" s="875">
        <f>(9.99*J3)+(6.25*B4)-(4.92*HISTORIA!C7)-161</f>
        <v>1784.6235547945207</v>
      </c>
      <c r="V22" s="876"/>
      <c r="W22" s="11"/>
      <c r="X22" s="66" t="s">
        <v>396</v>
      </c>
      <c r="Y22" s="66"/>
      <c r="Z22" s="11"/>
      <c r="AA22" s="11"/>
      <c r="AB22" s="11"/>
    </row>
    <row r="23" spans="1:50" ht="17" thickTop="1" thickBot="1" x14ac:dyDescent="0.25">
      <c r="A23" s="909" t="s">
        <v>93</v>
      </c>
      <c r="B23" s="909"/>
      <c r="C23" s="910"/>
      <c r="D23" s="114"/>
      <c r="E23" s="911" t="s">
        <v>397</v>
      </c>
      <c r="F23" s="912"/>
      <c r="G23" s="236">
        <f>SUM(H21:H22)</f>
        <v>2401</v>
      </c>
      <c r="H23" s="237">
        <f>G23*0.1</f>
        <v>240.10000000000002</v>
      </c>
      <c r="I23" s="114"/>
      <c r="J23" s="898" t="s">
        <v>398</v>
      </c>
      <c r="K23" s="899"/>
      <c r="L23" s="155">
        <v>1.55</v>
      </c>
      <c r="M23" s="114"/>
      <c r="N23" s="838" t="s">
        <v>91</v>
      </c>
      <c r="O23" s="913"/>
      <c r="P23" s="900">
        <f>L15</f>
        <v>1.7250000000000001</v>
      </c>
      <c r="Q23" s="901"/>
      <c r="S23" s="838" t="s">
        <v>91</v>
      </c>
      <c r="T23" s="913"/>
      <c r="U23" s="900">
        <v>1.375</v>
      </c>
      <c r="V23" s="901"/>
      <c r="W23" s="11"/>
      <c r="X23" s="11" t="s">
        <v>399</v>
      </c>
      <c r="Y23" s="11"/>
      <c r="Z23" s="11"/>
      <c r="AA23" s="11"/>
      <c r="AB23" s="11"/>
    </row>
    <row r="24" spans="1:50" ht="20" thickTop="1" thickBot="1" x14ac:dyDescent="0.25">
      <c r="A24" s="902" t="s">
        <v>85</v>
      </c>
      <c r="B24" s="903"/>
      <c r="C24" s="147">
        <v>1</v>
      </c>
      <c r="D24" s="114"/>
      <c r="E24" s="904" t="s">
        <v>400</v>
      </c>
      <c r="F24" s="904"/>
      <c r="G24" s="904"/>
      <c r="H24" s="238">
        <f>G23+H23</f>
        <v>2641.1</v>
      </c>
      <c r="I24" s="153"/>
      <c r="J24" s="905" t="s">
        <v>401</v>
      </c>
      <c r="K24" s="906"/>
      <c r="L24" s="155">
        <v>1.7250000000000001</v>
      </c>
      <c r="M24" s="114"/>
      <c r="N24" s="907" t="s">
        <v>269</v>
      </c>
      <c r="O24" s="908"/>
      <c r="P24" s="875">
        <f>P21*P23</f>
        <v>3411.6683172737844</v>
      </c>
      <c r="Q24" s="876"/>
      <c r="S24" s="907" t="s">
        <v>269</v>
      </c>
      <c r="T24" s="908"/>
      <c r="U24" s="875">
        <f>U21*U23</f>
        <v>2682.1073878424659</v>
      </c>
      <c r="V24" s="876"/>
      <c r="W24" s="11"/>
      <c r="X24" s="11" t="s">
        <v>402</v>
      </c>
      <c r="Y24" s="11"/>
      <c r="Z24" s="11"/>
      <c r="AA24" s="11"/>
      <c r="AB24" s="11"/>
    </row>
    <row r="25" spans="1:50" ht="17" thickTop="1" thickBot="1" x14ac:dyDescent="0.25">
      <c r="A25" s="666" t="s">
        <v>271</v>
      </c>
      <c r="B25" s="897"/>
      <c r="C25" s="150">
        <v>1.25</v>
      </c>
      <c r="D25" s="114"/>
      <c r="E25" s="114"/>
      <c r="F25" s="114"/>
      <c r="G25" s="153"/>
      <c r="H25" s="114"/>
      <c r="I25" s="114"/>
      <c r="J25" s="898" t="s">
        <v>403</v>
      </c>
      <c r="K25" s="899"/>
      <c r="L25" s="155">
        <v>1.9</v>
      </c>
      <c r="M25" s="114"/>
      <c r="N25" s="868" t="s">
        <v>270</v>
      </c>
      <c r="O25" s="869"/>
      <c r="P25" s="875">
        <f>P22*P23</f>
        <v>3070.1183172737842</v>
      </c>
      <c r="Q25" s="876"/>
      <c r="S25" s="868" t="s">
        <v>270</v>
      </c>
      <c r="T25" s="869"/>
      <c r="U25" s="875">
        <f>U22*U23</f>
        <v>2453.8573878424659</v>
      </c>
      <c r="V25" s="876"/>
      <c r="W25" s="11"/>
      <c r="X25" s="66" t="s">
        <v>404</v>
      </c>
      <c r="Y25" s="66"/>
      <c r="Z25" s="11"/>
      <c r="AA25" s="11"/>
      <c r="AB25" s="11"/>
    </row>
    <row r="26" spans="1:50" ht="17" thickTop="1" thickBot="1" x14ac:dyDescent="0.25">
      <c r="A26" s="666" t="s">
        <v>272</v>
      </c>
      <c r="B26" s="897"/>
      <c r="C26" s="150">
        <v>1.5</v>
      </c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V26" s="11"/>
      <c r="W26" s="11"/>
      <c r="X26" s="11" t="s">
        <v>405</v>
      </c>
      <c r="Y26" s="11"/>
      <c r="Z26" s="11"/>
      <c r="AA26" s="11"/>
      <c r="AB26" s="11"/>
    </row>
    <row r="27" spans="1:50" ht="17" thickTop="1" thickBot="1" x14ac:dyDescent="0.25">
      <c r="A27" s="656" t="s">
        <v>273</v>
      </c>
      <c r="B27" s="914"/>
      <c r="C27" s="156">
        <v>1.75</v>
      </c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"/>
      <c r="T27" s="11"/>
      <c r="U27" s="11"/>
      <c r="V27" s="11"/>
      <c r="W27" s="11"/>
      <c r="X27" s="11" t="s">
        <v>406</v>
      </c>
      <c r="Y27" s="11"/>
      <c r="Z27" s="11"/>
      <c r="AA27" s="11"/>
      <c r="AB27" s="11"/>
    </row>
    <row r="28" spans="1:50" ht="17" thickBot="1" x14ac:dyDescent="0.25">
      <c r="A28" s="633" t="s">
        <v>86</v>
      </c>
      <c r="B28" s="915"/>
      <c r="C28" s="191">
        <v>2</v>
      </c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"/>
      <c r="T28" s="916" t="s">
        <v>407</v>
      </c>
      <c r="U28" s="917"/>
      <c r="V28" s="239" t="s">
        <v>408</v>
      </c>
      <c r="W28" s="11"/>
      <c r="X28" s="11"/>
    </row>
    <row r="29" spans="1:50" ht="16" thickBot="1" x14ac:dyDescent="0.25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"/>
      <c r="T29" s="895">
        <v>0.1</v>
      </c>
      <c r="U29" s="896"/>
      <c r="V29" s="240">
        <f>0.1*P24</f>
        <v>341.16683172737845</v>
      </c>
      <c r="W29" s="11"/>
      <c r="X29" s="11"/>
    </row>
    <row r="30" spans="1:50" ht="18" thickTop="1" thickBot="1" x14ac:dyDescent="0.25">
      <c r="A30" s="11"/>
      <c r="B30" s="11"/>
      <c r="C30" s="11"/>
      <c r="D30" s="11"/>
      <c r="E30" s="11"/>
      <c r="F30" s="11"/>
      <c r="G30" s="918" t="s">
        <v>92</v>
      </c>
      <c r="H30" s="919"/>
      <c r="I30" s="920"/>
      <c r="J30" s="920"/>
      <c r="K30" s="920"/>
      <c r="L30" s="532"/>
      <c r="M30" s="241" t="s">
        <v>322</v>
      </c>
      <c r="N30" s="11"/>
      <c r="O30" s="11"/>
      <c r="P30" s="11"/>
      <c r="Q30" s="11"/>
      <c r="R30" s="11"/>
      <c r="S30" s="66"/>
      <c r="T30" s="895">
        <v>0.12</v>
      </c>
      <c r="U30" s="896"/>
      <c r="V30" s="240">
        <v>0.12</v>
      </c>
      <c r="W30" s="11"/>
      <c r="X30" s="11"/>
    </row>
    <row r="31" spans="1:50" ht="17" thickTop="1" thickBot="1" x14ac:dyDescent="0.25">
      <c r="A31" s="11"/>
      <c r="B31" s="11"/>
      <c r="C31" s="11"/>
      <c r="D31" s="11"/>
      <c r="E31" s="11"/>
      <c r="F31" s="11"/>
      <c r="G31" s="929"/>
      <c r="H31" s="929"/>
      <c r="I31" s="337" t="s">
        <v>94</v>
      </c>
      <c r="J31" s="922">
        <f>U24-100</f>
        <v>2582.1073878424659</v>
      </c>
      <c r="K31" s="923"/>
      <c r="L31" s="924"/>
      <c r="M31" s="242"/>
      <c r="N31" s="11"/>
      <c r="O31" s="11"/>
      <c r="P31" s="11"/>
      <c r="Q31" s="11"/>
      <c r="R31" s="11"/>
      <c r="S31" s="11"/>
      <c r="T31" s="895">
        <v>0.15</v>
      </c>
      <c r="U31" s="896"/>
      <c r="V31" s="240">
        <v>0.15</v>
      </c>
      <c r="W31" s="11"/>
    </row>
    <row r="32" spans="1:50" ht="17" thickTop="1" thickBot="1" x14ac:dyDescent="0.25">
      <c r="A32" s="11"/>
      <c r="B32" s="11"/>
      <c r="C32" s="11"/>
      <c r="D32" s="11"/>
      <c r="E32" s="11"/>
      <c r="F32" s="11"/>
      <c r="G32" s="927" t="s">
        <v>705</v>
      </c>
      <c r="H32" s="928"/>
      <c r="I32" s="196" t="s">
        <v>52</v>
      </c>
      <c r="J32" s="195" t="s">
        <v>96</v>
      </c>
      <c r="K32" s="195" t="s">
        <v>97</v>
      </c>
      <c r="L32" s="197" t="s">
        <v>98</v>
      </c>
      <c r="M32" s="243" t="s">
        <v>409</v>
      </c>
      <c r="N32" s="11"/>
      <c r="O32" s="11"/>
      <c r="P32" s="11"/>
      <c r="Q32" s="11"/>
      <c r="R32" s="11"/>
      <c r="S32" s="11"/>
      <c r="T32" s="895">
        <v>0.2</v>
      </c>
      <c r="U32" s="896"/>
      <c r="V32" s="240">
        <v>0.2</v>
      </c>
    </row>
    <row r="33" spans="1:24" ht="17" thickTop="1" thickBot="1" x14ac:dyDescent="0.25">
      <c r="A33" s="11"/>
      <c r="B33" s="11"/>
      <c r="C33" s="11"/>
      <c r="D33" s="11"/>
      <c r="E33" s="11"/>
      <c r="F33" s="11"/>
      <c r="G33" s="845" t="s">
        <v>307</v>
      </c>
      <c r="H33" s="845"/>
      <c r="I33" s="158">
        <v>29</v>
      </c>
      <c r="J33" s="157">
        <f>(I33/100)*J31</f>
        <v>748.81114247431503</v>
      </c>
      <c r="K33" s="244">
        <f>J33/4</f>
        <v>187.20278561857876</v>
      </c>
      <c r="L33" s="245">
        <f>(K33+M33)/J3</f>
        <v>2.078876020195211</v>
      </c>
      <c r="M33" s="246"/>
      <c r="N33" s="11"/>
      <c r="O33" s="11"/>
      <c r="P33" s="11"/>
      <c r="Q33" s="11"/>
      <c r="R33" s="11"/>
      <c r="S33" s="11"/>
      <c r="T33" s="895">
        <v>0.25</v>
      </c>
      <c r="U33" s="896"/>
      <c r="V33" s="240">
        <v>0.25</v>
      </c>
    </row>
    <row r="34" spans="1:24" ht="16" thickBot="1" x14ac:dyDescent="0.25">
      <c r="A34" s="11"/>
      <c r="B34" s="11"/>
      <c r="C34" s="11"/>
      <c r="D34" s="11"/>
      <c r="E34" s="11"/>
      <c r="F34" s="11"/>
      <c r="G34" s="845" t="s">
        <v>95</v>
      </c>
      <c r="H34" s="845"/>
      <c r="I34" s="150">
        <v>42</v>
      </c>
      <c r="J34" s="160">
        <f>(I34*J31)/100</f>
        <v>1084.4851028938358</v>
      </c>
      <c r="K34" s="161">
        <f>J34/9</f>
        <v>120.49834476598176</v>
      </c>
      <c r="L34" s="159">
        <f>K34/J3</f>
        <v>1.3381270934589868</v>
      </c>
      <c r="M34" s="246"/>
      <c r="N34" s="11"/>
      <c r="O34" s="11"/>
      <c r="P34" s="11"/>
      <c r="Q34" s="11"/>
      <c r="R34" s="11"/>
      <c r="S34" s="11"/>
      <c r="T34" s="895">
        <v>0.3</v>
      </c>
      <c r="U34" s="896"/>
      <c r="V34" s="240">
        <v>0.3</v>
      </c>
    </row>
    <row r="35" spans="1:24" ht="16" thickBot="1" x14ac:dyDescent="0.25">
      <c r="A35" s="11"/>
      <c r="B35" s="11"/>
      <c r="C35" s="11"/>
      <c r="D35" s="11"/>
      <c r="E35" s="11"/>
      <c r="F35" s="11"/>
      <c r="G35" s="845" t="s">
        <v>774</v>
      </c>
      <c r="H35" s="845"/>
      <c r="I35" s="428">
        <f>100-I33-I34</f>
        <v>29</v>
      </c>
      <c r="J35" s="160">
        <f>(I35*J31)/100</f>
        <v>748.81114247431515</v>
      </c>
      <c r="K35" s="162">
        <f>J35/4</f>
        <v>187.20278561857879</v>
      </c>
      <c r="L35" s="171">
        <f>K35/J3</f>
        <v>2.0788760201952114</v>
      </c>
      <c r="M35" s="114"/>
      <c r="N35" s="11"/>
      <c r="O35" s="11"/>
      <c r="P35" s="11"/>
      <c r="Q35" s="11"/>
      <c r="R35" s="11"/>
      <c r="S35" s="11"/>
    </row>
    <row r="36" spans="1:24" ht="16" thickBot="1" x14ac:dyDescent="0.25">
      <c r="A36" s="11"/>
      <c r="B36" s="11"/>
      <c r="C36" s="11"/>
      <c r="D36" s="11"/>
      <c r="E36" s="11"/>
      <c r="F36" s="11"/>
      <c r="G36" s="845" t="s">
        <v>101</v>
      </c>
      <c r="H36" s="845"/>
      <c r="I36" s="936"/>
      <c r="J36" s="937"/>
      <c r="K36" s="937"/>
      <c r="L36" s="164"/>
      <c r="M36" s="114"/>
      <c r="N36" s="11"/>
      <c r="O36" s="11"/>
      <c r="P36" s="11"/>
      <c r="Q36" s="11"/>
      <c r="R36" s="11"/>
      <c r="S36" s="11"/>
    </row>
    <row r="37" spans="1:24" ht="17" thickTop="1" thickBot="1" x14ac:dyDescent="0.25">
      <c r="A37" s="11"/>
      <c r="B37" s="11"/>
      <c r="C37" s="11"/>
      <c r="D37" s="11"/>
      <c r="E37" s="11"/>
      <c r="F37" s="11"/>
      <c r="G37" s="846" t="s">
        <v>99</v>
      </c>
      <c r="H37" s="847"/>
      <c r="I37" s="933">
        <f>(L37*J31)/1000</f>
        <v>0</v>
      </c>
      <c r="J37" s="934"/>
      <c r="K37" s="935"/>
      <c r="L37" s="163"/>
      <c r="M37" s="407">
        <f>SUM(J33:J35)</f>
        <v>2582.1073878424659</v>
      </c>
      <c r="N37" s="114"/>
      <c r="O37" s="114"/>
      <c r="P37" s="114"/>
      <c r="Q37" s="114"/>
      <c r="R37" s="114"/>
      <c r="S37" s="11"/>
    </row>
    <row r="38" spans="1:24" ht="17" thickTop="1" thickBot="1" x14ac:dyDescent="0.25">
      <c r="A38" s="11"/>
      <c r="B38" s="11"/>
      <c r="C38" s="11"/>
      <c r="D38" s="11"/>
      <c r="E38" s="11"/>
      <c r="F38" s="11"/>
      <c r="G38" s="846" t="s">
        <v>100</v>
      </c>
      <c r="H38" s="847"/>
      <c r="I38" s="933"/>
      <c r="J38" s="934"/>
      <c r="K38" s="935"/>
      <c r="L38" s="164"/>
      <c r="M38" s="114"/>
      <c r="N38" s="114"/>
      <c r="O38" s="114"/>
      <c r="P38" s="114"/>
      <c r="Q38" s="114"/>
      <c r="R38" s="114"/>
      <c r="S38" s="11"/>
    </row>
    <row r="39" spans="1:24" ht="17" thickTop="1" thickBot="1" x14ac:dyDescent="0.25">
      <c r="A39" s="138"/>
      <c r="B39" s="138"/>
      <c r="C39" s="193"/>
      <c r="D39" s="193"/>
      <c r="E39" s="193"/>
      <c r="F39" s="193"/>
      <c r="G39" s="846" t="s">
        <v>102</v>
      </c>
      <c r="H39" s="847"/>
      <c r="I39" s="930">
        <f>L39*C13</f>
        <v>3151.75</v>
      </c>
      <c r="J39" s="931"/>
      <c r="K39" s="932"/>
      <c r="L39" s="165">
        <v>35</v>
      </c>
      <c r="M39" s="114"/>
      <c r="N39" s="114"/>
      <c r="O39" s="114"/>
      <c r="P39" s="114"/>
      <c r="Q39" s="114"/>
      <c r="R39" s="114"/>
      <c r="S39" s="11"/>
    </row>
    <row r="40" spans="1:24" x14ac:dyDescent="0.2">
      <c r="A40" s="138"/>
      <c r="B40" s="138"/>
      <c r="C40" s="193"/>
      <c r="D40" s="193"/>
      <c r="E40" s="193"/>
      <c r="F40" s="193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"/>
    </row>
    <row r="41" spans="1:24" x14ac:dyDescent="0.2">
      <c r="A41" s="247"/>
      <c r="B41" s="247"/>
      <c r="C41" s="938" t="s">
        <v>410</v>
      </c>
      <c r="D41" s="938"/>
      <c r="E41" s="938"/>
      <c r="F41" s="938"/>
      <c r="G41" s="938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"/>
    </row>
    <row r="42" spans="1:24" x14ac:dyDescent="0.2">
      <c r="A42" s="939" t="s">
        <v>411</v>
      </c>
      <c r="B42" s="940"/>
      <c r="C42" s="248" t="s">
        <v>412</v>
      </c>
      <c r="D42" s="248" t="s">
        <v>413</v>
      </c>
      <c r="E42" s="248" t="s">
        <v>414</v>
      </c>
      <c r="F42" s="248" t="s">
        <v>415</v>
      </c>
      <c r="G42" s="248" t="s">
        <v>416</v>
      </c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"/>
    </row>
    <row r="43" spans="1:24" x14ac:dyDescent="0.2">
      <c r="A43" s="925" t="s">
        <v>417</v>
      </c>
      <c r="B43" s="926"/>
      <c r="C43" s="191" t="s">
        <v>418</v>
      </c>
      <c r="D43" s="191" t="s">
        <v>419</v>
      </c>
      <c r="E43" s="191" t="s">
        <v>420</v>
      </c>
      <c r="F43" s="191" t="s">
        <v>421</v>
      </c>
      <c r="G43" s="191" t="s">
        <v>422</v>
      </c>
      <c r="H43" s="247" t="s">
        <v>423</v>
      </c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"/>
    </row>
    <row r="44" spans="1:24" x14ac:dyDescent="0.2">
      <c r="A44" s="925" t="s">
        <v>424</v>
      </c>
      <c r="B44" s="926"/>
      <c r="C44" s="191" t="s">
        <v>425</v>
      </c>
      <c r="D44" s="191" t="s">
        <v>426</v>
      </c>
      <c r="E44" s="191" t="s">
        <v>427</v>
      </c>
      <c r="F44" s="191" t="s">
        <v>428</v>
      </c>
      <c r="G44" s="191" t="s">
        <v>429</v>
      </c>
      <c r="H44" s="247" t="s">
        <v>423</v>
      </c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"/>
    </row>
    <row r="45" spans="1:24" ht="16" thickBot="1" x14ac:dyDescent="0.25">
      <c r="A45" s="247"/>
      <c r="B45" s="247"/>
      <c r="C45" s="247"/>
      <c r="D45" s="247"/>
      <c r="E45" s="247"/>
      <c r="F45" s="247"/>
      <c r="G45" s="114"/>
      <c r="H45" s="187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"/>
    </row>
    <row r="46" spans="1:24" ht="17" thickTop="1" thickBot="1" x14ac:dyDescent="0.25">
      <c r="A46" s="920" t="s">
        <v>103</v>
      </c>
      <c r="B46" s="920"/>
      <c r="C46" s="920"/>
      <c r="D46" s="920"/>
      <c r="E46" s="920"/>
      <c r="F46" s="920"/>
      <c r="G46" s="920"/>
      <c r="H46" s="920"/>
      <c r="I46" s="114"/>
      <c r="J46" s="921" t="s">
        <v>114</v>
      </c>
      <c r="K46" s="921"/>
      <c r="L46" s="921"/>
      <c r="M46" s="921"/>
      <c r="N46" s="921"/>
      <c r="O46" s="921"/>
      <c r="P46" s="921"/>
      <c r="Q46" s="921"/>
      <c r="R46" s="921"/>
      <c r="S46" s="921"/>
      <c r="T46" s="921"/>
    </row>
    <row r="47" spans="1:24" ht="17" thickTop="1" thickBot="1" x14ac:dyDescent="0.25">
      <c r="A47" s="195" t="s">
        <v>104</v>
      </c>
      <c r="B47" s="195" t="s">
        <v>107</v>
      </c>
      <c r="C47" s="195" t="s">
        <v>307</v>
      </c>
      <c r="D47" s="195" t="s">
        <v>108</v>
      </c>
      <c r="E47" s="195" t="s">
        <v>51</v>
      </c>
      <c r="F47" s="195" t="s">
        <v>99</v>
      </c>
      <c r="G47" s="195" t="s">
        <v>109</v>
      </c>
      <c r="H47" s="195" t="s">
        <v>100</v>
      </c>
      <c r="I47" s="114"/>
      <c r="J47" s="256" t="s">
        <v>115</v>
      </c>
      <c r="K47" s="256" t="s">
        <v>116</v>
      </c>
      <c r="L47" s="256" t="s">
        <v>117</v>
      </c>
      <c r="M47" s="256" t="s">
        <v>118</v>
      </c>
      <c r="N47" s="921" t="s">
        <v>119</v>
      </c>
      <c r="O47" s="921"/>
      <c r="P47" s="921" t="s">
        <v>118</v>
      </c>
      <c r="Q47" s="921"/>
      <c r="R47" s="256" t="s">
        <v>120</v>
      </c>
      <c r="S47" s="256" t="s">
        <v>112</v>
      </c>
      <c r="T47" s="256" t="s">
        <v>113</v>
      </c>
      <c r="U47" s="11"/>
      <c r="V47" s="11"/>
      <c r="W47" s="11"/>
      <c r="X47" s="11"/>
    </row>
    <row r="48" spans="1:24" ht="17" thickTop="1" thickBot="1" x14ac:dyDescent="0.25">
      <c r="A48" s="174" t="s">
        <v>67</v>
      </c>
      <c r="B48" s="146"/>
      <c r="C48" s="149">
        <f>B48*8</f>
        <v>0</v>
      </c>
      <c r="D48" s="166">
        <f>B48*8</f>
        <v>0</v>
      </c>
      <c r="E48" s="166">
        <f>B48*12</f>
        <v>0</v>
      </c>
      <c r="F48" s="166">
        <f>B48*0</f>
        <v>0</v>
      </c>
      <c r="G48" s="166">
        <f>B48*33</f>
        <v>0</v>
      </c>
      <c r="H48" s="167">
        <f>B48*115</f>
        <v>0</v>
      </c>
      <c r="I48" s="168"/>
      <c r="J48" s="257" t="s">
        <v>121</v>
      </c>
      <c r="K48" s="160">
        <v>1</v>
      </c>
      <c r="L48" s="160"/>
      <c r="M48" s="160"/>
      <c r="N48" s="815"/>
      <c r="O48" s="815"/>
      <c r="P48" s="815"/>
      <c r="Q48" s="815"/>
      <c r="R48" s="160"/>
      <c r="S48" s="191">
        <f t="shared" ref="S48:S52" si="0">SUM(K48:R48)</f>
        <v>1</v>
      </c>
      <c r="T48" s="191">
        <f>B48</f>
        <v>0</v>
      </c>
      <c r="U48" s="11"/>
      <c r="V48" s="11"/>
      <c r="W48" s="11"/>
      <c r="X48" s="11"/>
    </row>
    <row r="49" spans="1:24" ht="17" thickTop="1" thickBot="1" x14ac:dyDescent="0.25">
      <c r="A49" s="174" t="s">
        <v>68</v>
      </c>
      <c r="B49" s="146"/>
      <c r="C49" s="152">
        <f>B49*8</f>
        <v>0</v>
      </c>
      <c r="D49" s="128">
        <f>B49*2.5</f>
        <v>0</v>
      </c>
      <c r="E49" s="128">
        <f>B49*12</f>
        <v>0</v>
      </c>
      <c r="F49" s="128">
        <f>B49*0</f>
        <v>0</v>
      </c>
      <c r="G49" s="128">
        <f>B49*13.5</f>
        <v>0</v>
      </c>
      <c r="H49" s="169">
        <f>B49*138</f>
        <v>0</v>
      </c>
      <c r="I49" s="114"/>
      <c r="J49" s="257" t="s">
        <v>105</v>
      </c>
      <c r="K49" s="160"/>
      <c r="L49" s="160"/>
      <c r="M49" s="160"/>
      <c r="N49" s="815">
        <v>2</v>
      </c>
      <c r="O49" s="815"/>
      <c r="P49" s="815"/>
      <c r="Q49" s="815"/>
      <c r="R49" s="160">
        <v>2</v>
      </c>
      <c r="S49" s="191">
        <f t="shared" si="0"/>
        <v>4</v>
      </c>
      <c r="T49" s="191">
        <f>B50</f>
        <v>4</v>
      </c>
      <c r="U49" s="11"/>
      <c r="V49" s="11"/>
      <c r="W49" s="11"/>
      <c r="X49" s="11"/>
    </row>
    <row r="50" spans="1:24" ht="17" thickTop="1" thickBot="1" x14ac:dyDescent="0.25">
      <c r="A50" s="174" t="s">
        <v>105</v>
      </c>
      <c r="B50" s="146">
        <v>4</v>
      </c>
      <c r="C50" s="152">
        <f>B50*2</f>
        <v>8</v>
      </c>
      <c r="D50" s="128">
        <f>B50*0</f>
        <v>0</v>
      </c>
      <c r="E50" s="128">
        <f>B50*5</f>
        <v>20</v>
      </c>
      <c r="F50" s="128">
        <f>B50*1</f>
        <v>4</v>
      </c>
      <c r="G50" s="128">
        <f>B50*0</f>
        <v>0</v>
      </c>
      <c r="H50" s="169">
        <f>B50*11.5</f>
        <v>46</v>
      </c>
      <c r="I50" s="114"/>
      <c r="J50" s="257" t="s">
        <v>106</v>
      </c>
      <c r="K50" s="160">
        <v>1</v>
      </c>
      <c r="L50" s="160">
        <v>1</v>
      </c>
      <c r="M50" s="160"/>
      <c r="N50" s="815"/>
      <c r="O50" s="815"/>
      <c r="P50" s="815">
        <v>1</v>
      </c>
      <c r="Q50" s="815"/>
      <c r="R50" s="160"/>
      <c r="S50" s="191">
        <f t="shared" si="0"/>
        <v>3</v>
      </c>
      <c r="T50" s="191">
        <f>B51</f>
        <v>2</v>
      </c>
      <c r="U50" s="11"/>
      <c r="V50" s="11"/>
      <c r="W50" s="11"/>
      <c r="X50" s="11"/>
    </row>
    <row r="51" spans="1:24" ht="17" thickTop="1" thickBot="1" x14ac:dyDescent="0.25">
      <c r="A51" s="174" t="s">
        <v>106</v>
      </c>
      <c r="B51" s="146">
        <v>2</v>
      </c>
      <c r="C51" s="152">
        <f>B51*0</f>
        <v>0</v>
      </c>
      <c r="D51" s="128">
        <f>B51*0</f>
        <v>0</v>
      </c>
      <c r="E51" s="128">
        <f>B51*15</f>
        <v>30</v>
      </c>
      <c r="F51" s="128">
        <f>B51*2</f>
        <v>4</v>
      </c>
      <c r="G51" s="128">
        <f>B51*0</f>
        <v>0</v>
      </c>
      <c r="H51" s="169">
        <f>B51*0</f>
        <v>0</v>
      </c>
      <c r="I51" s="114"/>
      <c r="J51" s="257" t="s">
        <v>110</v>
      </c>
      <c r="K51" s="160">
        <v>2</v>
      </c>
      <c r="L51" s="160">
        <v>3</v>
      </c>
      <c r="M51" s="160"/>
      <c r="N51" s="815">
        <v>3</v>
      </c>
      <c r="O51" s="815"/>
      <c r="P51" s="815"/>
      <c r="Q51" s="815"/>
      <c r="R51" s="160">
        <v>3</v>
      </c>
      <c r="S51" s="191">
        <f t="shared" si="0"/>
        <v>11</v>
      </c>
      <c r="T51" s="191">
        <f>B53</f>
        <v>9</v>
      </c>
      <c r="U51" s="11"/>
      <c r="V51" s="11"/>
      <c r="W51" s="11"/>
      <c r="X51" s="11"/>
    </row>
    <row r="52" spans="1:24" ht="17" thickTop="1" thickBot="1" x14ac:dyDescent="0.25">
      <c r="A52" s="176" t="s">
        <v>111</v>
      </c>
      <c r="B52" s="177">
        <f>(K35-E52)/15</f>
        <v>9.1468523745719192</v>
      </c>
      <c r="C52" s="178">
        <f t="shared" ref="C52:H52" si="1">SUM(C48:C51)</f>
        <v>8</v>
      </c>
      <c r="D52" s="178">
        <f t="shared" si="1"/>
        <v>0</v>
      </c>
      <c r="E52" s="178">
        <f t="shared" si="1"/>
        <v>50</v>
      </c>
      <c r="F52" s="178">
        <f t="shared" si="1"/>
        <v>8</v>
      </c>
      <c r="G52" s="178">
        <f t="shared" si="1"/>
        <v>0</v>
      </c>
      <c r="H52" s="179">
        <f t="shared" si="1"/>
        <v>46</v>
      </c>
      <c r="I52" s="114"/>
      <c r="J52" s="257" t="s">
        <v>447</v>
      </c>
      <c r="K52" s="160"/>
      <c r="L52" s="160"/>
      <c r="M52" s="160"/>
      <c r="N52" s="815"/>
      <c r="O52" s="815"/>
      <c r="P52" s="815"/>
      <c r="Q52" s="815"/>
      <c r="R52" s="160"/>
      <c r="S52" s="191">
        <f t="shared" si="0"/>
        <v>0</v>
      </c>
      <c r="T52" s="191">
        <f>B55</f>
        <v>0</v>
      </c>
      <c r="U52" s="11"/>
      <c r="V52" s="11"/>
      <c r="W52" s="11"/>
      <c r="X52" s="11"/>
    </row>
    <row r="53" spans="1:24" ht="17" thickTop="1" thickBot="1" x14ac:dyDescent="0.25">
      <c r="A53" s="174" t="s">
        <v>110</v>
      </c>
      <c r="B53" s="146">
        <v>9</v>
      </c>
      <c r="C53" s="152">
        <f>B53*2</f>
        <v>18</v>
      </c>
      <c r="D53" s="128">
        <f>B53*0</f>
        <v>0</v>
      </c>
      <c r="E53" s="128">
        <f>B53*15</f>
        <v>135</v>
      </c>
      <c r="F53" s="128">
        <f>B53*2.5</f>
        <v>22.5</v>
      </c>
      <c r="G53" s="128">
        <f>B53*0</f>
        <v>0</v>
      </c>
      <c r="H53" s="169">
        <f>B53*46</f>
        <v>414</v>
      </c>
      <c r="I53" s="114"/>
      <c r="J53" s="257" t="s">
        <v>450</v>
      </c>
      <c r="K53" s="160">
        <v>4</v>
      </c>
      <c r="L53" s="160">
        <v>5</v>
      </c>
      <c r="M53" s="160"/>
      <c r="N53" s="815">
        <v>7</v>
      </c>
      <c r="O53" s="815"/>
      <c r="P53" s="815">
        <v>3</v>
      </c>
      <c r="Q53" s="815"/>
      <c r="R53" s="160">
        <v>7</v>
      </c>
      <c r="S53" s="191">
        <f t="shared" ref="S53" si="2">SUM(K53:R53)</f>
        <v>26</v>
      </c>
      <c r="T53" s="144">
        <f>B56</f>
        <v>23</v>
      </c>
      <c r="U53" s="11"/>
      <c r="V53" s="11"/>
      <c r="W53" s="11"/>
      <c r="X53" s="11"/>
    </row>
    <row r="54" spans="1:24" ht="17" thickTop="1" thickBot="1" x14ac:dyDescent="0.25">
      <c r="A54" s="176" t="s">
        <v>111</v>
      </c>
      <c r="B54" s="177">
        <f>(K33-C54)/7</f>
        <v>23.028969374082681</v>
      </c>
      <c r="C54" s="178">
        <f t="shared" ref="C54:H54" si="3">SUM(C48:C51,C53)</f>
        <v>26</v>
      </c>
      <c r="D54" s="178">
        <f t="shared" si="3"/>
        <v>0</v>
      </c>
      <c r="E54" s="178">
        <f t="shared" si="3"/>
        <v>185</v>
      </c>
      <c r="F54" s="178">
        <f t="shared" si="3"/>
        <v>30.5</v>
      </c>
      <c r="G54" s="178">
        <f t="shared" si="3"/>
        <v>0</v>
      </c>
      <c r="H54" s="179">
        <f t="shared" si="3"/>
        <v>460</v>
      </c>
      <c r="I54" s="114"/>
      <c r="J54" s="257" t="s">
        <v>95</v>
      </c>
      <c r="K54" s="160">
        <v>3</v>
      </c>
      <c r="L54" s="160">
        <v>2</v>
      </c>
      <c r="M54" s="160"/>
      <c r="N54" s="815"/>
      <c r="O54" s="815"/>
      <c r="P54" s="815"/>
      <c r="Q54" s="815"/>
      <c r="R54" s="160">
        <v>2</v>
      </c>
      <c r="S54" s="191">
        <f>SUM(K54:R54)</f>
        <v>7</v>
      </c>
      <c r="T54" s="191">
        <f>B58</f>
        <v>4</v>
      </c>
      <c r="U54" s="11"/>
      <c r="V54" s="11"/>
      <c r="W54" s="11"/>
      <c r="X54" s="11"/>
    </row>
    <row r="55" spans="1:24" ht="17" thickTop="1" thickBot="1" x14ac:dyDescent="0.25">
      <c r="A55" s="174" t="s">
        <v>447</v>
      </c>
      <c r="B55" s="146"/>
      <c r="C55" s="152">
        <f>B55*7</f>
        <v>0</v>
      </c>
      <c r="D55" s="128">
        <f>B55*3</f>
        <v>0</v>
      </c>
      <c r="E55" s="128">
        <f>B55*0</f>
        <v>0</v>
      </c>
      <c r="F55" s="128">
        <f>B55*0</f>
        <v>0</v>
      </c>
      <c r="G55" s="128">
        <f>B55*25</f>
        <v>0</v>
      </c>
      <c r="H55" s="169">
        <f>B55*2</f>
        <v>0</v>
      </c>
      <c r="I55" s="114"/>
      <c r="J55" s="257" t="s">
        <v>712</v>
      </c>
      <c r="K55" s="160"/>
      <c r="L55" s="160"/>
      <c r="M55" s="160"/>
      <c r="N55" s="815"/>
      <c r="O55" s="815"/>
      <c r="P55" s="815"/>
      <c r="Q55" s="815"/>
      <c r="R55" s="160"/>
      <c r="S55" s="191">
        <f>SUM(K55:R55)</f>
        <v>0</v>
      </c>
      <c r="T55" s="160" t="e">
        <f>#REF!/15</f>
        <v>#REF!</v>
      </c>
      <c r="U55" s="11"/>
      <c r="V55" s="11"/>
      <c r="W55" s="11"/>
      <c r="X55" s="11"/>
    </row>
    <row r="56" spans="1:24" ht="17" thickTop="1" thickBot="1" x14ac:dyDescent="0.25">
      <c r="A56" s="174" t="s">
        <v>448</v>
      </c>
      <c r="B56" s="259">
        <v>23</v>
      </c>
      <c r="C56" s="152">
        <f>B56*7</f>
        <v>161</v>
      </c>
      <c r="D56" s="401">
        <f>B56*4</f>
        <v>92</v>
      </c>
      <c r="E56" s="401">
        <f>B56*0</f>
        <v>0</v>
      </c>
      <c r="F56" s="401">
        <f>B56*0</f>
        <v>0</v>
      </c>
      <c r="G56" s="401">
        <f>B56*25</f>
        <v>575</v>
      </c>
      <c r="H56" s="402">
        <f>B56*2</f>
        <v>46</v>
      </c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"/>
      <c r="T56" s="11"/>
      <c r="U56" s="11"/>
      <c r="V56" s="11"/>
      <c r="W56" s="11"/>
      <c r="X56" s="11"/>
    </row>
    <row r="57" spans="1:24" ht="18" thickTop="1" thickBot="1" x14ac:dyDescent="0.25">
      <c r="A57" s="176" t="s">
        <v>111</v>
      </c>
      <c r="B57" s="177">
        <f>(K34-D57)/5</f>
        <v>5.6996689531963511</v>
      </c>
      <c r="C57" s="178">
        <f>SUM(C54:C56)</f>
        <v>187</v>
      </c>
      <c r="D57" s="403">
        <f t="shared" ref="D57:H57" si="4">SUM(D54:D56)</f>
        <v>92</v>
      </c>
      <c r="E57" s="403">
        <f t="shared" si="4"/>
        <v>185</v>
      </c>
      <c r="F57" s="403">
        <f t="shared" si="4"/>
        <v>30.5</v>
      </c>
      <c r="G57" s="403">
        <f t="shared" si="4"/>
        <v>575</v>
      </c>
      <c r="H57" s="403">
        <f t="shared" si="4"/>
        <v>506</v>
      </c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341" t="s">
        <v>713</v>
      </c>
      <c r="T57" s="11">
        <f>(S48*150)+(S49*25)+(S50*60)+(S51*80)+(S52*55)+(S53*70)+(S54*45)+(S55*60)</f>
        <v>3445</v>
      </c>
      <c r="U57" s="11"/>
      <c r="V57" s="11"/>
      <c r="W57" s="11"/>
      <c r="X57" s="11"/>
    </row>
    <row r="58" spans="1:24" ht="17" thickTop="1" thickBot="1" x14ac:dyDescent="0.25">
      <c r="A58" s="174" t="s">
        <v>95</v>
      </c>
      <c r="B58" s="170">
        <v>4</v>
      </c>
      <c r="C58" s="151">
        <f>B58*0</f>
        <v>0</v>
      </c>
      <c r="D58" s="404">
        <f>B58*5</f>
        <v>20</v>
      </c>
      <c r="E58" s="404">
        <f>B58*0</f>
        <v>0</v>
      </c>
      <c r="F58" s="404">
        <f>B58*0</f>
        <v>0</v>
      </c>
      <c r="G58" s="404">
        <f>B58*2</f>
        <v>8</v>
      </c>
      <c r="H58" s="405">
        <f>B58*2</f>
        <v>8</v>
      </c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"/>
      <c r="T58" s="11"/>
      <c r="U58" s="11"/>
      <c r="V58" s="11"/>
      <c r="W58" s="11"/>
      <c r="X58" s="11"/>
    </row>
    <row r="59" spans="1:24" ht="17" thickTop="1" thickBot="1" x14ac:dyDescent="0.25">
      <c r="A59" s="174" t="s">
        <v>112</v>
      </c>
      <c r="B59" s="175"/>
      <c r="C59" s="174">
        <f t="shared" ref="C59:H59" si="5">C57+C58</f>
        <v>187</v>
      </c>
      <c r="D59" s="406">
        <f t="shared" si="5"/>
        <v>112</v>
      </c>
      <c r="E59" s="406">
        <f>E57+E58</f>
        <v>185</v>
      </c>
      <c r="F59" s="406">
        <f t="shared" si="5"/>
        <v>30.5</v>
      </c>
      <c r="G59" s="406">
        <f t="shared" si="5"/>
        <v>583</v>
      </c>
      <c r="H59" s="406">
        <f t="shared" si="5"/>
        <v>514</v>
      </c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"/>
      <c r="T59" s="11"/>
      <c r="U59" s="11"/>
      <c r="V59" s="11"/>
      <c r="W59" s="11"/>
      <c r="X59" s="11"/>
    </row>
    <row r="60" spans="1:24" ht="17" thickTop="1" thickBot="1" x14ac:dyDescent="0.25">
      <c r="A60" s="182" t="s">
        <v>113</v>
      </c>
      <c r="B60" s="183"/>
      <c r="C60" s="184">
        <f>K33-M33</f>
        <v>187.20278561857876</v>
      </c>
      <c r="D60" s="184">
        <f>K34-M34</f>
        <v>120.49834476598176</v>
      </c>
      <c r="E60" s="184">
        <f>K35</f>
        <v>187.20278561857879</v>
      </c>
      <c r="F60" s="182">
        <f>I37</f>
        <v>0</v>
      </c>
      <c r="G60" s="182">
        <f>I36</f>
        <v>0</v>
      </c>
      <c r="H60" s="182">
        <f>I38</f>
        <v>0</v>
      </c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"/>
      <c r="T60" s="11"/>
      <c r="U60" s="11"/>
      <c r="V60" s="11"/>
      <c r="W60" s="11"/>
      <c r="X60" s="11"/>
    </row>
    <row r="61" spans="1:24" ht="17" thickTop="1" thickBot="1" x14ac:dyDescent="0.25">
      <c r="A61" s="176" t="s">
        <v>308</v>
      </c>
      <c r="B61" s="180"/>
      <c r="C61" s="181">
        <f t="shared" ref="C61:H61" si="6">(C59*100)/C60</f>
        <v>99.89167596095929</v>
      </c>
      <c r="D61" s="181">
        <f t="shared" si="6"/>
        <v>92.947334851373867</v>
      </c>
      <c r="E61" s="181">
        <f t="shared" si="6"/>
        <v>98.82331579025383</v>
      </c>
      <c r="F61" s="181" t="e">
        <f t="shared" si="6"/>
        <v>#DIV/0!</v>
      </c>
      <c r="G61" s="181" t="e">
        <f t="shared" si="6"/>
        <v>#DIV/0!</v>
      </c>
      <c r="H61" s="181" t="e">
        <f t="shared" si="6"/>
        <v>#DIV/0!</v>
      </c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"/>
      <c r="T61" s="11"/>
      <c r="U61" s="11"/>
      <c r="V61" s="11"/>
      <c r="W61" s="11"/>
      <c r="X61" s="11"/>
    </row>
    <row r="62" spans="1:24" ht="16" thickTop="1" x14ac:dyDescent="0.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"/>
      <c r="T62" s="11"/>
      <c r="U62" s="11"/>
      <c r="V62" s="11"/>
      <c r="W62" s="11"/>
      <c r="X62" s="11"/>
    </row>
    <row r="63" spans="1:24" x14ac:dyDescent="0.2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"/>
      <c r="T63" s="11"/>
      <c r="U63" s="11"/>
      <c r="V63" s="11"/>
      <c r="W63" s="11"/>
      <c r="X63" s="11"/>
    </row>
    <row r="64" spans="1:24" x14ac:dyDescent="0.2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"/>
      <c r="T64" s="11"/>
      <c r="U64" s="11"/>
      <c r="V64" s="11"/>
      <c r="W64" s="11"/>
      <c r="X64" s="11"/>
    </row>
    <row r="65" spans="1:24" x14ac:dyDescent="0.2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"/>
      <c r="T65" s="11"/>
      <c r="U65" s="11"/>
      <c r="V65" s="11"/>
      <c r="W65" s="11"/>
      <c r="X65" s="11"/>
    </row>
    <row r="66" spans="1:24" x14ac:dyDescent="0.2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"/>
      <c r="T66" s="11"/>
      <c r="U66" s="11"/>
      <c r="V66" s="11"/>
      <c r="W66" s="11"/>
      <c r="X66" s="11"/>
    </row>
    <row r="67" spans="1:24" x14ac:dyDescent="0.2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"/>
      <c r="T67" s="11"/>
      <c r="U67" s="11"/>
      <c r="V67" s="11"/>
      <c r="W67" s="11"/>
      <c r="X67" s="11"/>
    </row>
    <row r="68" spans="1:24" x14ac:dyDescent="0.2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"/>
      <c r="T68" s="11"/>
      <c r="U68" s="11"/>
      <c r="V68" s="11"/>
      <c r="W68" s="11"/>
      <c r="X68" s="11"/>
    </row>
    <row r="69" spans="1:24" x14ac:dyDescent="0.2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"/>
      <c r="T69" s="11"/>
      <c r="U69" s="11"/>
      <c r="V69" s="11"/>
      <c r="W69" s="11"/>
      <c r="X69" s="11"/>
    </row>
    <row r="70" spans="1:24" x14ac:dyDescent="0.2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"/>
      <c r="T70" s="11"/>
      <c r="U70" s="11"/>
      <c r="V70" s="11"/>
      <c r="W70" s="11"/>
      <c r="X70" s="11"/>
    </row>
    <row r="71" spans="1:24" x14ac:dyDescent="0.2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"/>
      <c r="T71" s="11"/>
      <c r="U71" s="11"/>
      <c r="V71" s="11"/>
      <c r="W71" s="11"/>
      <c r="X71" s="11"/>
    </row>
    <row r="72" spans="1:24" x14ac:dyDescent="0.2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"/>
      <c r="T72" s="11"/>
      <c r="U72" s="11"/>
      <c r="V72" s="11"/>
      <c r="W72" s="11"/>
      <c r="X72" s="11"/>
    </row>
    <row r="73" spans="1:24" x14ac:dyDescent="0.2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"/>
      <c r="T73" s="11"/>
      <c r="U73" s="11"/>
      <c r="V73" s="11"/>
      <c r="W73" s="11"/>
      <c r="X73" s="11"/>
    </row>
    <row r="74" spans="1:24" x14ac:dyDescent="0.2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"/>
      <c r="T74" s="11"/>
      <c r="U74" s="11"/>
      <c r="V74" s="11"/>
      <c r="W74" s="11"/>
      <c r="X74" s="11"/>
    </row>
    <row r="75" spans="1:24" x14ac:dyDescent="0.2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"/>
      <c r="T75" s="11"/>
      <c r="U75" s="11"/>
      <c r="V75" s="11"/>
      <c r="W75" s="11"/>
      <c r="X75" s="11"/>
    </row>
    <row r="76" spans="1:24" x14ac:dyDescent="0.2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"/>
      <c r="T76" s="11"/>
      <c r="U76" s="11"/>
      <c r="V76" s="11"/>
      <c r="W76" s="11"/>
      <c r="X76" s="11"/>
    </row>
    <row r="77" spans="1:24" x14ac:dyDescent="0.2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"/>
      <c r="T77" s="11"/>
      <c r="U77" s="11"/>
      <c r="V77" s="11"/>
      <c r="W77" s="11"/>
      <c r="X77" s="11"/>
    </row>
    <row r="78" spans="1:24" x14ac:dyDescent="0.2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"/>
      <c r="T78" s="11"/>
      <c r="U78" s="11"/>
      <c r="V78" s="11"/>
      <c r="W78" s="11"/>
      <c r="X78" s="11"/>
    </row>
    <row r="79" spans="1:24" x14ac:dyDescent="0.2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"/>
      <c r="T79" s="11"/>
      <c r="U79" s="11"/>
      <c r="V79" s="11"/>
      <c r="W79" s="11"/>
      <c r="X79" s="11"/>
    </row>
    <row r="80" spans="1:24" x14ac:dyDescent="0.2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"/>
      <c r="T80" s="11"/>
      <c r="U80" s="11"/>
      <c r="V80" s="11"/>
      <c r="W80" s="11"/>
      <c r="X80" s="11"/>
    </row>
    <row r="81" spans="1:24" x14ac:dyDescent="0.2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"/>
      <c r="T81" s="11"/>
      <c r="U81" s="11"/>
      <c r="V81" s="11"/>
      <c r="W81" s="11"/>
      <c r="X81" s="11"/>
    </row>
    <row r="82" spans="1:24" x14ac:dyDescent="0.2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"/>
      <c r="T82" s="11"/>
      <c r="U82" s="11"/>
      <c r="V82" s="11"/>
      <c r="W82" s="11"/>
      <c r="X82" s="11"/>
    </row>
    <row r="83" spans="1:24" x14ac:dyDescent="0.2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"/>
      <c r="T83" s="11"/>
      <c r="U83" s="11"/>
      <c r="V83" s="11"/>
      <c r="W83" s="11"/>
      <c r="X83" s="11"/>
    </row>
    <row r="84" spans="1:24" x14ac:dyDescent="0.2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"/>
      <c r="T84" s="11"/>
      <c r="U84" s="11"/>
      <c r="V84" s="11"/>
      <c r="W84" s="11"/>
      <c r="X84" s="11"/>
    </row>
  </sheetData>
  <mergeCells count="140">
    <mergeCell ref="N16:O16"/>
    <mergeCell ref="N15:O15"/>
    <mergeCell ref="N13:O13"/>
    <mergeCell ref="N14:O14"/>
    <mergeCell ref="N17:O17"/>
    <mergeCell ref="S17:T17"/>
    <mergeCell ref="S12:V12"/>
    <mergeCell ref="U13:V13"/>
    <mergeCell ref="U14:V14"/>
    <mergeCell ref="U15:V15"/>
    <mergeCell ref="U16:V16"/>
    <mergeCell ref="U17:V17"/>
    <mergeCell ref="S13:T13"/>
    <mergeCell ref="S14:T14"/>
    <mergeCell ref="S15:T15"/>
    <mergeCell ref="S16:T16"/>
    <mergeCell ref="P13:Q13"/>
    <mergeCell ref="P14:Q14"/>
    <mergeCell ref="N54:O54"/>
    <mergeCell ref="P54:Q54"/>
    <mergeCell ref="G37:H37"/>
    <mergeCell ref="I37:K37"/>
    <mergeCell ref="N51:O51"/>
    <mergeCell ref="P51:Q51"/>
    <mergeCell ref="G36:H36"/>
    <mergeCell ref="I36:K36"/>
    <mergeCell ref="N52:O52"/>
    <mergeCell ref="P52:Q52"/>
    <mergeCell ref="A46:H46"/>
    <mergeCell ref="G38:H38"/>
    <mergeCell ref="I38:K38"/>
    <mergeCell ref="C41:G41"/>
    <mergeCell ref="A42:B42"/>
    <mergeCell ref="A43:B43"/>
    <mergeCell ref="N49:O49"/>
    <mergeCell ref="P49:Q49"/>
    <mergeCell ref="N50:O50"/>
    <mergeCell ref="P50:Q50"/>
    <mergeCell ref="N47:O47"/>
    <mergeCell ref="P47:Q47"/>
    <mergeCell ref="N48:O48"/>
    <mergeCell ref="N53:O53"/>
    <mergeCell ref="A28:B28"/>
    <mergeCell ref="T28:U28"/>
    <mergeCell ref="T29:U29"/>
    <mergeCell ref="G30:L30"/>
    <mergeCell ref="J46:T46"/>
    <mergeCell ref="T30:U30"/>
    <mergeCell ref="G33:H33"/>
    <mergeCell ref="T33:U33"/>
    <mergeCell ref="T34:U34"/>
    <mergeCell ref="G34:H34"/>
    <mergeCell ref="J31:L31"/>
    <mergeCell ref="A44:B44"/>
    <mergeCell ref="T31:U31"/>
    <mergeCell ref="G32:H32"/>
    <mergeCell ref="G31:H31"/>
    <mergeCell ref="I39:K39"/>
    <mergeCell ref="P48:Q48"/>
    <mergeCell ref="T32:U32"/>
    <mergeCell ref="A25:B25"/>
    <mergeCell ref="J25:K25"/>
    <mergeCell ref="N25:O25"/>
    <mergeCell ref="P25:Q25"/>
    <mergeCell ref="S25:T25"/>
    <mergeCell ref="U25:V25"/>
    <mergeCell ref="U23:V23"/>
    <mergeCell ref="A24:B24"/>
    <mergeCell ref="E24:G24"/>
    <mergeCell ref="J24:K24"/>
    <mergeCell ref="N24:O24"/>
    <mergeCell ref="P24:Q24"/>
    <mergeCell ref="S24:T24"/>
    <mergeCell ref="U24:V24"/>
    <mergeCell ref="A23:C23"/>
    <mergeCell ref="E23:F23"/>
    <mergeCell ref="J23:K23"/>
    <mergeCell ref="N23:O23"/>
    <mergeCell ref="P23:Q23"/>
    <mergeCell ref="S23:T23"/>
    <mergeCell ref="A26:B26"/>
    <mergeCell ref="A27:B27"/>
    <mergeCell ref="J18:K18"/>
    <mergeCell ref="A19:B19"/>
    <mergeCell ref="F19:H19"/>
    <mergeCell ref="A17:B17"/>
    <mergeCell ref="E17:H17"/>
    <mergeCell ref="J17:K17"/>
    <mergeCell ref="U21:V21"/>
    <mergeCell ref="A22:C22"/>
    <mergeCell ref="E22:G22"/>
    <mergeCell ref="J22:K22"/>
    <mergeCell ref="N22:O22"/>
    <mergeCell ref="P22:Q22"/>
    <mergeCell ref="S22:T22"/>
    <mergeCell ref="U22:V22"/>
    <mergeCell ref="A20:B20"/>
    <mergeCell ref="F20:H20"/>
    <mergeCell ref="J20:L20"/>
    <mergeCell ref="N20:Q20"/>
    <mergeCell ref="S20:V20"/>
    <mergeCell ref="E21:G21"/>
    <mergeCell ref="J21:K21"/>
    <mergeCell ref="N21:O21"/>
    <mergeCell ref="P21:Q21"/>
    <mergeCell ref="S21:T21"/>
    <mergeCell ref="A1:R1"/>
    <mergeCell ref="K4:M4"/>
    <mergeCell ref="A6:D6"/>
    <mergeCell ref="E6:H6"/>
    <mergeCell ref="I6:J6"/>
    <mergeCell ref="A7:B7"/>
    <mergeCell ref="C7:D7"/>
    <mergeCell ref="E7:F7"/>
    <mergeCell ref="G7:H7"/>
    <mergeCell ref="I7:J7"/>
    <mergeCell ref="P53:Q53"/>
    <mergeCell ref="N55:O55"/>
    <mergeCell ref="P55:Q55"/>
    <mergeCell ref="I8:J8"/>
    <mergeCell ref="I9:J9"/>
    <mergeCell ref="A12:C12"/>
    <mergeCell ref="E12:H12"/>
    <mergeCell ref="J12:K12"/>
    <mergeCell ref="N12:Q12"/>
    <mergeCell ref="A13:B13"/>
    <mergeCell ref="J13:K13"/>
    <mergeCell ref="A14:B14"/>
    <mergeCell ref="J14:K14"/>
    <mergeCell ref="P17:Q17"/>
    <mergeCell ref="A15:B15"/>
    <mergeCell ref="J15:K15"/>
    <mergeCell ref="P15:Q15"/>
    <mergeCell ref="A16:B16"/>
    <mergeCell ref="J16:K16"/>
    <mergeCell ref="P16:Q16"/>
    <mergeCell ref="A18:B18"/>
    <mergeCell ref="G35:H35"/>
    <mergeCell ref="G39:H39"/>
    <mergeCell ref="F18:H18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9"/>
  <dimension ref="A1:P62"/>
  <sheetViews>
    <sheetView topLeftCell="A24" workbookViewId="0">
      <selection activeCell="E36" sqref="E36:F61"/>
    </sheetView>
  </sheetViews>
  <sheetFormatPr baseColWidth="10" defaultRowHeight="15" x14ac:dyDescent="0.2"/>
  <cols>
    <col min="3" max="3" width="11.5" customWidth="1"/>
    <col min="5" max="5" width="29.5" customWidth="1"/>
    <col min="6" max="6" width="13.83203125" customWidth="1"/>
    <col min="7" max="7" width="12.33203125" customWidth="1"/>
    <col min="8" max="8" width="11.83203125" customWidth="1"/>
  </cols>
  <sheetData>
    <row r="1" spans="1:15" x14ac:dyDescent="0.2">
      <c r="A1" s="11"/>
      <c r="B1" s="11"/>
      <c r="C1" s="11"/>
      <c r="D1" s="963" t="s">
        <v>431</v>
      </c>
      <c r="E1" s="963"/>
      <c r="F1" s="963"/>
      <c r="G1" s="963"/>
      <c r="H1" s="963"/>
      <c r="I1" s="963"/>
      <c r="J1" s="963"/>
      <c r="K1" s="963"/>
      <c r="L1" s="963"/>
      <c r="M1" s="963"/>
      <c r="N1" s="963"/>
      <c r="O1" s="963"/>
    </row>
    <row r="2" spans="1:15" x14ac:dyDescent="0.2">
      <c r="A2" s="11"/>
      <c r="B2" s="11"/>
      <c r="C2" s="11"/>
      <c r="D2" s="963"/>
      <c r="E2" s="963"/>
      <c r="F2" s="963"/>
      <c r="G2" s="963"/>
      <c r="H2" s="963"/>
      <c r="I2" s="963"/>
      <c r="J2" s="963"/>
      <c r="K2" s="963"/>
      <c r="L2" s="963"/>
      <c r="M2" s="963"/>
      <c r="N2" s="963"/>
      <c r="O2" s="963"/>
    </row>
    <row r="3" spans="1:15" ht="16" thickBot="1" x14ac:dyDescent="0.25">
      <c r="A3" s="11"/>
      <c r="B3" s="11"/>
      <c r="C3" s="11"/>
    </row>
    <row r="4" spans="1:15" ht="17" thickTop="1" thickBot="1" x14ac:dyDescent="0.25">
      <c r="A4" s="11"/>
      <c r="B4" s="11"/>
      <c r="C4" s="11"/>
      <c r="D4" s="964" t="s">
        <v>432</v>
      </c>
      <c r="E4" s="964"/>
      <c r="F4" s="445">
        <v>1</v>
      </c>
      <c r="G4" s="445">
        <v>2</v>
      </c>
      <c r="H4" s="445">
        <v>3</v>
      </c>
      <c r="I4" s="445">
        <v>4</v>
      </c>
      <c r="J4" s="445">
        <v>5</v>
      </c>
      <c r="K4" s="445">
        <v>6</v>
      </c>
      <c r="L4" s="445">
        <v>7</v>
      </c>
      <c r="M4" s="445">
        <v>8</v>
      </c>
      <c r="N4" s="445">
        <v>9</v>
      </c>
      <c r="O4" s="445">
        <v>10</v>
      </c>
    </row>
    <row r="5" spans="1:15" ht="17" thickTop="1" thickBot="1" x14ac:dyDescent="0.25">
      <c r="A5" s="11"/>
      <c r="B5" s="11"/>
      <c r="C5" s="11"/>
      <c r="D5" s="965" t="s">
        <v>47</v>
      </c>
      <c r="E5" s="965"/>
      <c r="F5" s="446">
        <f>'ANTROPOMETRÍA DEPORTISTAS'!B6</f>
        <v>45994</v>
      </c>
      <c r="G5" s="446">
        <f>'ANTROPOMETRÍA DEPORTISTAS'!C6</f>
        <v>0</v>
      </c>
      <c r="H5" s="446">
        <f>'ANTROPOMETRÍA DEPORTISTAS'!D6</f>
        <v>0</v>
      </c>
      <c r="I5" s="446">
        <f>'ANTROPOMETRÍA DEPORTISTAS'!E6</f>
        <v>0</v>
      </c>
      <c r="J5" s="446">
        <f>'ANTROPOMETRÍA DEPORTISTAS'!F6</f>
        <v>0</v>
      </c>
      <c r="K5" s="446">
        <f>'ANTROPOMETRÍA DEPORTISTAS'!G6</f>
        <v>0</v>
      </c>
      <c r="L5" s="446">
        <f>'ANTROPOMETRÍA DEPORTISTAS'!H6</f>
        <v>0</v>
      </c>
      <c r="M5" s="446">
        <f>'ANTROPOMETRÍA DEPORTISTAS'!I6</f>
        <v>0</v>
      </c>
      <c r="N5" s="446">
        <f>'ANTROPOMETRÍA DEPORTISTAS'!J6</f>
        <v>0</v>
      </c>
      <c r="O5" s="446">
        <f>'ANTROPOMETRÍA DEPORTISTAS'!K6</f>
        <v>0</v>
      </c>
    </row>
    <row r="6" spans="1:15" ht="17" thickTop="1" thickBot="1" x14ac:dyDescent="0.25">
      <c r="A6" s="11"/>
      <c r="B6" s="11"/>
      <c r="C6" s="11"/>
      <c r="D6" s="965" t="s">
        <v>710</v>
      </c>
      <c r="E6" s="965"/>
      <c r="F6" s="447">
        <f>'ANTROPOMETRÍA DEPORTISTAS'!B7</f>
        <v>90.05</v>
      </c>
      <c r="G6" s="447">
        <f>'ANTROPOMETRÍA DEPORTISTAS'!C7</f>
        <v>0</v>
      </c>
      <c r="H6" s="447">
        <f>'ANTROPOMETRÍA DEPORTISTAS'!D7</f>
        <v>0</v>
      </c>
      <c r="I6" s="447">
        <f>'ANTROPOMETRÍA DEPORTISTAS'!E7</f>
        <v>0</v>
      </c>
      <c r="J6" s="447">
        <f>'ANTROPOMETRÍA DEPORTISTAS'!F7</f>
        <v>0</v>
      </c>
      <c r="K6" s="447">
        <f>'ANTROPOMETRÍA DEPORTISTAS'!G7</f>
        <v>0</v>
      </c>
      <c r="L6" s="447">
        <f>'ANTROPOMETRÍA DEPORTISTAS'!H7</f>
        <v>0</v>
      </c>
      <c r="M6" s="447">
        <f>'ANTROPOMETRÍA DEPORTISTAS'!I7</f>
        <v>0</v>
      </c>
      <c r="N6" s="447">
        <f>'ANTROPOMETRÍA DEPORTISTAS'!J7</f>
        <v>0</v>
      </c>
      <c r="O6" s="447">
        <f>'ANTROPOMETRÍA DEPORTISTAS'!K7</f>
        <v>0</v>
      </c>
    </row>
    <row r="7" spans="1:15" ht="17" thickTop="1" thickBot="1" x14ac:dyDescent="0.25">
      <c r="A7" s="11"/>
      <c r="B7" s="11"/>
      <c r="C7" s="11"/>
      <c r="D7" s="965" t="s">
        <v>711</v>
      </c>
      <c r="E7" s="965"/>
      <c r="F7" s="447">
        <f>'ANTROPOMETRÍA DEPORTISTAS'!B9</f>
        <v>186</v>
      </c>
      <c r="G7" s="447">
        <f>'ANTROPOMETRÍA DEPORTISTAS'!C9</f>
        <v>0</v>
      </c>
      <c r="H7" s="447">
        <f>'ANTROPOMETRÍA DEPORTISTAS'!D9</f>
        <v>0</v>
      </c>
      <c r="I7" s="447">
        <f>'ANTROPOMETRÍA DEPORTISTAS'!E9</f>
        <v>0</v>
      </c>
      <c r="J7" s="447">
        <f>'ANTROPOMETRÍA DEPORTISTAS'!F9</f>
        <v>0</v>
      </c>
      <c r="K7" s="447">
        <f>'ANTROPOMETRÍA DEPORTISTAS'!G9</f>
        <v>0</v>
      </c>
      <c r="L7" s="447">
        <f>'ANTROPOMETRÍA DEPORTISTAS'!H9</f>
        <v>0</v>
      </c>
      <c r="M7" s="447">
        <f>'ANTROPOMETRÍA DEPORTISTAS'!I9</f>
        <v>0</v>
      </c>
      <c r="N7" s="447">
        <f>'ANTROPOMETRÍA DEPORTISTAS'!J9</f>
        <v>0</v>
      </c>
      <c r="O7" s="447">
        <f>'ANTROPOMETRÍA DEPORTISTAS'!K9</f>
        <v>0</v>
      </c>
    </row>
    <row r="8" spans="1:15" ht="17" thickTop="1" thickBot="1" x14ac:dyDescent="0.25">
      <c r="A8" s="11"/>
      <c r="B8" s="11"/>
      <c r="C8" s="11"/>
      <c r="D8" s="952" t="str">
        <f>'ANTROPOMETRÍA DEPORTISTAS'!A52</f>
        <v xml:space="preserve"> % Grasa (Carter 1986)</v>
      </c>
      <c r="E8" s="952"/>
      <c r="F8" s="448">
        <f>'ANTROPOMETRÍA DEPORTISTAS'!B52</f>
        <v>10.730250000000002</v>
      </c>
      <c r="G8" s="448">
        <f>'ANTROPOMETRÍA DEPORTISTAS'!C52</f>
        <v>2.585</v>
      </c>
      <c r="H8" s="448">
        <f>'ANTROPOMETRÍA DEPORTISTAS'!D52</f>
        <v>2.585</v>
      </c>
      <c r="I8" s="448">
        <f>'ANTROPOMETRÍA DEPORTISTAS'!E52</f>
        <v>2.585</v>
      </c>
      <c r="J8" s="448">
        <f>'ANTROPOMETRÍA DEPORTISTAS'!F52</f>
        <v>2.585</v>
      </c>
      <c r="K8" s="448">
        <f>'ANTROPOMETRÍA DEPORTISTAS'!G52</f>
        <v>2.585</v>
      </c>
      <c r="L8" s="448">
        <f>'ANTROPOMETRÍA DEPORTISTAS'!H52</f>
        <v>2.585</v>
      </c>
      <c r="M8" s="448">
        <f>'ANTROPOMETRÍA DEPORTISTAS'!I52</f>
        <v>2.585</v>
      </c>
      <c r="N8" s="448">
        <f>'ANTROPOMETRÍA DEPORTISTAS'!J52</f>
        <v>2.585</v>
      </c>
      <c r="O8" s="448">
        <f>'ANTROPOMETRÍA DEPORTISTAS'!K52</f>
        <v>2.585</v>
      </c>
    </row>
    <row r="9" spans="1:15" ht="17" thickTop="1" thickBot="1" x14ac:dyDescent="0.25">
      <c r="A9" s="11"/>
      <c r="B9" s="11"/>
      <c r="C9" s="11"/>
      <c r="D9" s="952" t="str">
        <f>'ANTROPOMETRÍA DEPORTISTAS'!A53</f>
        <v>% Grasa (Durnin y W. 1974)</v>
      </c>
      <c r="E9" s="952"/>
      <c r="F9" s="448">
        <f>'ANTROPOMETRÍA DEPORTISTAS'!B53</f>
        <v>15.230088954945931</v>
      </c>
      <c r="G9" s="448" t="e">
        <f>'ANTROPOMETRÍA DEPORTISTAS'!C53</f>
        <v>#NUM!</v>
      </c>
      <c r="H9" s="448" t="e">
        <f>'ANTROPOMETRÍA DEPORTISTAS'!D53</f>
        <v>#NUM!</v>
      </c>
      <c r="I9" s="448" t="e">
        <f>'ANTROPOMETRÍA DEPORTISTAS'!E53</f>
        <v>#NUM!</v>
      </c>
      <c r="J9" s="448" t="e">
        <f>'ANTROPOMETRÍA DEPORTISTAS'!F53</f>
        <v>#N/A</v>
      </c>
      <c r="K9" s="448">
        <f>'ANTROPOMETRÍA DEPORTISTAS'!G53</f>
        <v>-2.1800000000000002</v>
      </c>
      <c r="L9" s="448">
        <f>'ANTROPOMETRÍA DEPORTISTAS'!H53</f>
        <v>-2.1800000000000002</v>
      </c>
      <c r="M9" s="448">
        <f>'ANTROPOMETRÍA DEPORTISTAS'!I53</f>
        <v>-2.1800000000000002</v>
      </c>
      <c r="N9" s="448">
        <f>'ANTROPOMETRÍA DEPORTISTAS'!J53</f>
        <v>-2.1800000000000002</v>
      </c>
      <c r="O9" s="448">
        <f>'ANTROPOMETRÍA DEPORTISTAS'!K53</f>
        <v>-2.1800000000000002</v>
      </c>
    </row>
    <row r="10" spans="1:15" ht="17" thickTop="1" thickBot="1" x14ac:dyDescent="0.25">
      <c r="A10" s="11"/>
      <c r="B10" s="11"/>
      <c r="C10" s="11"/>
      <c r="D10" s="953" t="s">
        <v>974</v>
      </c>
      <c r="E10" s="954"/>
      <c r="F10" s="511" t="str">
        <f>IF('ANTROPOMETRÍA DEPORTISTAS'!B53&lt;10, "Atleta", IF('ANTROPOMETRÍA DEPORTISTAS'!B53&lt;=20, "Saludable", IF('ANTROPOMETRÍA DEPORTISTAS'!B53&lt;=25, "Sobrepeso", "Obesidad")))</f>
        <v>Saludable</v>
      </c>
      <c r="G10" s="511" t="e">
        <f>IF('ANTROPOMETRÍA DEPORTISTAS'!C53&lt;10, "Atleta", IF('ANTROPOMETRÍA DEPORTISTAS'!C53&lt;=20, "Saludable", IF('ANTROPOMETRÍA DEPORTISTAS'!C53&lt;=25, "Sobrepeso", "Obesidad")))</f>
        <v>#NUM!</v>
      </c>
      <c r="H10" s="511"/>
      <c r="I10" s="511"/>
      <c r="J10" s="511"/>
      <c r="K10" s="511"/>
      <c r="L10" s="511"/>
      <c r="M10" s="511"/>
      <c r="N10" s="511"/>
      <c r="O10" s="511"/>
    </row>
    <row r="11" spans="1:15" ht="17" thickTop="1" thickBot="1" x14ac:dyDescent="0.25">
      <c r="A11" s="11"/>
      <c r="B11" s="11"/>
      <c r="C11" s="11"/>
      <c r="D11" s="962" t="s">
        <v>433</v>
      </c>
      <c r="E11" s="962"/>
      <c r="F11" s="447">
        <f>'ANTROPOMETRÍA DEPORTISTAS'!B58</f>
        <v>80.387409875000003</v>
      </c>
      <c r="G11" s="447">
        <f>'ANTROPOMETRÍA DEPORTISTAS'!C58</f>
        <v>0</v>
      </c>
      <c r="H11" s="447">
        <f>'ANTROPOMETRÍA DEPORTISTAS'!D58</f>
        <v>0</v>
      </c>
      <c r="I11" s="447">
        <f>'ANTROPOMETRÍA DEPORTISTAS'!E58</f>
        <v>0</v>
      </c>
      <c r="J11" s="447">
        <f>'ANTROPOMETRÍA DEPORTISTAS'!F58</f>
        <v>0</v>
      </c>
      <c r="K11" s="447">
        <f>'ANTROPOMETRÍA DEPORTISTAS'!G58</f>
        <v>0</v>
      </c>
      <c r="L11" s="447">
        <f>'ANTROPOMETRÍA DEPORTISTAS'!H58</f>
        <v>0</v>
      </c>
      <c r="M11" s="447">
        <f>'ANTROPOMETRÍA DEPORTISTAS'!I58</f>
        <v>0</v>
      </c>
      <c r="N11" s="447">
        <f>'ANTROPOMETRÍA DEPORTISTAS'!J58</f>
        <v>0</v>
      </c>
      <c r="O11" s="447">
        <f>'ANTROPOMETRÍA DEPORTISTAS'!K58</f>
        <v>0</v>
      </c>
    </row>
    <row r="12" spans="1:15" ht="17" thickTop="1" thickBot="1" x14ac:dyDescent="0.25">
      <c r="A12" s="11"/>
      <c r="B12" s="11"/>
      <c r="C12" s="11"/>
      <c r="D12" s="962" t="s">
        <v>434</v>
      </c>
      <c r="E12" s="962"/>
      <c r="F12" s="447">
        <f>'ANTROPOMETRÍA DEPORTISTAS'!B59</f>
        <v>9.6625901249999941</v>
      </c>
      <c r="G12" s="447">
        <f>'ANTROPOMETRÍA DEPORTISTAS'!C59</f>
        <v>0</v>
      </c>
      <c r="H12" s="447">
        <f>'ANTROPOMETRÍA DEPORTISTAS'!D59</f>
        <v>0</v>
      </c>
      <c r="I12" s="447">
        <f>'ANTROPOMETRÍA DEPORTISTAS'!E59</f>
        <v>0</v>
      </c>
      <c r="J12" s="447">
        <f>'ANTROPOMETRÍA DEPORTISTAS'!F59</f>
        <v>0</v>
      </c>
      <c r="K12" s="447">
        <f>'ANTROPOMETRÍA DEPORTISTAS'!G59</f>
        <v>0</v>
      </c>
      <c r="L12" s="447">
        <f>'ANTROPOMETRÍA DEPORTISTAS'!H59</f>
        <v>0</v>
      </c>
      <c r="M12" s="447">
        <f>'ANTROPOMETRÍA DEPORTISTAS'!I59</f>
        <v>0</v>
      </c>
      <c r="N12" s="447">
        <f>'ANTROPOMETRÍA DEPORTISTAS'!J59</f>
        <v>0</v>
      </c>
      <c r="O12" s="447">
        <f>'ANTROPOMETRÍA DEPORTISTAS'!K59</f>
        <v>0</v>
      </c>
    </row>
    <row r="13" spans="1:15" ht="17" thickTop="1" thickBot="1" x14ac:dyDescent="0.25">
      <c r="A13" s="11"/>
      <c r="B13" s="11"/>
      <c r="C13" s="11"/>
      <c r="D13" s="961" t="s">
        <v>488</v>
      </c>
      <c r="E13" s="961"/>
      <c r="F13" s="449">
        <f>'ANTROPOMETRÍA DEPORTISTAS'!B64</f>
        <v>51.016376676691834</v>
      </c>
      <c r="G13" s="449" t="e">
        <f>'ANTROPOMETRÍA DEPORTISTAS'!C64</f>
        <v>#DIV/0!</v>
      </c>
      <c r="H13" s="449" t="e">
        <f>'ANTROPOMETRÍA DEPORTISTAS'!D64</f>
        <v>#DIV/0!</v>
      </c>
      <c r="I13" s="449" t="e">
        <f>'ANTROPOMETRÍA DEPORTISTAS'!E64</f>
        <v>#DIV/0!</v>
      </c>
      <c r="J13" s="449" t="e">
        <f>'ANTROPOMETRÍA DEPORTISTAS'!F64</f>
        <v>#DIV/0!</v>
      </c>
      <c r="K13" s="449" t="e">
        <f>'ANTROPOMETRÍA DEPORTISTAS'!G64</f>
        <v>#DIV/0!</v>
      </c>
      <c r="L13" s="449" t="e">
        <f>'ANTROPOMETRÍA DEPORTISTAS'!H64</f>
        <v>#DIV/0!</v>
      </c>
      <c r="M13" s="449" t="e">
        <f>'ANTROPOMETRÍA DEPORTISTAS'!I64</f>
        <v>#DIV/0!</v>
      </c>
      <c r="N13" s="449" t="e">
        <f>'ANTROPOMETRÍA DEPORTISTAS'!J64</f>
        <v>#DIV/0!</v>
      </c>
      <c r="O13" s="449" t="e">
        <f>'ANTROPOMETRÍA DEPORTISTAS'!K64</f>
        <v>#DIV/0!</v>
      </c>
    </row>
    <row r="14" spans="1:15" ht="17" thickTop="1" thickBot="1" x14ac:dyDescent="0.25">
      <c r="A14" s="11"/>
      <c r="B14" s="11"/>
      <c r="C14" s="11"/>
      <c r="D14" s="962" t="s">
        <v>487</v>
      </c>
      <c r="E14" s="962"/>
      <c r="F14" s="447">
        <f>'ANTROPOMETRÍA DEPORTISTAS'!B63</f>
        <v>23.434141037417618</v>
      </c>
      <c r="G14" s="447" t="e">
        <f>'ANTROPOMETRÍA DEPORTISTAS'!C63</f>
        <v>#DIV/0!</v>
      </c>
      <c r="H14" s="447" t="e">
        <f>'ANTROPOMETRÍA DEPORTISTAS'!D63</f>
        <v>#DIV/0!</v>
      </c>
      <c r="I14" s="447" t="e">
        <f>'ANTROPOMETRÍA DEPORTISTAS'!E63</f>
        <v>#DIV/0!</v>
      </c>
      <c r="J14" s="447" t="e">
        <f>'ANTROPOMETRÍA DEPORTISTAS'!F63</f>
        <v>#DIV/0!</v>
      </c>
      <c r="K14" s="447" t="e">
        <f>'ANTROPOMETRÍA DEPORTISTAS'!G63</f>
        <v>#DIV/0!</v>
      </c>
      <c r="L14" s="447" t="e">
        <f>'ANTROPOMETRÍA DEPORTISTAS'!H63</f>
        <v>#DIV/0!</v>
      </c>
      <c r="M14" s="447" t="e">
        <f>'ANTROPOMETRÍA DEPORTISTAS'!I63</f>
        <v>#DIV/0!</v>
      </c>
      <c r="N14" s="447" t="e">
        <f>'ANTROPOMETRÍA DEPORTISTAS'!J63</f>
        <v>#DIV/0!</v>
      </c>
      <c r="O14" s="447" t="e">
        <f>'ANTROPOMETRÍA DEPORTISTAS'!K63</f>
        <v>#DIV/0!</v>
      </c>
    </row>
    <row r="15" spans="1:15" ht="17" thickTop="1" thickBot="1" x14ac:dyDescent="0.25">
      <c r="A15" s="11"/>
      <c r="B15" s="11"/>
      <c r="C15" s="11"/>
      <c r="D15" s="966" t="s">
        <v>708</v>
      </c>
      <c r="E15" s="966"/>
      <c r="F15" s="450">
        <f>'ANTROPOMETRÍA DEPORTISTAS'!B54</f>
        <v>77.5</v>
      </c>
      <c r="G15" s="450">
        <f>'ANTROPOMETRÍA DEPORTISTAS'!C54</f>
        <v>0</v>
      </c>
      <c r="H15" s="450">
        <f>'ANTROPOMETRÍA DEPORTISTAS'!D54</f>
        <v>0</v>
      </c>
      <c r="I15" s="450">
        <f>'ANTROPOMETRÍA DEPORTISTAS'!E54</f>
        <v>0</v>
      </c>
      <c r="J15" s="450">
        <f>'ANTROPOMETRÍA DEPORTISTAS'!F54</f>
        <v>0</v>
      </c>
      <c r="K15" s="450">
        <f>'ANTROPOMETRÍA DEPORTISTAS'!G54</f>
        <v>0</v>
      </c>
      <c r="L15" s="450">
        <f>'ANTROPOMETRÍA DEPORTISTAS'!H54</f>
        <v>0</v>
      </c>
      <c r="M15" s="450">
        <f>'ANTROPOMETRÍA DEPORTISTAS'!I54</f>
        <v>0</v>
      </c>
      <c r="N15" s="450">
        <f>'ANTROPOMETRÍA DEPORTISTAS'!J54</f>
        <v>0</v>
      </c>
      <c r="O15" s="450">
        <f>'ANTROPOMETRÍA DEPORTISTAS'!K54</f>
        <v>0</v>
      </c>
    </row>
    <row r="16" spans="1:15" ht="17" thickTop="1" thickBot="1" x14ac:dyDescent="0.25">
      <c r="A16" s="11"/>
      <c r="B16" s="11"/>
      <c r="C16" s="11"/>
      <c r="D16" s="967" t="s">
        <v>709</v>
      </c>
      <c r="E16" s="967"/>
      <c r="F16" s="447" t="str">
        <f>IF(AND('ANTROPOMETRÍA DEPORTISTAS'!B68&gt;'ANTROPOMETRÍA DEPORTISTAS'!B67, 'ANTROPOMETRÍA DEPORTISTAS'!B68&gt;'ANTROPOMETRÍA DEPORTISTAS'!B66), "Endomorfo", IF(AND('ANTROPOMETRÍA DEPORTISTAS'!B67&gt;'ANTROPOMETRÍA DEPORTISTAS'!B68, 'ANTROPOMETRÍA DEPORTISTAS'!B67&gt;'ANTROPOMETRÍA DEPORTISTAS'!B66), "Mesomorfo", IF(AND('ANTROPOMETRÍA DEPORTISTAS'!B66&gt;'ANTROPOMETRÍA DEPORTISTAS'!B68, 'ANTROPOMETRÍA DEPORTISTAS'!B66&gt;'ANTROPOMETRÍA DEPORTISTAS'!B67), "Ectomorfo", "Somatotipo Balanceado")))</f>
        <v>Mesomorfo</v>
      </c>
      <c r="G16" s="447"/>
      <c r="H16" s="447"/>
      <c r="I16" s="447"/>
      <c r="J16" s="447"/>
      <c r="K16" s="447"/>
      <c r="L16" s="447"/>
      <c r="M16" s="447"/>
      <c r="N16" s="447"/>
      <c r="O16" s="447"/>
    </row>
    <row r="17" spans="1:16" ht="17" thickTop="1" thickBot="1" x14ac:dyDescent="0.25">
      <c r="A17" s="11"/>
      <c r="B17" s="11"/>
      <c r="C17" s="11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</row>
    <row r="18" spans="1:16" ht="16" thickBot="1" x14ac:dyDescent="0.25">
      <c r="A18" s="11"/>
      <c r="B18" s="11"/>
      <c r="C18" s="11"/>
      <c r="D18" s="968" t="s">
        <v>432</v>
      </c>
      <c r="E18" s="969"/>
      <c r="F18" s="501">
        <v>1</v>
      </c>
      <c r="G18" s="501">
        <v>2</v>
      </c>
      <c r="H18" s="501">
        <v>3</v>
      </c>
      <c r="I18" s="501">
        <v>4</v>
      </c>
      <c r="J18" s="501">
        <v>5</v>
      </c>
      <c r="K18" s="501">
        <v>6</v>
      </c>
      <c r="L18" s="501">
        <v>7</v>
      </c>
      <c r="M18" s="501">
        <v>8</v>
      </c>
      <c r="N18" s="501">
        <v>9</v>
      </c>
      <c r="O18" s="501">
        <v>10</v>
      </c>
      <c r="P18" s="501">
        <v>11</v>
      </c>
    </row>
    <row r="19" spans="1:16" ht="16" thickBot="1" x14ac:dyDescent="0.25">
      <c r="A19" s="11"/>
      <c r="B19" s="11"/>
      <c r="C19" s="11"/>
      <c r="D19" s="970" t="s">
        <v>47</v>
      </c>
      <c r="E19" s="971"/>
      <c r="F19" s="503">
        <f>'5 COMPONENTES'!C2</f>
        <v>0</v>
      </c>
      <c r="G19" s="503">
        <f>'5 COMPONENTES'!D2</f>
        <v>0</v>
      </c>
      <c r="H19" s="503">
        <f>'5 COMPONENTES'!E2</f>
        <v>0</v>
      </c>
      <c r="I19" s="503">
        <f>'5 COMPONENTES'!F2</f>
        <v>0</v>
      </c>
      <c r="J19" s="503">
        <f>'5 COMPONENTES'!G2</f>
        <v>0</v>
      </c>
      <c r="K19" s="503">
        <f>'5 COMPONENTES'!H2</f>
        <v>0</v>
      </c>
      <c r="L19" s="503">
        <f>'5 COMPONENTES'!I2</f>
        <v>0</v>
      </c>
      <c r="M19" s="503">
        <f>'5 COMPONENTES'!J2</f>
        <v>0</v>
      </c>
      <c r="N19" s="503">
        <f>'5 COMPONENTES'!K2</f>
        <v>0</v>
      </c>
      <c r="O19" s="503">
        <f>'5 COMPONENTES'!L2</f>
        <v>0</v>
      </c>
      <c r="P19" s="503">
        <f>'5 COMPONENTES'!M2</f>
        <v>0</v>
      </c>
    </row>
    <row r="20" spans="1:16" ht="16" thickBot="1" x14ac:dyDescent="0.25">
      <c r="A20" s="11"/>
      <c r="B20" s="11"/>
      <c r="C20" s="11"/>
      <c r="D20" s="972" t="s">
        <v>710</v>
      </c>
      <c r="E20" s="973"/>
      <c r="F20" s="504">
        <f>'5 COMPONENTES'!C5</f>
        <v>0</v>
      </c>
      <c r="G20" s="504">
        <f>'5 COMPONENTES'!D5</f>
        <v>0</v>
      </c>
      <c r="H20" s="504">
        <f>'5 COMPONENTES'!E5</f>
        <v>0</v>
      </c>
      <c r="I20" s="504">
        <f>'5 COMPONENTES'!F5</f>
        <v>0</v>
      </c>
      <c r="J20" s="504">
        <f>'5 COMPONENTES'!G5</f>
        <v>0</v>
      </c>
      <c r="K20" s="504">
        <f>'5 COMPONENTES'!H5</f>
        <v>0</v>
      </c>
      <c r="L20" s="504">
        <f>'5 COMPONENTES'!I5</f>
        <v>0</v>
      </c>
      <c r="M20" s="504">
        <f>'5 COMPONENTES'!J5</f>
        <v>0</v>
      </c>
      <c r="N20" s="504">
        <f>'5 COMPONENTES'!K5</f>
        <v>0</v>
      </c>
      <c r="O20" s="504">
        <f>'5 COMPONENTES'!L5</f>
        <v>0</v>
      </c>
      <c r="P20" s="504">
        <f>'5 COMPONENTES'!M5</f>
        <v>0</v>
      </c>
    </row>
    <row r="21" spans="1:16" ht="16" thickBot="1" x14ac:dyDescent="0.25">
      <c r="A21" s="11"/>
      <c r="B21" s="11"/>
      <c r="C21" s="11"/>
      <c r="D21" s="974" t="s">
        <v>711</v>
      </c>
      <c r="E21" s="975"/>
      <c r="F21" s="504">
        <f>'5 COMPONENTES'!C6</f>
        <v>185</v>
      </c>
      <c r="G21" s="504">
        <f>'5 COMPONENTES'!D6</f>
        <v>185</v>
      </c>
      <c r="H21" s="504">
        <f>'5 COMPONENTES'!E6</f>
        <v>185</v>
      </c>
      <c r="I21" s="504">
        <f>'5 COMPONENTES'!F6</f>
        <v>185</v>
      </c>
      <c r="J21" s="504">
        <f>'5 COMPONENTES'!G6</f>
        <v>185</v>
      </c>
      <c r="K21" s="504">
        <f>'5 COMPONENTES'!H6</f>
        <v>185</v>
      </c>
      <c r="L21" s="504">
        <f>'5 COMPONENTES'!I6</f>
        <v>185</v>
      </c>
      <c r="M21" s="504">
        <f>'5 COMPONENTES'!J6</f>
        <v>185</v>
      </c>
      <c r="N21" s="504">
        <f>'5 COMPONENTES'!K6</f>
        <v>185</v>
      </c>
      <c r="O21" s="504">
        <f>'5 COMPONENTES'!L6</f>
        <v>185</v>
      </c>
      <c r="P21" s="504">
        <f>'5 COMPONENTES'!M6</f>
        <v>0</v>
      </c>
    </row>
    <row r="22" spans="1:16" ht="16" thickBot="1" x14ac:dyDescent="0.25">
      <c r="A22" s="11"/>
      <c r="B22" s="11"/>
      <c r="C22" s="11"/>
      <c r="D22" s="976" t="s">
        <v>707</v>
      </c>
      <c r="E22" s="977"/>
      <c r="F22" s="505">
        <f>'5 COMPONENTES'!C80</f>
        <v>2.585</v>
      </c>
      <c r="G22" s="505">
        <f>'5 COMPONENTES'!D80</f>
        <v>2.585</v>
      </c>
      <c r="H22" s="505">
        <f>'5 COMPONENTES'!E80</f>
        <v>2.585</v>
      </c>
      <c r="I22" s="505">
        <f>'5 COMPONENTES'!F80</f>
        <v>2.585</v>
      </c>
      <c r="J22" s="505">
        <f>'5 COMPONENTES'!G80</f>
        <v>2.585</v>
      </c>
      <c r="K22" s="505">
        <f>'5 COMPONENTES'!H80</f>
        <v>2.585</v>
      </c>
      <c r="L22" s="505">
        <f>'5 COMPONENTES'!I80</f>
        <v>2.585</v>
      </c>
      <c r="M22" s="505">
        <f>'5 COMPONENTES'!J80</f>
        <v>2.585</v>
      </c>
      <c r="N22" s="505">
        <f>'5 COMPONENTES'!K80</f>
        <v>2.585</v>
      </c>
      <c r="O22" s="505">
        <f>'5 COMPONENTES'!L80</f>
        <v>2.585</v>
      </c>
      <c r="P22" s="505">
        <f>'5 COMPONENTES'!M80</f>
        <v>0</v>
      </c>
    </row>
    <row r="23" spans="1:16" ht="16" thickBot="1" x14ac:dyDescent="0.25">
      <c r="A23" s="11"/>
      <c r="B23" s="11"/>
      <c r="C23" s="11"/>
      <c r="D23" s="978" t="s">
        <v>433</v>
      </c>
      <c r="E23" s="979"/>
      <c r="F23" s="504">
        <f>'5 COMPONENTES'!C82</f>
        <v>0</v>
      </c>
      <c r="G23" s="504">
        <f>'5 COMPONENTES'!D82</f>
        <v>0</v>
      </c>
      <c r="H23" s="504">
        <f>'5 COMPONENTES'!E82</f>
        <v>0</v>
      </c>
      <c r="I23" s="504">
        <f>'5 COMPONENTES'!F82</f>
        <v>0</v>
      </c>
      <c r="J23" s="504">
        <f>'5 COMPONENTES'!G82</f>
        <v>0</v>
      </c>
      <c r="K23" s="504">
        <f>'5 COMPONENTES'!H82</f>
        <v>0</v>
      </c>
      <c r="L23" s="504">
        <f>'5 COMPONENTES'!I82</f>
        <v>0</v>
      </c>
      <c r="M23" s="504">
        <f>'5 COMPONENTES'!J82</f>
        <v>0</v>
      </c>
      <c r="N23" s="504">
        <f>'5 COMPONENTES'!K82</f>
        <v>0</v>
      </c>
      <c r="O23" s="504">
        <f>'5 COMPONENTES'!L82</f>
        <v>0</v>
      </c>
      <c r="P23" s="504">
        <f>'5 COMPONENTES'!M82</f>
        <v>0</v>
      </c>
    </row>
    <row r="24" spans="1:16" ht="16" thickBot="1" x14ac:dyDescent="0.25">
      <c r="A24" s="11"/>
      <c r="B24" s="11"/>
      <c r="C24" s="11"/>
      <c r="D24" s="980" t="s">
        <v>434</v>
      </c>
      <c r="E24" s="981"/>
      <c r="F24" s="504">
        <f>'5 COMPONENTES'!C83</f>
        <v>0</v>
      </c>
      <c r="G24" s="504">
        <f>'5 COMPONENTES'!D83</f>
        <v>0</v>
      </c>
      <c r="H24" s="504">
        <f>'5 COMPONENTES'!E83</f>
        <v>0</v>
      </c>
      <c r="I24" s="504">
        <f>'5 COMPONENTES'!F83</f>
        <v>0</v>
      </c>
      <c r="J24" s="504">
        <f>'5 COMPONENTES'!G83</f>
        <v>0</v>
      </c>
      <c r="K24" s="504">
        <f>'5 COMPONENTES'!H83</f>
        <v>0</v>
      </c>
      <c r="L24" s="504">
        <f>'5 COMPONENTES'!I83</f>
        <v>0</v>
      </c>
      <c r="M24" s="504">
        <f>'5 COMPONENTES'!J83</f>
        <v>0</v>
      </c>
      <c r="N24" s="504">
        <f>'5 COMPONENTES'!K83</f>
        <v>0</v>
      </c>
      <c r="O24" s="504">
        <f>'5 COMPONENTES'!L83</f>
        <v>0</v>
      </c>
      <c r="P24" s="504">
        <f>'5 COMPONENTES'!M83</f>
        <v>0</v>
      </c>
    </row>
    <row r="25" spans="1:16" ht="16" thickBot="1" x14ac:dyDescent="0.25">
      <c r="A25" s="11"/>
      <c r="B25" s="11"/>
      <c r="C25" s="11"/>
      <c r="D25" s="982" t="s">
        <v>970</v>
      </c>
      <c r="E25" s="983"/>
      <c r="F25" s="506">
        <f>'5 COMPONENTES'!C66</f>
        <v>0</v>
      </c>
      <c r="G25" s="506">
        <f>'5 COMPONENTES'!D66</f>
        <v>0</v>
      </c>
      <c r="H25" s="506">
        <f>'5 COMPONENTES'!E66</f>
        <v>0</v>
      </c>
      <c r="I25" s="506">
        <f>'5 COMPONENTES'!F66</f>
        <v>0</v>
      </c>
      <c r="J25" s="506">
        <f>'5 COMPONENTES'!G66</f>
        <v>0</v>
      </c>
      <c r="K25" s="506">
        <f>'5 COMPONENTES'!H66</f>
        <v>0</v>
      </c>
      <c r="L25" s="506">
        <f>'5 COMPONENTES'!I66</f>
        <v>0</v>
      </c>
      <c r="M25" s="506">
        <f>'5 COMPONENTES'!J66</f>
        <v>0</v>
      </c>
      <c r="N25" s="506">
        <f>'5 COMPONENTES'!K66</f>
        <v>0</v>
      </c>
      <c r="O25" s="506">
        <f>'5 COMPONENTES'!L66</f>
        <v>0</v>
      </c>
      <c r="P25" s="506">
        <f>'5 COMPONENTES'!M66</f>
        <v>0</v>
      </c>
    </row>
    <row r="26" spans="1:16" ht="16" thickBot="1" x14ac:dyDescent="0.25">
      <c r="A26" s="11"/>
      <c r="B26" s="11"/>
      <c r="C26" s="11"/>
      <c r="D26" s="984" t="s">
        <v>905</v>
      </c>
      <c r="E26" s="985"/>
      <c r="F26" s="507">
        <f>'5 COMPONENTES'!C64</f>
        <v>0</v>
      </c>
      <c r="G26" s="507">
        <f>'5 COMPONENTES'!D64</f>
        <v>0</v>
      </c>
      <c r="H26" s="507">
        <f>'5 COMPONENTES'!E64</f>
        <v>0</v>
      </c>
      <c r="I26" s="507">
        <f>'5 COMPONENTES'!F64</f>
        <v>0</v>
      </c>
      <c r="J26" s="507">
        <f>'5 COMPONENTES'!G64</f>
        <v>0</v>
      </c>
      <c r="K26" s="507">
        <f>'5 COMPONENTES'!H64</f>
        <v>0</v>
      </c>
      <c r="L26" s="507">
        <f>'5 COMPONENTES'!I64</f>
        <v>0</v>
      </c>
      <c r="M26" s="507">
        <f>'5 COMPONENTES'!J64</f>
        <v>0</v>
      </c>
      <c r="N26" s="507">
        <f>'5 COMPONENTES'!K64</f>
        <v>0</v>
      </c>
      <c r="O26" s="507">
        <f>'5 COMPONENTES'!L64</f>
        <v>0</v>
      </c>
      <c r="P26" s="507">
        <f>'5 COMPONENTES'!M64</f>
        <v>0</v>
      </c>
    </row>
    <row r="27" spans="1:16" ht="16" thickBot="1" x14ac:dyDescent="0.25">
      <c r="A27" s="11"/>
      <c r="B27" s="11"/>
      <c r="C27" s="11"/>
      <c r="D27" s="980" t="s">
        <v>908</v>
      </c>
      <c r="E27" s="981"/>
      <c r="F27" s="507">
        <f>'5 COMPONENTES'!C67</f>
        <v>0</v>
      </c>
      <c r="G27" s="507">
        <f>'5 COMPONENTES'!D67</f>
        <v>0</v>
      </c>
      <c r="H27" s="507">
        <f>'5 COMPONENTES'!E67</f>
        <v>0</v>
      </c>
      <c r="I27" s="507">
        <f>'5 COMPONENTES'!F67</f>
        <v>0</v>
      </c>
      <c r="J27" s="507">
        <f>'5 COMPONENTES'!G67</f>
        <v>0</v>
      </c>
      <c r="K27" s="507">
        <f>'5 COMPONENTES'!H67</f>
        <v>0</v>
      </c>
      <c r="L27" s="507">
        <f>'5 COMPONENTES'!I67</f>
        <v>0</v>
      </c>
      <c r="M27" s="507">
        <f>'5 COMPONENTES'!J67</f>
        <v>0</v>
      </c>
      <c r="N27" s="507">
        <f>'5 COMPONENTES'!K67</f>
        <v>0</v>
      </c>
      <c r="O27" s="507">
        <f>'5 COMPONENTES'!L67</f>
        <v>0</v>
      </c>
      <c r="P27" s="507">
        <f>'5 COMPONENTES'!M67</f>
        <v>0</v>
      </c>
    </row>
    <row r="28" spans="1:16" ht="16" thickBot="1" x14ac:dyDescent="0.25">
      <c r="A28" s="11"/>
      <c r="B28" s="11"/>
      <c r="C28" s="11"/>
      <c r="D28" s="986" t="str">
        <f>'5 COMPONENTES'!B63</f>
        <v>Masa de la piel (Kg)</v>
      </c>
      <c r="E28" s="987"/>
      <c r="F28" s="507">
        <f>'5 COMPONENTES'!C63</f>
        <v>0</v>
      </c>
      <c r="G28" s="507">
        <f>'5 COMPONENTES'!D63</f>
        <v>0</v>
      </c>
      <c r="H28" s="507">
        <f>'5 COMPONENTES'!E63</f>
        <v>0</v>
      </c>
      <c r="I28" s="507">
        <f>'5 COMPONENTES'!F63</f>
        <v>0</v>
      </c>
      <c r="J28" s="507">
        <f>'5 COMPONENTES'!G63</f>
        <v>0</v>
      </c>
      <c r="K28" s="507">
        <f>'5 COMPONENTES'!H63</f>
        <v>0</v>
      </c>
      <c r="L28" s="507">
        <f>'5 COMPONENTES'!I63</f>
        <v>0</v>
      </c>
      <c r="M28" s="507">
        <f>'5 COMPONENTES'!J63</f>
        <v>0</v>
      </c>
      <c r="N28" s="507">
        <f>'5 COMPONENTES'!K63</f>
        <v>0</v>
      </c>
      <c r="O28" s="507">
        <f>'5 COMPONENTES'!L63</f>
        <v>0</v>
      </c>
      <c r="P28" s="507">
        <f>'5 COMPONENTES'!M63</f>
        <v>0</v>
      </c>
    </row>
    <row r="29" spans="1:16" ht="16" thickBot="1" x14ac:dyDescent="0.25">
      <c r="A29" s="11"/>
      <c r="B29" s="11"/>
      <c r="C29" s="11"/>
      <c r="D29" s="988" t="s">
        <v>487</v>
      </c>
      <c r="E29" s="989"/>
      <c r="F29" s="508">
        <f>'5 COMPONENTES'!C65</f>
        <v>0</v>
      </c>
      <c r="G29" s="508">
        <f>'5 COMPONENTES'!D65</f>
        <v>0</v>
      </c>
      <c r="H29" s="508">
        <f>'5 COMPONENTES'!E65</f>
        <v>0</v>
      </c>
      <c r="I29" s="508">
        <f>'5 COMPONENTES'!F65</f>
        <v>0</v>
      </c>
      <c r="J29" s="508">
        <f>'5 COMPONENTES'!G65</f>
        <v>0</v>
      </c>
      <c r="K29" s="508">
        <f>'5 COMPONENTES'!H65</f>
        <v>0</v>
      </c>
      <c r="L29" s="508">
        <f>'5 COMPONENTES'!I65</f>
        <v>0</v>
      </c>
      <c r="M29" s="508">
        <f>'5 COMPONENTES'!J65</f>
        <v>0</v>
      </c>
      <c r="N29" s="508">
        <f>'5 COMPONENTES'!K65</f>
        <v>0</v>
      </c>
      <c r="O29" s="508">
        <f>'5 COMPONENTES'!L65</f>
        <v>0</v>
      </c>
      <c r="P29" s="508">
        <f>'5 COMPONENTES'!M65</f>
        <v>0</v>
      </c>
    </row>
    <row r="30" spans="1:16" ht="16" thickBot="1" x14ac:dyDescent="0.25">
      <c r="A30" s="11"/>
      <c r="B30" s="11"/>
      <c r="C30" s="11"/>
      <c r="D30" s="955" t="s">
        <v>708</v>
      </c>
      <c r="E30" s="956"/>
      <c r="F30" s="509">
        <f>'5 COMPONENTES'!C70</f>
        <v>0</v>
      </c>
      <c r="G30" s="509">
        <f>'5 COMPONENTES'!D70</f>
        <v>0</v>
      </c>
      <c r="H30" s="509">
        <f>'5 COMPONENTES'!E70</f>
        <v>0</v>
      </c>
      <c r="I30" s="509">
        <f>'5 COMPONENTES'!F70</f>
        <v>0</v>
      </c>
      <c r="J30" s="509">
        <f>'5 COMPONENTES'!G70</f>
        <v>0</v>
      </c>
      <c r="K30" s="509">
        <f>'5 COMPONENTES'!H70</f>
        <v>0</v>
      </c>
      <c r="L30" s="509">
        <f>'5 COMPONENTES'!I70</f>
        <v>0</v>
      </c>
      <c r="M30" s="509">
        <f>'5 COMPONENTES'!J70</f>
        <v>0</v>
      </c>
      <c r="N30" s="509">
        <f>'5 COMPONENTES'!K70</f>
        <v>0</v>
      </c>
      <c r="O30" s="509">
        <f>'5 COMPONENTES'!L70</f>
        <v>0</v>
      </c>
      <c r="P30" s="509">
        <f>'5 COMPONENTES'!M70</f>
        <v>0</v>
      </c>
    </row>
    <row r="31" spans="1:16" ht="16" thickBot="1" x14ac:dyDescent="0.25">
      <c r="A31" s="11"/>
      <c r="B31" s="11"/>
      <c r="C31" s="11"/>
      <c r="D31" s="957" t="s">
        <v>709</v>
      </c>
      <c r="E31" s="958"/>
      <c r="F31" s="510" t="s">
        <v>963</v>
      </c>
      <c r="G31" s="510" t="s">
        <v>963</v>
      </c>
      <c r="H31" s="510" t="s">
        <v>963</v>
      </c>
      <c r="I31" s="510" t="s">
        <v>963</v>
      </c>
      <c r="J31" s="510" t="s">
        <v>963</v>
      </c>
      <c r="K31" s="510" t="s">
        <v>963</v>
      </c>
      <c r="L31" s="510" t="s">
        <v>963</v>
      </c>
      <c r="M31" s="510" t="s">
        <v>963</v>
      </c>
      <c r="N31" s="510" t="s">
        <v>963</v>
      </c>
      <c r="O31" s="510" t="s">
        <v>963</v>
      </c>
      <c r="P31" s="510" t="s">
        <v>963</v>
      </c>
    </row>
    <row r="32" spans="1:16" ht="16" thickBot="1" x14ac:dyDescent="0.25">
      <c r="A32" s="11"/>
      <c r="B32" s="11"/>
      <c r="C32" s="11"/>
      <c r="D32" s="959" t="s">
        <v>922</v>
      </c>
      <c r="E32" s="960"/>
      <c r="F32" s="502">
        <f>'5 COMPONENTES'!C71</f>
        <v>2.4024573640718772</v>
      </c>
      <c r="G32" s="502">
        <f>'5 COMPONENTES'!D71</f>
        <v>2.4024573640718772</v>
      </c>
      <c r="H32" s="502">
        <f>'5 COMPONENTES'!E71</f>
        <v>2.4024573640718772</v>
      </c>
      <c r="I32" s="502">
        <f>'5 COMPONENTES'!F71</f>
        <v>2.4024573640718772</v>
      </c>
      <c r="J32" s="502">
        <f>'5 COMPONENTES'!G71</f>
        <v>2.4024573640718772</v>
      </c>
      <c r="K32" s="502">
        <f>'5 COMPONENTES'!H71</f>
        <v>2.4024573640718772</v>
      </c>
      <c r="L32" s="502">
        <f>'5 COMPONENTES'!I71</f>
        <v>2.4024573640718772</v>
      </c>
      <c r="M32" s="502">
        <f>'5 COMPONENTES'!J71</f>
        <v>2.4024573640718772</v>
      </c>
      <c r="N32" s="502">
        <f>'5 COMPONENTES'!K71</f>
        <v>2.4024573640718772</v>
      </c>
      <c r="O32" s="502">
        <f>'5 COMPONENTES'!L71</f>
        <v>2.4024573640718772</v>
      </c>
      <c r="P32" s="502">
        <f>'5 COMPONENTES'!M71</f>
        <v>0</v>
      </c>
    </row>
    <row r="33" spans="1:16" x14ac:dyDescent="0.2">
      <c r="A33" s="11"/>
      <c r="B33" s="11"/>
      <c r="C33" s="11"/>
      <c r="D33" s="499"/>
      <c r="E33" s="499"/>
      <c r="F33" s="499"/>
      <c r="G33" s="499"/>
      <c r="H33" s="499"/>
      <c r="I33" s="499"/>
      <c r="J33" s="499"/>
      <c r="K33" s="499"/>
      <c r="L33" s="499"/>
      <c r="M33" s="499"/>
      <c r="N33" s="499"/>
      <c r="O33" s="499"/>
      <c r="P33" s="500"/>
    </row>
    <row r="34" spans="1:16" x14ac:dyDescent="0.2">
      <c r="A34" s="11"/>
      <c r="B34" s="11"/>
      <c r="C34" s="11"/>
      <c r="D34" s="963" t="s">
        <v>714</v>
      </c>
      <c r="E34" s="963"/>
      <c r="F34" s="963"/>
      <c r="G34" s="963"/>
      <c r="H34" s="963"/>
      <c r="I34" s="963"/>
      <c r="J34" s="963"/>
      <c r="K34" s="963"/>
      <c r="L34" s="963"/>
      <c r="M34" s="963"/>
      <c r="N34" s="963"/>
      <c r="O34" s="963"/>
    </row>
    <row r="35" spans="1:16" x14ac:dyDescent="0.2">
      <c r="A35" s="11"/>
      <c r="B35" s="11"/>
      <c r="C35" s="11"/>
      <c r="D35" s="963"/>
      <c r="E35" s="963"/>
      <c r="F35" s="963"/>
      <c r="G35" s="963"/>
      <c r="H35" s="963"/>
      <c r="I35" s="963"/>
      <c r="J35" s="963"/>
      <c r="K35" s="963"/>
      <c r="L35" s="963"/>
      <c r="M35" s="963"/>
      <c r="N35" s="963"/>
      <c r="O35" s="963"/>
    </row>
    <row r="36" spans="1:16" x14ac:dyDescent="0.2">
      <c r="A36" s="11"/>
      <c r="B36" s="11"/>
      <c r="C36" s="11"/>
      <c r="E36" s="513" t="str">
        <f>'ANTROPOMETRÍA DEPORTISTAS'!A6</f>
        <v>Fecha de evaluación</v>
      </c>
      <c r="F36" s="514">
        <f>'ANTROPOMETRÍA DEPORTISTAS'!B6</f>
        <v>45994</v>
      </c>
      <c r="G36" s="514">
        <f>'ANTROPOMETRÍA DEPORTISTAS'!C6</f>
        <v>0</v>
      </c>
      <c r="H36" s="514">
        <f>'ANTROPOMETRÍA DEPORTISTAS'!D6</f>
        <v>0</v>
      </c>
      <c r="I36" s="514">
        <f>'ANTROPOMETRÍA DEPORTISTAS'!E6</f>
        <v>0</v>
      </c>
      <c r="J36" s="514">
        <f>'ANTROPOMETRÍA DEPORTISTAS'!F6</f>
        <v>0</v>
      </c>
      <c r="K36" s="514">
        <f>'ANTROPOMETRÍA DEPORTISTAS'!G6</f>
        <v>0</v>
      </c>
      <c r="L36" s="219"/>
      <c r="M36" s="219"/>
    </row>
    <row r="37" spans="1:16" x14ac:dyDescent="0.2">
      <c r="A37" s="11"/>
      <c r="B37" s="11"/>
      <c r="C37" s="11"/>
      <c r="E37" s="512" t="str">
        <f>'ANTROPOMETRÍA DEPORTISTAS'!A7</f>
        <v>Peso actual (kg)</v>
      </c>
      <c r="F37" s="512">
        <f>'ANTROPOMETRÍA DEPORTISTAS'!B7</f>
        <v>90.05</v>
      </c>
      <c r="G37" s="512">
        <f>'ANTROPOMETRÍA DEPORTISTAS'!C7</f>
        <v>0</v>
      </c>
      <c r="H37" s="512">
        <f>'ANTROPOMETRÍA DEPORTISTAS'!D7</f>
        <v>0</v>
      </c>
      <c r="I37" s="512">
        <f>'ANTROPOMETRÍA DEPORTISTAS'!E7</f>
        <v>0</v>
      </c>
      <c r="J37" s="512">
        <f>'ANTROPOMETRÍA DEPORTISTAS'!F7</f>
        <v>0</v>
      </c>
      <c r="K37" s="512">
        <f>'ANTROPOMETRÍA DEPORTISTAS'!G7</f>
        <v>0</v>
      </c>
      <c r="L37" s="219"/>
      <c r="M37" s="219"/>
    </row>
    <row r="38" spans="1:16" x14ac:dyDescent="0.2">
      <c r="A38" s="11"/>
      <c r="B38" s="11"/>
      <c r="C38" s="11"/>
      <c r="E38" s="512" t="str">
        <f>'ANTROPOMETRÍA DEPORTISTAS'!A8</f>
        <v>Talla (m)</v>
      </c>
      <c r="F38" s="512">
        <f>'ANTROPOMETRÍA DEPORTISTAS'!B8</f>
        <v>1.86</v>
      </c>
      <c r="G38" s="512">
        <f>'ANTROPOMETRÍA DEPORTISTAS'!C8</f>
        <v>0</v>
      </c>
      <c r="H38" s="512">
        <f>'ANTROPOMETRÍA DEPORTISTAS'!D8</f>
        <v>0</v>
      </c>
      <c r="I38" s="512">
        <f>'ANTROPOMETRÍA DEPORTISTAS'!E8</f>
        <v>0</v>
      </c>
      <c r="J38" s="512">
        <f>'ANTROPOMETRÍA DEPORTISTAS'!F8</f>
        <v>0</v>
      </c>
      <c r="K38" s="512">
        <f>'ANTROPOMETRÍA DEPORTISTAS'!G8</f>
        <v>0</v>
      </c>
      <c r="L38" s="219"/>
      <c r="M38" s="219"/>
    </row>
    <row r="39" spans="1:16" x14ac:dyDescent="0.2">
      <c r="A39" s="11"/>
      <c r="B39" s="11"/>
      <c r="C39" s="11"/>
      <c r="E39" s="512" t="str">
        <f>'ANTROPOMETRÍA DEPORTISTAS'!A9</f>
        <v>Talla (cm)</v>
      </c>
      <c r="F39" s="512">
        <f>'ANTROPOMETRÍA DEPORTISTAS'!B9</f>
        <v>186</v>
      </c>
      <c r="G39" s="512">
        <f>'ANTROPOMETRÍA DEPORTISTAS'!C9</f>
        <v>0</v>
      </c>
      <c r="H39" s="512">
        <f>'ANTROPOMETRÍA DEPORTISTAS'!D9</f>
        <v>0</v>
      </c>
      <c r="I39" s="512">
        <f>'ANTROPOMETRÍA DEPORTISTAS'!E9</f>
        <v>0</v>
      </c>
      <c r="J39" s="512">
        <f>'ANTROPOMETRÍA DEPORTISTAS'!F9</f>
        <v>0</v>
      </c>
      <c r="K39" s="512">
        <f>'ANTROPOMETRÍA DEPORTISTAS'!G9</f>
        <v>0</v>
      </c>
      <c r="L39" s="219"/>
      <c r="M39" s="219"/>
    </row>
    <row r="40" spans="1:16" x14ac:dyDescent="0.2">
      <c r="A40" s="11"/>
      <c r="B40" s="11"/>
      <c r="C40" s="11"/>
      <c r="E40" s="515" t="str">
        <f>'ANTROPOMETRÍA DEPORTISTAS'!A11</f>
        <v>Circunferencias(cm)</v>
      </c>
      <c r="F40" s="513"/>
      <c r="G40" s="513"/>
      <c r="H40" s="513"/>
      <c r="I40" s="513"/>
      <c r="J40" s="513"/>
      <c r="K40" s="513"/>
      <c r="L40" s="219"/>
      <c r="M40" s="219"/>
    </row>
    <row r="41" spans="1:16" x14ac:dyDescent="0.2">
      <c r="A41" s="11"/>
      <c r="B41" s="11"/>
      <c r="C41" s="11"/>
      <c r="E41" s="219" t="str">
        <f>'ANTROPOMETRÍA DEPORTISTAS'!A12</f>
        <v>Brazo relajado (cm)</v>
      </c>
      <c r="F41" s="516">
        <f>'ANTROPOMETRÍA DEPORTISTAS'!B12</f>
        <v>39.1</v>
      </c>
      <c r="G41" s="512">
        <f>'ANTROPOMETRÍA DEPORTISTAS'!C12</f>
        <v>0</v>
      </c>
      <c r="H41" s="512">
        <f>'ANTROPOMETRÍA DEPORTISTAS'!D12</f>
        <v>0</v>
      </c>
      <c r="I41" s="512">
        <f>'ANTROPOMETRÍA DEPORTISTAS'!E12</f>
        <v>0</v>
      </c>
      <c r="J41" s="512">
        <f>'ANTROPOMETRÍA DEPORTISTAS'!F12</f>
        <v>0</v>
      </c>
      <c r="K41" s="512">
        <f>'ANTROPOMETRÍA DEPORTISTAS'!G12</f>
        <v>0</v>
      </c>
      <c r="L41" s="219"/>
      <c r="M41" s="219"/>
    </row>
    <row r="42" spans="1:16" x14ac:dyDescent="0.2">
      <c r="A42" s="11"/>
      <c r="B42" s="11"/>
      <c r="C42" s="11"/>
      <c r="E42" s="219" t="str">
        <f>'ANTROPOMETRÍA DEPORTISTAS'!A13</f>
        <v>Brazo Flexionado en Tensión (cm)</v>
      </c>
      <c r="F42" s="512">
        <f>'ANTROPOMETRÍA DEPORTISTAS'!B13</f>
        <v>41.5</v>
      </c>
      <c r="G42" s="512">
        <f>'ANTROPOMETRÍA DEPORTISTAS'!C13</f>
        <v>0</v>
      </c>
      <c r="H42" s="512">
        <f>'ANTROPOMETRÍA DEPORTISTAS'!D13</f>
        <v>0</v>
      </c>
      <c r="I42" s="512">
        <f>'ANTROPOMETRÍA DEPORTISTAS'!E13</f>
        <v>0</v>
      </c>
      <c r="J42" s="512">
        <f>'ANTROPOMETRÍA DEPORTISTAS'!F13</f>
        <v>0</v>
      </c>
      <c r="K42" s="512">
        <f>'ANTROPOMETRÍA DEPORTISTAS'!G13</f>
        <v>0</v>
      </c>
      <c r="L42" s="219"/>
      <c r="M42" s="219"/>
    </row>
    <row r="43" spans="1:16" x14ac:dyDescent="0.2">
      <c r="A43" s="11"/>
      <c r="B43" s="11"/>
      <c r="C43" s="11"/>
      <c r="E43" s="219" t="str">
        <f>'ANTROPOMETRÍA DEPORTISTAS'!A14</f>
        <v>Antebrazo máximo (cm)</v>
      </c>
      <c r="F43" s="512">
        <f>'ANTROPOMETRÍA DEPORTISTAS'!B14</f>
        <v>31</v>
      </c>
      <c r="G43" s="512">
        <f>'ANTROPOMETRÍA DEPORTISTAS'!C14</f>
        <v>0</v>
      </c>
      <c r="H43" s="512">
        <f>'ANTROPOMETRÍA DEPORTISTAS'!D14</f>
        <v>0</v>
      </c>
      <c r="I43" s="512">
        <f>'ANTROPOMETRÍA DEPORTISTAS'!E14</f>
        <v>0</v>
      </c>
      <c r="J43" s="512">
        <f>'ANTROPOMETRÍA DEPORTISTAS'!F14</f>
        <v>0</v>
      </c>
      <c r="K43" s="512">
        <f>'ANTROPOMETRÍA DEPORTISTAS'!G14</f>
        <v>0</v>
      </c>
      <c r="L43" s="219"/>
      <c r="M43" s="219"/>
    </row>
    <row r="44" spans="1:16" x14ac:dyDescent="0.2">
      <c r="A44" s="11"/>
      <c r="B44" s="11"/>
      <c r="C44" s="11"/>
      <c r="E44" s="219" t="str">
        <f>'ANTROPOMETRÍA DEPORTISTAS'!A15</f>
        <v>Tórax (Mesoesternal) (cm)</v>
      </c>
      <c r="F44" s="512">
        <f>'ANTROPOMETRÍA DEPORTISTAS'!B15</f>
        <v>108</v>
      </c>
      <c r="G44" s="512">
        <f>'ANTROPOMETRÍA DEPORTISTAS'!C15</f>
        <v>0</v>
      </c>
      <c r="H44" s="512">
        <f>'ANTROPOMETRÍA DEPORTISTAS'!D15</f>
        <v>0</v>
      </c>
      <c r="I44" s="512">
        <f>'ANTROPOMETRÍA DEPORTISTAS'!E15</f>
        <v>0</v>
      </c>
      <c r="J44" s="512">
        <f>'ANTROPOMETRÍA DEPORTISTAS'!F15</f>
        <v>0</v>
      </c>
      <c r="K44" s="512">
        <f>'ANTROPOMETRÍA DEPORTISTAS'!G15</f>
        <v>0</v>
      </c>
      <c r="L44" s="219"/>
      <c r="M44" s="219"/>
    </row>
    <row r="45" spans="1:16" x14ac:dyDescent="0.2">
      <c r="A45" s="11"/>
      <c r="B45" s="11"/>
      <c r="C45" s="11"/>
      <c r="E45" s="219" t="str">
        <f>'ANTROPOMETRÍA DEPORTISTAS'!A16</f>
        <v>Cintura mínimo (cm)</v>
      </c>
      <c r="F45" s="512">
        <f>'ANTROPOMETRÍA DEPORTISTAS'!B16</f>
        <v>85</v>
      </c>
      <c r="G45" s="512">
        <f>'ANTROPOMETRÍA DEPORTISTAS'!C16</f>
        <v>0</v>
      </c>
      <c r="H45" s="512">
        <f>'ANTROPOMETRÍA DEPORTISTAS'!D16</f>
        <v>0</v>
      </c>
      <c r="I45" s="512">
        <f>'ANTROPOMETRÍA DEPORTISTAS'!E16</f>
        <v>0</v>
      </c>
      <c r="J45" s="512">
        <f>'ANTROPOMETRÍA DEPORTISTAS'!F16</f>
        <v>0</v>
      </c>
      <c r="K45" s="512">
        <f>'ANTROPOMETRÍA DEPORTISTAS'!G16</f>
        <v>0</v>
      </c>
      <c r="L45" s="219"/>
      <c r="M45" s="219"/>
    </row>
    <row r="46" spans="1:16" x14ac:dyDescent="0.2">
      <c r="A46" s="11"/>
      <c r="B46" s="11"/>
      <c r="C46" s="11"/>
      <c r="E46" s="219" t="str">
        <f>'ANTROPOMETRÍA DEPORTISTAS'!A17</f>
        <v>Cadera máximo (cm)</v>
      </c>
      <c r="F46" s="512">
        <f>'ANTROPOMETRÍA DEPORTISTAS'!B17</f>
        <v>99.8</v>
      </c>
      <c r="G46" s="512">
        <f>'ANTROPOMETRÍA DEPORTISTAS'!C17</f>
        <v>0</v>
      </c>
      <c r="H46" s="512">
        <f>'ANTROPOMETRÍA DEPORTISTAS'!D17</f>
        <v>0</v>
      </c>
      <c r="I46" s="512">
        <f>'ANTROPOMETRÍA DEPORTISTAS'!E17</f>
        <v>0</v>
      </c>
      <c r="J46" s="512">
        <f>'ANTROPOMETRÍA DEPORTISTAS'!F17</f>
        <v>0</v>
      </c>
      <c r="K46" s="512">
        <f>'ANTROPOMETRÍA DEPORTISTAS'!G17</f>
        <v>0</v>
      </c>
      <c r="L46" s="219"/>
      <c r="M46" s="219"/>
    </row>
    <row r="47" spans="1:16" x14ac:dyDescent="0.2">
      <c r="A47" s="11"/>
      <c r="B47" s="11"/>
      <c r="C47" s="11"/>
      <c r="E47" s="219" t="str">
        <f>'ANTROPOMETRÍA DEPORTISTAS'!A18</f>
        <v>Muslo máximo (cm)</v>
      </c>
      <c r="F47" s="512">
        <f>'ANTROPOMETRÍA DEPORTISTAS'!B18</f>
        <v>61.3</v>
      </c>
      <c r="G47" s="512">
        <f>'ANTROPOMETRÍA DEPORTISTAS'!C18</f>
        <v>0</v>
      </c>
      <c r="H47" s="512">
        <f>'ANTROPOMETRÍA DEPORTISTAS'!D18</f>
        <v>0</v>
      </c>
      <c r="I47" s="512">
        <f>'ANTROPOMETRÍA DEPORTISTAS'!E18</f>
        <v>0</v>
      </c>
      <c r="J47" s="512">
        <f>'ANTROPOMETRÍA DEPORTISTAS'!F18</f>
        <v>0</v>
      </c>
      <c r="K47" s="512">
        <f>'ANTROPOMETRÍA DEPORTISTAS'!G18</f>
        <v>0</v>
      </c>
      <c r="L47" s="219"/>
      <c r="M47" s="219"/>
    </row>
    <row r="48" spans="1:16" x14ac:dyDescent="0.2">
      <c r="A48" s="11"/>
      <c r="B48" s="11"/>
      <c r="C48" s="11"/>
      <c r="E48" s="219" t="str">
        <f>'ANTROPOMETRÍA DEPORTISTAS'!A19</f>
        <v>Muslo medial (cm)</v>
      </c>
      <c r="F48" s="512">
        <f>'ANTROPOMETRÍA DEPORTISTAS'!B19</f>
        <v>58.3</v>
      </c>
      <c r="G48" s="512">
        <f>'ANTROPOMETRÍA DEPORTISTAS'!C19</f>
        <v>0</v>
      </c>
      <c r="H48" s="512">
        <f>'ANTROPOMETRÍA DEPORTISTAS'!D19</f>
        <v>0</v>
      </c>
      <c r="I48" s="512">
        <f>'ANTROPOMETRÍA DEPORTISTAS'!E19</f>
        <v>0</v>
      </c>
      <c r="J48" s="512">
        <f>'ANTROPOMETRÍA DEPORTISTAS'!F19</f>
        <v>0</v>
      </c>
      <c r="K48" s="512">
        <f>'ANTROPOMETRÍA DEPORTISTAS'!G19</f>
        <v>0</v>
      </c>
      <c r="L48" s="219"/>
      <c r="M48" s="219"/>
    </row>
    <row r="49" spans="1:13" x14ac:dyDescent="0.2">
      <c r="A49" s="11"/>
      <c r="B49" s="11"/>
      <c r="C49" s="11"/>
      <c r="E49" s="219" t="str">
        <f>'ANTROPOMETRÍA DEPORTISTAS'!A20</f>
        <v>Pantorrilla máximo (cm)</v>
      </c>
      <c r="F49" s="512">
        <f>'ANTROPOMETRÍA DEPORTISTAS'!B20</f>
        <v>38.6</v>
      </c>
      <c r="G49" s="512">
        <f>'ANTROPOMETRÍA DEPORTISTAS'!C20</f>
        <v>0</v>
      </c>
      <c r="H49" s="512">
        <f>'ANTROPOMETRÍA DEPORTISTAS'!D20</f>
        <v>0</v>
      </c>
      <c r="I49" s="512">
        <f>'ANTROPOMETRÍA DEPORTISTAS'!E20</f>
        <v>0</v>
      </c>
      <c r="J49" s="512">
        <f>'ANTROPOMETRÍA DEPORTISTAS'!F20</f>
        <v>0</v>
      </c>
      <c r="K49" s="512">
        <f>'ANTROPOMETRÍA DEPORTISTAS'!G20</f>
        <v>0</v>
      </c>
      <c r="L49" s="219"/>
      <c r="M49" s="219"/>
    </row>
    <row r="50" spans="1:13" x14ac:dyDescent="0.2">
      <c r="A50" s="11"/>
      <c r="B50" s="11"/>
      <c r="C50" s="11"/>
      <c r="E50" s="517" t="str">
        <f>'ANTROPOMETRÍA DEPORTISTAS'!A21</f>
        <v>Pliegues (mm)</v>
      </c>
      <c r="F50" s="513"/>
      <c r="G50" s="513"/>
      <c r="H50" s="513"/>
      <c r="I50" s="513"/>
      <c r="J50" s="513"/>
      <c r="K50" s="513"/>
      <c r="L50" s="219"/>
      <c r="M50" s="219"/>
    </row>
    <row r="51" spans="1:13" x14ac:dyDescent="0.2">
      <c r="A51" s="11"/>
      <c r="B51" s="11"/>
      <c r="C51" s="11"/>
      <c r="E51" s="219" t="str">
        <f>'ANTROPOMETRÍA DEPORTISTAS'!A22</f>
        <v>Bíceps (mm)</v>
      </c>
      <c r="F51" s="512">
        <f>'ANTROPOMETRÍA DEPORTISTAS'!B22</f>
        <v>3.5</v>
      </c>
      <c r="G51" s="512">
        <f>'ANTROPOMETRÍA DEPORTISTAS'!C22</f>
        <v>0</v>
      </c>
      <c r="H51" s="512">
        <f>'ANTROPOMETRÍA DEPORTISTAS'!D22</f>
        <v>0</v>
      </c>
      <c r="I51" s="512">
        <f>'ANTROPOMETRÍA DEPORTISTAS'!E22</f>
        <v>0</v>
      </c>
      <c r="J51" s="512">
        <f>'ANTROPOMETRÍA DEPORTISTAS'!F22</f>
        <v>0</v>
      </c>
      <c r="K51" s="512">
        <f>'ANTROPOMETRÍA DEPORTISTAS'!G22</f>
        <v>0</v>
      </c>
      <c r="L51" s="219"/>
      <c r="M51" s="219"/>
    </row>
    <row r="52" spans="1:13" x14ac:dyDescent="0.2">
      <c r="A52" s="11"/>
      <c r="B52" s="11"/>
      <c r="C52" s="11"/>
      <c r="E52" s="219" t="str">
        <f>'ANTROPOMETRÍA DEPORTISTAS'!A23</f>
        <v>Tríceps (mm)</v>
      </c>
      <c r="F52" s="512">
        <f>'ANTROPOMETRÍA DEPORTISTAS'!B23</f>
        <v>6.5</v>
      </c>
      <c r="G52" s="512">
        <f>'ANTROPOMETRÍA DEPORTISTAS'!C23</f>
        <v>0</v>
      </c>
      <c r="H52" s="512">
        <f>'ANTROPOMETRÍA DEPORTISTAS'!D23</f>
        <v>0</v>
      </c>
      <c r="I52" s="512">
        <f>'ANTROPOMETRÍA DEPORTISTAS'!E23</f>
        <v>0</v>
      </c>
      <c r="J52" s="512">
        <f>'ANTROPOMETRÍA DEPORTISTAS'!F23</f>
        <v>0</v>
      </c>
      <c r="K52" s="512">
        <f>'ANTROPOMETRÍA DEPORTISTAS'!G23</f>
        <v>0</v>
      </c>
      <c r="L52" s="219"/>
      <c r="M52" s="219"/>
    </row>
    <row r="53" spans="1:13" x14ac:dyDescent="0.2">
      <c r="A53" s="11"/>
      <c r="B53" s="11"/>
      <c r="C53" s="11"/>
      <c r="E53" s="219" t="str">
        <f>'ANTROPOMETRÍA DEPORTISTAS'!A24</f>
        <v>Subescapular (mm)</v>
      </c>
      <c r="F53" s="512">
        <f>'ANTROPOMETRÍA DEPORTISTAS'!B24</f>
        <v>11.5</v>
      </c>
      <c r="G53" s="512">
        <f>'ANTROPOMETRÍA DEPORTISTAS'!C24</f>
        <v>0</v>
      </c>
      <c r="H53" s="512">
        <f>'ANTROPOMETRÍA DEPORTISTAS'!D24</f>
        <v>0</v>
      </c>
      <c r="I53" s="512">
        <f>'ANTROPOMETRÍA DEPORTISTAS'!E24</f>
        <v>0</v>
      </c>
      <c r="J53" s="512">
        <f>'ANTROPOMETRÍA DEPORTISTAS'!F24</f>
        <v>0</v>
      </c>
      <c r="K53" s="512">
        <f>'ANTROPOMETRÍA DEPORTISTAS'!G24</f>
        <v>0</v>
      </c>
      <c r="L53" s="219"/>
      <c r="M53" s="219"/>
    </row>
    <row r="54" spans="1:13" x14ac:dyDescent="0.2">
      <c r="A54" s="11"/>
      <c r="B54" s="11"/>
      <c r="C54" s="11"/>
      <c r="E54" s="219" t="str">
        <f>'ANTROPOMETRÍA DEPORTISTAS'!A25</f>
        <v>Ileo-crestal (mm)</v>
      </c>
      <c r="F54" s="512">
        <f>'ANTROPOMETRÍA DEPORTISTAS'!B25</f>
        <v>15.5</v>
      </c>
      <c r="G54" s="512">
        <f>'ANTROPOMETRÍA DEPORTISTAS'!C25</f>
        <v>0</v>
      </c>
      <c r="H54" s="512">
        <f>'ANTROPOMETRÍA DEPORTISTAS'!D25</f>
        <v>0</v>
      </c>
      <c r="I54" s="512">
        <f>'ANTROPOMETRÍA DEPORTISTAS'!E25</f>
        <v>0</v>
      </c>
      <c r="J54" s="512">
        <f>'ANTROPOMETRÍA DEPORTISTAS'!F25</f>
        <v>0</v>
      </c>
      <c r="K54" s="512">
        <f>'ANTROPOMETRÍA DEPORTISTAS'!G25</f>
        <v>0</v>
      </c>
      <c r="L54" s="219"/>
      <c r="M54" s="219"/>
    </row>
    <row r="55" spans="1:13" x14ac:dyDescent="0.2">
      <c r="A55" s="11"/>
      <c r="B55" s="11"/>
      <c r="C55" s="11"/>
      <c r="E55" s="219" t="str">
        <f>'ANTROPOMETRÍA DEPORTISTAS'!A26</f>
        <v>Supra-espinal (mm)</v>
      </c>
      <c r="F55" s="512">
        <f>'ANTROPOMETRÍA DEPORTISTAS'!B26</f>
        <v>14</v>
      </c>
      <c r="G55" s="512">
        <f>'ANTROPOMETRÍA DEPORTISTAS'!C26</f>
        <v>0</v>
      </c>
      <c r="H55" s="512">
        <f>'ANTROPOMETRÍA DEPORTISTAS'!D26</f>
        <v>0</v>
      </c>
      <c r="I55" s="512">
        <f>'ANTROPOMETRÍA DEPORTISTAS'!E26</f>
        <v>0</v>
      </c>
      <c r="J55" s="512">
        <f>'ANTROPOMETRÍA DEPORTISTAS'!F26</f>
        <v>0</v>
      </c>
      <c r="K55" s="512">
        <f>'ANTROPOMETRÍA DEPORTISTAS'!G26</f>
        <v>0</v>
      </c>
      <c r="L55" s="219"/>
      <c r="M55" s="219"/>
    </row>
    <row r="56" spans="1:13" x14ac:dyDescent="0.2">
      <c r="A56" s="11"/>
      <c r="B56" s="11"/>
      <c r="C56" s="11"/>
      <c r="E56" s="219" t="str">
        <f>'ANTROPOMETRÍA DEPORTISTAS'!A27</f>
        <v>Abdominal (mm)</v>
      </c>
      <c r="F56" s="512">
        <f>'ANTROPOMETRÍA DEPORTISTAS'!B27</f>
        <v>28.5</v>
      </c>
      <c r="G56" s="512">
        <f>'ANTROPOMETRÍA DEPORTISTAS'!C27</f>
        <v>0</v>
      </c>
      <c r="H56" s="512">
        <f>'ANTROPOMETRÍA DEPORTISTAS'!D27</f>
        <v>0</v>
      </c>
      <c r="I56" s="512">
        <f>'ANTROPOMETRÍA DEPORTISTAS'!E27</f>
        <v>0</v>
      </c>
      <c r="J56" s="512">
        <f>'ANTROPOMETRÍA DEPORTISTAS'!F27</f>
        <v>0</v>
      </c>
      <c r="K56" s="512">
        <f>'ANTROPOMETRÍA DEPORTISTAS'!G27</f>
        <v>0</v>
      </c>
      <c r="L56" s="219"/>
      <c r="M56" s="219"/>
    </row>
    <row r="57" spans="1:13" x14ac:dyDescent="0.2">
      <c r="A57" s="11"/>
      <c r="B57" s="11"/>
      <c r="C57" s="11"/>
      <c r="E57" s="219" t="str">
        <f>'ANTROPOMETRÍA DEPORTISTAS'!A28</f>
        <v>Muslo frontal (mm)</v>
      </c>
      <c r="F57" s="512">
        <f>'ANTROPOMETRÍA DEPORTISTAS'!B28</f>
        <v>10.5</v>
      </c>
      <c r="G57" s="512">
        <f>'ANTROPOMETRÍA DEPORTISTAS'!C28</f>
        <v>0</v>
      </c>
      <c r="H57" s="512">
        <f>'ANTROPOMETRÍA DEPORTISTAS'!D28</f>
        <v>0</v>
      </c>
      <c r="I57" s="512">
        <f>'ANTROPOMETRÍA DEPORTISTAS'!E28</f>
        <v>0</v>
      </c>
      <c r="J57" s="512">
        <f>'ANTROPOMETRÍA DEPORTISTAS'!F28</f>
        <v>0</v>
      </c>
      <c r="K57" s="512">
        <f>'ANTROPOMETRÍA DEPORTISTAS'!G28</f>
        <v>0</v>
      </c>
      <c r="L57" s="219"/>
      <c r="M57" s="219"/>
    </row>
    <row r="58" spans="1:13" x14ac:dyDescent="0.2">
      <c r="A58" s="11"/>
      <c r="B58" s="11"/>
      <c r="C58" s="11"/>
      <c r="E58" s="219" t="str">
        <f>'ANTROPOMETRÍA DEPORTISTAS'!A29</f>
        <v>Pantorrilla (mm)</v>
      </c>
      <c r="F58" s="512">
        <f>'ANTROPOMETRÍA DEPORTISTAS'!B29</f>
        <v>6.5</v>
      </c>
      <c r="G58" s="512">
        <f>'ANTROPOMETRÍA DEPORTISTAS'!C29</f>
        <v>0</v>
      </c>
      <c r="H58" s="512">
        <f>'ANTROPOMETRÍA DEPORTISTAS'!D29</f>
        <v>0</v>
      </c>
      <c r="I58" s="512">
        <f>'ANTROPOMETRÍA DEPORTISTAS'!E29</f>
        <v>0</v>
      </c>
      <c r="J58" s="512">
        <f>'ANTROPOMETRÍA DEPORTISTAS'!F29</f>
        <v>0</v>
      </c>
      <c r="K58" s="512">
        <f>'ANTROPOMETRÍA DEPORTISTAS'!G29</f>
        <v>0</v>
      </c>
      <c r="L58" s="219"/>
      <c r="M58" s="219"/>
    </row>
    <row r="59" spans="1:13" x14ac:dyDescent="0.2">
      <c r="A59" s="11"/>
      <c r="B59" s="11"/>
      <c r="C59" s="11"/>
      <c r="E59" s="517" t="str">
        <f>'ANTROPOMETRÍA DEPORTISTAS'!A30</f>
        <v>Diametros óseos (cm)</v>
      </c>
      <c r="F59" s="513"/>
      <c r="G59" s="513"/>
      <c r="H59" s="513"/>
      <c r="I59" s="513"/>
      <c r="J59" s="513"/>
      <c r="K59" s="513"/>
      <c r="L59" s="219"/>
      <c r="M59" s="219"/>
    </row>
    <row r="60" spans="1:13" x14ac:dyDescent="0.2">
      <c r="A60" s="11"/>
      <c r="B60" s="11"/>
      <c r="C60" s="11"/>
      <c r="E60" s="219" t="str">
        <f>'ANTROPOMETRÍA DEPORTISTAS'!A35</f>
        <v>Humeral (Biepicondilar)</v>
      </c>
      <c r="F60" s="512">
        <f>'ANTROPOMETRÍA DEPORTISTAS'!B35</f>
        <v>8</v>
      </c>
      <c r="G60" s="512">
        <f>'ANTROPOMETRÍA DEPORTISTAS'!C35</f>
        <v>0</v>
      </c>
      <c r="H60" s="512">
        <f>'ANTROPOMETRÍA DEPORTISTAS'!D35</f>
        <v>0</v>
      </c>
      <c r="I60" s="512">
        <f>'ANTROPOMETRÍA DEPORTISTAS'!E35</f>
        <v>0</v>
      </c>
      <c r="J60" s="512">
        <f>'ANTROPOMETRÍA DEPORTISTAS'!F35</f>
        <v>0</v>
      </c>
      <c r="K60" s="512">
        <f>'ANTROPOMETRÍA DEPORTISTAS'!G35</f>
        <v>0</v>
      </c>
      <c r="L60" s="219"/>
      <c r="M60" s="219"/>
    </row>
    <row r="61" spans="1:13" x14ac:dyDescent="0.2">
      <c r="A61" s="11"/>
      <c r="B61" s="11"/>
      <c r="C61" s="11"/>
      <c r="E61" s="219" t="str">
        <f>'ANTROPOMETRÍA DEPORTISTAS'!A36</f>
        <v>Femoral (Biepicondilar)</v>
      </c>
      <c r="F61" s="512">
        <f>'ANTROPOMETRÍA DEPORTISTAS'!B36</f>
        <v>10.5</v>
      </c>
      <c r="G61" s="512">
        <f>'ANTROPOMETRÍA DEPORTISTAS'!C36</f>
        <v>0</v>
      </c>
      <c r="H61" s="512">
        <f>'ANTROPOMETRÍA DEPORTISTAS'!D36</f>
        <v>0</v>
      </c>
      <c r="I61" s="512">
        <f>'ANTROPOMETRÍA DEPORTISTAS'!E36</f>
        <v>0</v>
      </c>
      <c r="J61" s="512">
        <f>'ANTROPOMETRÍA DEPORTISTAS'!F36</f>
        <v>0</v>
      </c>
      <c r="K61" s="512">
        <f>'ANTROPOMETRÍA DEPORTISTAS'!G36</f>
        <v>0</v>
      </c>
      <c r="L61" s="219"/>
      <c r="M61" s="219"/>
    </row>
    <row r="62" spans="1:13" x14ac:dyDescent="0.2">
      <c r="A62" s="11"/>
      <c r="B62" s="11"/>
      <c r="C62" s="11"/>
    </row>
  </sheetData>
  <mergeCells count="30">
    <mergeCell ref="D34:O35"/>
    <mergeCell ref="D15:E15"/>
    <mergeCell ref="D16:E16"/>
    <mergeCell ref="D14:E14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1:O2"/>
    <mergeCell ref="D4:E4"/>
    <mergeCell ref="D5:E5"/>
    <mergeCell ref="D6:E6"/>
    <mergeCell ref="D7:E7"/>
    <mergeCell ref="D8:E8"/>
    <mergeCell ref="D10:E10"/>
    <mergeCell ref="D30:E30"/>
    <mergeCell ref="D31:E31"/>
    <mergeCell ref="D32:E32"/>
    <mergeCell ref="D13:E13"/>
    <mergeCell ref="D9:E9"/>
    <mergeCell ref="D11:E11"/>
    <mergeCell ref="D12:E12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FCDD-1BF2-44A3-855A-89F2701FA113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1">
    <tabColor rgb="FF00B0F0"/>
  </sheetPr>
  <dimension ref="A1:Q87"/>
  <sheetViews>
    <sheetView topLeftCell="A54" workbookViewId="0">
      <selection activeCell="B64" sqref="B64"/>
    </sheetView>
  </sheetViews>
  <sheetFormatPr baseColWidth="10" defaultRowHeight="15" x14ac:dyDescent="0.2"/>
  <cols>
    <col min="1" max="1" width="31.6640625" customWidth="1"/>
    <col min="2" max="2" width="13.6640625" customWidth="1"/>
    <col min="3" max="3" width="13.6640625" bestFit="1" customWidth="1"/>
    <col min="6" max="6" width="14.1640625" bestFit="1" customWidth="1"/>
    <col min="9" max="9" width="13.6640625" bestFit="1" customWidth="1"/>
  </cols>
  <sheetData>
    <row r="1" spans="1:17" x14ac:dyDescent="0.2">
      <c r="A1" s="992"/>
      <c r="B1" s="992"/>
      <c r="C1" s="992"/>
      <c r="D1" s="992"/>
      <c r="E1" s="992"/>
      <c r="F1" s="992"/>
      <c r="G1" s="992"/>
      <c r="H1" s="992"/>
      <c r="I1" s="992"/>
      <c r="J1" s="992"/>
      <c r="K1" s="992"/>
      <c r="L1" s="992"/>
      <c r="M1" s="993"/>
      <c r="N1" s="11"/>
      <c r="O1" s="11"/>
      <c r="P1" s="11"/>
      <c r="Q1" s="11"/>
    </row>
    <row r="2" spans="1:17" x14ac:dyDescent="0.2">
      <c r="A2" s="992"/>
      <c r="B2" s="992"/>
      <c r="C2" s="992"/>
      <c r="D2" s="992"/>
      <c r="E2" s="992"/>
      <c r="F2" s="992"/>
      <c r="G2" s="992"/>
      <c r="H2" s="992"/>
      <c r="I2" s="992"/>
      <c r="J2" s="992"/>
      <c r="K2" s="992"/>
      <c r="L2" s="992"/>
      <c r="M2" s="993"/>
      <c r="N2" s="13"/>
      <c r="O2" s="11"/>
      <c r="P2" s="11"/>
      <c r="Q2" s="11"/>
    </row>
    <row r="3" spans="1:17" x14ac:dyDescent="0.2">
      <c r="A3" s="992"/>
      <c r="B3" s="992"/>
      <c r="C3" s="992"/>
      <c r="D3" s="992"/>
      <c r="E3" s="992"/>
      <c r="F3" s="992"/>
      <c r="G3" s="992"/>
      <c r="H3" s="992"/>
      <c r="I3" s="992"/>
      <c r="J3" s="992"/>
      <c r="K3" s="992"/>
      <c r="L3" s="992"/>
      <c r="M3" s="993"/>
      <c r="N3" s="11"/>
      <c r="O3" s="11"/>
      <c r="P3" s="11"/>
      <c r="Q3" s="11"/>
    </row>
    <row r="4" spans="1:17" x14ac:dyDescent="0.2">
      <c r="A4" s="992"/>
      <c r="B4" s="992"/>
      <c r="C4" s="992"/>
      <c r="D4" s="992"/>
      <c r="E4" s="992"/>
      <c r="F4" s="992"/>
      <c r="G4" s="992"/>
      <c r="H4" s="992"/>
      <c r="I4" s="992"/>
      <c r="J4" s="992"/>
      <c r="K4" s="992"/>
      <c r="L4" s="992"/>
      <c r="M4" s="993"/>
      <c r="N4" s="11"/>
      <c r="O4" s="11"/>
      <c r="P4" s="11"/>
      <c r="Q4" s="11"/>
    </row>
    <row r="5" spans="1:17" x14ac:dyDescent="0.2">
      <c r="A5" s="992"/>
      <c r="B5" s="992"/>
      <c r="C5" s="992"/>
      <c r="D5" s="992"/>
      <c r="E5" s="992"/>
      <c r="F5" s="992"/>
      <c r="G5" s="992"/>
      <c r="H5" s="992"/>
      <c r="I5" s="992"/>
      <c r="J5" s="992"/>
      <c r="K5" s="992"/>
      <c r="L5" s="992"/>
      <c r="M5" s="993"/>
      <c r="N5" s="11"/>
      <c r="O5" s="11"/>
      <c r="P5" s="11"/>
      <c r="Q5" s="11"/>
    </row>
    <row r="6" spans="1:17" x14ac:dyDescent="0.2">
      <c r="A6" s="992"/>
      <c r="B6" s="992"/>
      <c r="C6" s="992"/>
      <c r="D6" s="992"/>
      <c r="E6" s="992"/>
      <c r="F6" s="992"/>
      <c r="G6" s="992"/>
      <c r="H6" s="992"/>
      <c r="I6" s="992"/>
      <c r="J6" s="992"/>
      <c r="K6" s="992"/>
      <c r="L6" s="992"/>
      <c r="M6" s="993"/>
      <c r="N6" s="11"/>
      <c r="O6" s="11"/>
      <c r="P6" s="11"/>
      <c r="Q6" s="11"/>
    </row>
    <row r="7" spans="1:17" x14ac:dyDescent="0.2">
      <c r="A7" s="992"/>
      <c r="B7" s="992"/>
      <c r="C7" s="992"/>
      <c r="D7" s="992"/>
      <c r="E7" s="992"/>
      <c r="F7" s="992"/>
      <c r="G7" s="992"/>
      <c r="H7" s="992"/>
      <c r="I7" s="992"/>
      <c r="J7" s="992"/>
      <c r="K7" s="992"/>
      <c r="L7" s="992"/>
      <c r="M7" s="993"/>
      <c r="N7" s="11"/>
      <c r="O7" s="11"/>
      <c r="P7" s="11"/>
      <c r="Q7" s="11"/>
    </row>
    <row r="8" spans="1:17" x14ac:dyDescent="0.2">
      <c r="A8" s="992"/>
      <c r="B8" s="992"/>
      <c r="C8" s="992"/>
      <c r="D8" s="992"/>
      <c r="E8" s="992"/>
      <c r="F8" s="992"/>
      <c r="G8" s="992"/>
      <c r="H8" s="992"/>
      <c r="I8" s="992"/>
      <c r="J8" s="992"/>
      <c r="K8" s="992"/>
      <c r="L8" s="992"/>
      <c r="M8" s="993"/>
      <c r="N8" s="11"/>
      <c r="O8" s="11"/>
      <c r="P8" s="11"/>
      <c r="Q8" s="11"/>
    </row>
    <row r="9" spans="1:17" x14ac:dyDescent="0.2">
      <c r="A9" s="992"/>
      <c r="B9" s="992"/>
      <c r="C9" s="992"/>
      <c r="D9" s="992"/>
      <c r="E9" s="992"/>
      <c r="F9" s="992"/>
      <c r="G9" s="992"/>
      <c r="H9" s="992"/>
      <c r="I9" s="992"/>
      <c r="J9" s="992"/>
      <c r="K9" s="992"/>
      <c r="L9" s="992"/>
      <c r="M9" s="993"/>
      <c r="N9" s="11"/>
      <c r="O9" s="11"/>
      <c r="P9" s="11"/>
      <c r="Q9" s="11"/>
    </row>
    <row r="10" spans="1:17" x14ac:dyDescent="0.2">
      <c r="A10" s="992"/>
      <c r="B10" s="992"/>
      <c r="C10" s="992"/>
      <c r="D10" s="992"/>
      <c r="E10" s="992"/>
      <c r="F10" s="992"/>
      <c r="G10" s="992"/>
      <c r="H10" s="992"/>
      <c r="I10" s="992"/>
      <c r="J10" s="992"/>
      <c r="K10" s="992"/>
      <c r="L10" s="992"/>
      <c r="M10" s="993"/>
      <c r="N10" s="11"/>
      <c r="O10" s="11"/>
      <c r="P10" s="11"/>
      <c r="Q10" s="11"/>
    </row>
    <row r="11" spans="1:17" x14ac:dyDescent="0.2">
      <c r="A11" s="992"/>
      <c r="B11" s="992"/>
      <c r="C11" s="992"/>
      <c r="D11" s="992"/>
      <c r="E11" s="992"/>
      <c r="F11" s="992"/>
      <c r="G11" s="992"/>
      <c r="H11" s="992"/>
      <c r="I11" s="992"/>
      <c r="J11" s="992"/>
      <c r="K11" s="992"/>
      <c r="L11" s="992"/>
      <c r="M11" s="993"/>
      <c r="N11" s="11"/>
      <c r="O11" s="11"/>
      <c r="P11" s="11"/>
      <c r="Q11" s="11"/>
    </row>
    <row r="12" spans="1:17" x14ac:dyDescent="0.2">
      <c r="A12" s="992"/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3"/>
      <c r="N12" s="11"/>
      <c r="O12" s="11"/>
      <c r="P12" s="11"/>
      <c r="Q12" s="11"/>
    </row>
    <row r="13" spans="1:17" ht="16" thickBot="1" x14ac:dyDescent="0.25">
      <c r="A13" s="994"/>
      <c r="B13" s="994"/>
      <c r="C13" s="994"/>
      <c r="D13" s="994"/>
      <c r="E13" s="994"/>
      <c r="F13" s="994"/>
      <c r="G13" s="994"/>
      <c r="H13" s="994"/>
      <c r="I13" s="994"/>
      <c r="J13" s="994"/>
      <c r="K13" s="994"/>
      <c r="L13" s="994"/>
      <c r="M13" s="995"/>
      <c r="N13" s="11"/>
      <c r="O13" s="11"/>
      <c r="P13" s="11"/>
      <c r="Q13" s="11"/>
    </row>
    <row r="14" spans="1:17" ht="18" thickTop="1" thickBot="1" x14ac:dyDescent="0.25">
      <c r="A14" s="996" t="s">
        <v>0</v>
      </c>
      <c r="B14" s="996"/>
      <c r="C14" s="996"/>
      <c r="D14" s="996"/>
      <c r="E14" s="996"/>
      <c r="F14" s="996"/>
      <c r="G14" s="996"/>
      <c r="H14" s="996"/>
      <c r="I14" s="996"/>
      <c r="J14" s="996"/>
      <c r="K14" s="996"/>
      <c r="L14" s="996"/>
      <c r="M14" s="996"/>
      <c r="N14" s="11"/>
      <c r="O14" s="11"/>
      <c r="P14" s="11"/>
      <c r="Q14" s="11"/>
    </row>
    <row r="15" spans="1:17" ht="17" thickTop="1" thickBot="1" x14ac:dyDescent="0.25">
      <c r="A15" s="15"/>
      <c r="B15" s="12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7" ht="17" thickTop="1" thickBot="1" x14ac:dyDescent="0.25">
      <c r="A16" s="14"/>
      <c r="B16" s="997" t="s">
        <v>48</v>
      </c>
      <c r="C16" s="997"/>
      <c r="D16" s="997"/>
      <c r="E16" s="997"/>
      <c r="F16" s="997"/>
      <c r="G16" s="997"/>
      <c r="H16" s="997"/>
      <c r="I16" s="997"/>
      <c r="J16" s="997"/>
      <c r="K16" s="997"/>
      <c r="L16" s="997"/>
      <c r="M16" s="997"/>
      <c r="N16" s="11"/>
      <c r="O16" s="11"/>
      <c r="P16" s="11"/>
      <c r="Q16" s="11"/>
    </row>
    <row r="17" spans="1:17" ht="17" thickTop="1" thickBot="1" x14ac:dyDescent="0.25">
      <c r="A17" s="16" t="s">
        <v>2</v>
      </c>
      <c r="B17" s="17"/>
      <c r="C17" s="17"/>
      <c r="D17" s="18"/>
      <c r="E17" s="6"/>
      <c r="F17" s="6"/>
      <c r="G17" s="6"/>
      <c r="H17" s="6"/>
      <c r="I17" s="6"/>
      <c r="J17" s="6"/>
      <c r="K17" s="6"/>
      <c r="L17" s="6"/>
      <c r="M17" s="6"/>
      <c r="N17" s="11"/>
      <c r="O17" s="11"/>
      <c r="P17" s="11"/>
      <c r="Q17" s="11"/>
    </row>
    <row r="18" spans="1:17" ht="17" thickTop="1" thickBot="1" x14ac:dyDescent="0.25">
      <c r="A18" s="19" t="s">
        <v>1</v>
      </c>
      <c r="B18" s="20"/>
      <c r="C18" s="20"/>
      <c r="D18" s="20"/>
      <c r="E18" s="20"/>
      <c r="F18" s="20"/>
      <c r="G18" s="6"/>
      <c r="H18" s="20"/>
      <c r="I18" s="6"/>
      <c r="J18" s="6"/>
      <c r="K18" s="6"/>
      <c r="L18" s="20"/>
      <c r="M18" s="20"/>
      <c r="N18" s="11"/>
      <c r="O18" s="11"/>
      <c r="P18" s="11"/>
      <c r="Q18" s="11"/>
    </row>
    <row r="19" spans="1:17" ht="17" thickTop="1" thickBot="1" x14ac:dyDescent="0.25">
      <c r="A19" s="19" t="s">
        <v>5</v>
      </c>
      <c r="B19" s="20"/>
      <c r="C19" s="20"/>
      <c r="D19" s="20"/>
      <c r="E19" s="6"/>
      <c r="F19" s="6"/>
      <c r="G19" s="6"/>
      <c r="H19" s="6"/>
      <c r="I19" s="6"/>
      <c r="J19" s="6"/>
      <c r="K19" s="6"/>
      <c r="L19" s="20"/>
      <c r="M19" s="20"/>
      <c r="N19" s="11"/>
      <c r="O19" s="11"/>
      <c r="P19" s="11"/>
      <c r="Q19" s="11"/>
    </row>
    <row r="20" spans="1:17" ht="17" thickTop="1" thickBot="1" x14ac:dyDescent="0.25">
      <c r="A20" s="21" t="s">
        <v>3</v>
      </c>
      <c r="B20" s="998"/>
      <c r="C20" s="998"/>
      <c r="D20" s="998"/>
      <c r="E20" s="998"/>
      <c r="F20" s="998"/>
      <c r="G20" s="998"/>
      <c r="H20" s="998"/>
      <c r="I20" s="998"/>
      <c r="J20" s="998"/>
      <c r="K20" s="998"/>
      <c r="L20" s="998"/>
      <c r="M20" s="999"/>
      <c r="N20" s="11"/>
      <c r="O20" s="11"/>
      <c r="P20" s="11"/>
      <c r="Q20" s="11"/>
    </row>
    <row r="21" spans="1:17" ht="17" thickTop="1" thickBot="1" x14ac:dyDescent="0.25">
      <c r="A21" s="22" t="s">
        <v>4</v>
      </c>
      <c r="B21" s="20"/>
      <c r="C21" s="20"/>
      <c r="D21" s="6"/>
      <c r="E21" s="6"/>
      <c r="F21" s="6"/>
      <c r="G21" s="6"/>
      <c r="H21" s="6"/>
      <c r="I21" s="6"/>
      <c r="J21" s="6"/>
      <c r="K21" s="6"/>
      <c r="L21" s="6"/>
      <c r="M21" s="6"/>
      <c r="N21" s="11"/>
      <c r="O21" s="11"/>
      <c r="P21" s="11"/>
      <c r="Q21" s="11"/>
    </row>
    <row r="22" spans="1:17" ht="17" thickTop="1" thickBot="1" x14ac:dyDescent="0.25">
      <c r="A22" s="22" t="s">
        <v>6</v>
      </c>
      <c r="B22" s="20"/>
      <c r="C22" s="20"/>
      <c r="D22" s="6"/>
      <c r="E22" s="6"/>
      <c r="F22" s="6"/>
      <c r="G22" s="6"/>
      <c r="H22" s="6"/>
      <c r="I22" s="6"/>
      <c r="J22" s="6"/>
      <c r="K22" s="6"/>
      <c r="L22" s="6"/>
      <c r="M22" s="6"/>
      <c r="N22" s="11"/>
      <c r="O22" s="11"/>
      <c r="P22" s="11"/>
      <c r="Q22" s="11"/>
    </row>
    <row r="23" spans="1:17" ht="17" thickTop="1" thickBot="1" x14ac:dyDescent="0.25">
      <c r="A23" s="22" t="s">
        <v>7</v>
      </c>
      <c r="B23" s="20"/>
      <c r="C23" s="20"/>
      <c r="D23" s="6"/>
      <c r="E23" s="6"/>
      <c r="F23" s="6"/>
      <c r="G23" s="6"/>
      <c r="H23" s="6"/>
      <c r="I23" s="6"/>
      <c r="J23" s="6"/>
      <c r="K23" s="6"/>
      <c r="L23" s="6"/>
      <c r="M23" s="6"/>
      <c r="N23" s="11"/>
      <c r="O23" s="11"/>
      <c r="P23" s="11"/>
      <c r="Q23" s="11"/>
    </row>
    <row r="24" spans="1:17" ht="17" thickTop="1" thickBot="1" x14ac:dyDescent="0.25">
      <c r="A24" s="22" t="s">
        <v>8</v>
      </c>
      <c r="B24" s="20"/>
      <c r="C24" s="20"/>
      <c r="D24" s="6"/>
      <c r="E24" s="6"/>
      <c r="F24" s="6"/>
      <c r="G24" s="6"/>
      <c r="H24" s="6"/>
      <c r="I24" s="6"/>
      <c r="J24" s="6"/>
      <c r="K24" s="6"/>
      <c r="L24" s="6"/>
      <c r="M24" s="6"/>
      <c r="N24" s="11"/>
      <c r="O24" s="11"/>
      <c r="P24" s="11"/>
      <c r="Q24" s="11"/>
    </row>
    <row r="25" spans="1:17" ht="17" thickTop="1" thickBot="1" x14ac:dyDescent="0.25">
      <c r="A25" s="22" t="s">
        <v>9</v>
      </c>
      <c r="B25" s="20"/>
      <c r="C25" s="20"/>
      <c r="D25" s="6"/>
      <c r="E25" s="6"/>
      <c r="F25" s="6"/>
      <c r="G25" s="6"/>
      <c r="H25" s="6"/>
      <c r="I25" s="6"/>
      <c r="J25" s="6"/>
      <c r="K25" s="6"/>
      <c r="L25" s="6"/>
      <c r="M25" s="6"/>
      <c r="N25" s="11"/>
      <c r="O25" s="11"/>
      <c r="P25" s="11"/>
      <c r="Q25" s="11"/>
    </row>
    <row r="26" spans="1:17" ht="17" thickTop="1" thickBot="1" x14ac:dyDescent="0.25">
      <c r="A26" s="22" t="s">
        <v>10</v>
      </c>
      <c r="B26" s="20"/>
      <c r="C26" s="20"/>
      <c r="D26" s="6"/>
      <c r="E26" s="6"/>
      <c r="F26" s="6"/>
      <c r="G26" s="6"/>
      <c r="H26" s="6"/>
      <c r="I26" s="6"/>
      <c r="J26" s="6"/>
      <c r="K26" s="6"/>
      <c r="L26" s="6"/>
      <c r="M26" s="6"/>
      <c r="N26" s="11"/>
      <c r="O26" s="11"/>
      <c r="P26" s="11"/>
      <c r="Q26" s="11"/>
    </row>
    <row r="27" spans="1:17" ht="17" thickTop="1" thickBot="1" x14ac:dyDescent="0.25">
      <c r="A27" s="22" t="s">
        <v>11</v>
      </c>
      <c r="B27" s="20"/>
      <c r="C27" s="20"/>
      <c r="D27" s="6"/>
      <c r="E27" s="6"/>
      <c r="F27" s="6"/>
      <c r="G27" s="6"/>
      <c r="H27" s="6"/>
      <c r="I27" s="6"/>
      <c r="J27" s="6"/>
      <c r="K27" s="6"/>
      <c r="L27" s="6"/>
      <c r="M27" s="6"/>
      <c r="N27" s="11"/>
      <c r="O27" s="11"/>
      <c r="P27" s="11"/>
      <c r="Q27" s="11"/>
    </row>
    <row r="28" spans="1:17" ht="17" thickTop="1" thickBot="1" x14ac:dyDescent="0.25">
      <c r="A28" s="22" t="s">
        <v>12</v>
      </c>
      <c r="B28" s="23"/>
      <c r="C28" s="23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11"/>
      <c r="O28" s="11"/>
      <c r="P28" s="11"/>
      <c r="Q28" s="11"/>
    </row>
    <row r="29" spans="1:17" ht="17" thickTop="1" thickBot="1" x14ac:dyDescent="0.25">
      <c r="A29" s="25" t="s">
        <v>13</v>
      </c>
      <c r="B29" s="1000"/>
      <c r="C29" s="1000"/>
      <c r="D29" s="1000"/>
      <c r="E29" s="1000"/>
      <c r="F29" s="1000"/>
      <c r="G29" s="1000"/>
      <c r="H29" s="1000"/>
      <c r="I29" s="1000"/>
      <c r="J29" s="1000"/>
      <c r="K29" s="1000"/>
      <c r="L29" s="1000"/>
      <c r="M29" s="1001"/>
      <c r="N29" s="11"/>
      <c r="O29" s="11"/>
      <c r="P29" s="11"/>
      <c r="Q29" s="11"/>
    </row>
    <row r="30" spans="1:17" ht="17" thickTop="1" thickBot="1" x14ac:dyDescent="0.25">
      <c r="A30" s="26" t="s">
        <v>14</v>
      </c>
      <c r="B30" s="6"/>
      <c r="C30" s="6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11"/>
      <c r="O30" s="11"/>
      <c r="P30" s="11"/>
      <c r="Q30" s="11"/>
    </row>
    <row r="31" spans="1:17" ht="17" thickTop="1" thickBot="1" x14ac:dyDescent="0.25">
      <c r="A31" s="26" t="s">
        <v>15</v>
      </c>
      <c r="B31" s="6"/>
      <c r="C31" s="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11"/>
      <c r="O31" s="11"/>
      <c r="P31" s="11"/>
      <c r="Q31" s="11"/>
    </row>
    <row r="32" spans="1:17" ht="17" thickTop="1" thickBot="1" x14ac:dyDescent="0.25">
      <c r="A32" s="26" t="s">
        <v>16</v>
      </c>
      <c r="B32" s="6"/>
      <c r="C32" s="6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11"/>
      <c r="O32" s="11"/>
      <c r="P32" s="11"/>
      <c r="Q32" s="11"/>
    </row>
    <row r="33" spans="1:17" ht="17" thickTop="1" thickBot="1" x14ac:dyDescent="0.25">
      <c r="A33" s="26" t="s">
        <v>17</v>
      </c>
      <c r="B33" s="6"/>
      <c r="C33" s="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11"/>
      <c r="O33" s="11"/>
      <c r="P33" s="11"/>
      <c r="Q33" s="11"/>
    </row>
    <row r="34" spans="1:17" ht="17" thickTop="1" thickBot="1" x14ac:dyDescent="0.25">
      <c r="A34" s="26" t="s">
        <v>18</v>
      </c>
      <c r="B34" s="6"/>
      <c r="C34" s="6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11"/>
      <c r="O34" s="11"/>
      <c r="P34" s="11"/>
      <c r="Q34" s="11"/>
    </row>
    <row r="35" spans="1:17" ht="17" thickTop="1" thickBot="1" x14ac:dyDescent="0.25">
      <c r="A35" s="28" t="s">
        <v>19</v>
      </c>
      <c r="B35" s="998"/>
      <c r="C35" s="998"/>
      <c r="D35" s="998"/>
      <c r="E35" s="998"/>
      <c r="F35" s="998"/>
      <c r="G35" s="998"/>
      <c r="H35" s="998"/>
      <c r="I35" s="998"/>
      <c r="J35" s="998"/>
      <c r="K35" s="998"/>
      <c r="L35" s="998"/>
      <c r="M35" s="999"/>
      <c r="N35" s="11"/>
      <c r="O35" s="11"/>
      <c r="P35" s="11"/>
      <c r="Q35" s="11"/>
    </row>
    <row r="36" spans="1:17" ht="17" thickTop="1" thickBot="1" x14ac:dyDescent="0.25">
      <c r="A36" s="29" t="s">
        <v>20</v>
      </c>
      <c r="B36" s="20"/>
      <c r="C36" s="20"/>
      <c r="D36" s="30"/>
      <c r="E36" s="6"/>
      <c r="F36" s="20"/>
      <c r="G36" s="6"/>
      <c r="H36" s="30"/>
      <c r="I36" s="6"/>
      <c r="J36" s="20"/>
      <c r="K36" s="30"/>
      <c r="L36" s="6"/>
      <c r="M36" s="20"/>
      <c r="N36" s="11"/>
      <c r="O36" s="11"/>
      <c r="P36" s="11"/>
      <c r="Q36" s="11"/>
    </row>
    <row r="37" spans="1:17" ht="18.75" customHeight="1" thickTop="1" thickBot="1" x14ac:dyDescent="0.25">
      <c r="A37" s="29" t="s">
        <v>21</v>
      </c>
      <c r="B37" s="23"/>
      <c r="C37" s="23"/>
      <c r="D37" s="31"/>
      <c r="E37" s="24"/>
      <c r="F37" s="23"/>
      <c r="G37" s="24"/>
      <c r="H37" s="31"/>
      <c r="I37" s="24"/>
      <c r="J37" s="20"/>
      <c r="K37" s="31"/>
      <c r="L37" s="24"/>
      <c r="M37" s="23"/>
      <c r="N37" s="11"/>
      <c r="O37" s="11"/>
      <c r="P37" s="11"/>
      <c r="Q37" s="11"/>
    </row>
    <row r="38" spans="1:17" ht="17" thickTop="1" thickBot="1" x14ac:dyDescent="0.25">
      <c r="A38" s="991" t="s">
        <v>22</v>
      </c>
      <c r="B38" s="991"/>
      <c r="C38" s="991"/>
      <c r="D38" s="991"/>
      <c r="E38" s="991"/>
      <c r="F38" s="991"/>
      <c r="G38" s="991"/>
      <c r="H38" s="991"/>
      <c r="I38" s="991"/>
      <c r="J38" s="991"/>
      <c r="K38" s="991"/>
      <c r="L38" s="991"/>
      <c r="M38" s="991"/>
      <c r="N38" s="11"/>
      <c r="O38" s="11"/>
      <c r="P38" s="11"/>
      <c r="Q38" s="11"/>
    </row>
    <row r="39" spans="1:17" ht="30.75" customHeight="1" thickTop="1" thickBot="1" x14ac:dyDescent="0.25">
      <c r="A39" s="32" t="s">
        <v>27</v>
      </c>
      <c r="B39" s="33" t="e">
        <f>IF(HISTORIA!C10="masculino",(495/(1.1765-(0.0744*LOG10(B21+B22+B23+B24)))-450),(495/(1.1567-(0.0717*LOG10(B21+B22+B23+B24)))-450))</f>
        <v>#NUM!</v>
      </c>
      <c r="C39" s="33" t="e">
        <f>IF(HISTORIA!C10="masculino",(495/(1.1765-(0.0744*LOG10(C21+C22+C23+C24)))-450),(495/(1.1567-(0.0717*LOG10(C21+C22+C23+C24)))-450))</f>
        <v>#NUM!</v>
      </c>
      <c r="D39" s="33" t="e">
        <f>IF(HISTORIA!C10="masculino",(495/(1.1765-(0.0744*LOG10(D21+D22+D23+D24)))-450),(495/(1.1567-(0.0717*LOG10(D21+D22+D23+D24)))-450))</f>
        <v>#NUM!</v>
      </c>
      <c r="E39" s="33" t="e">
        <f>IF(HISTORIA!C10="masculino",(495/(1.1765-(0.0744*LOG10(E21+E22+E23+E24)))-450),(495/(1.1567-(0.0717*LOG10(E21+E22+E23+E24)))-450))</f>
        <v>#NUM!</v>
      </c>
      <c r="F39" s="33" t="e">
        <f>IF(HISTORIA!C10="masculino",(495/(1.1765-(0.0744*LOG10(F21+F22+F23+F24)))-450),(495/(1.1567-(0.0717*LOG10(F21+F22+F23+F24)))-450))</f>
        <v>#NUM!</v>
      </c>
      <c r="G39" s="33" t="e">
        <f>IF(HISTORIA!C10="masculino",(495/(1.1765-(0.0744*LOG10(G21+G22+G23+G24)))-450),(495/(1.1567-(0.0717*LOG10(G21+G22+G23+G24)))-450))</f>
        <v>#NUM!</v>
      </c>
      <c r="H39" s="33" t="e">
        <f>IF(HISTORIA!C10="masculino",(495/(1.1765-(0.0744*LOG10(H21+H22+H23+H24)))-450),(495/(1.1567-(0.0717*LOG10(H21+H22+H23+H24)))-450))</f>
        <v>#NUM!</v>
      </c>
      <c r="I39" s="33" t="e">
        <f>IF(HISTORIA!C10="masculino",(495/(1.1765-(0.0744*LOG10(I21+I22+I23+I24)))-450),(495/(1.1567-(0.0717*LOG10(I21+I22+I23+I24)))-450))</f>
        <v>#NUM!</v>
      </c>
      <c r="J39" s="33" t="e">
        <f>IF(HISTORIA!C10="masculino",(495/(1.1765-(0.0744*LOG10(J21+J22+J23+J24)))-450),(495/(1.1567-(0.0717*LOG10(J21+J22+J23+J24)))-450))</f>
        <v>#NUM!</v>
      </c>
      <c r="K39" s="33" t="e">
        <f>IF(HISTORIA!C10="masculino",(495/(1.1765-(0.0744*LOG10(K21+K22+K23+K24)))-450),(495/(1.1567-(0.0717*LOG10(K21+K22+K23+K24)))-450))</f>
        <v>#NUM!</v>
      </c>
      <c r="L39" s="33" t="e">
        <f>IF(HISTORIA!C10="masculino",(495/(1.1765-(0.0744*LOG10(L21+L22+L23+L24)))-450),(495/(1.1567-(0.0717*LOG10(L21+L22+L23+L24)))-450))</f>
        <v>#NUM!</v>
      </c>
      <c r="M39" s="33" t="e">
        <f>IF(HISTORIA!C10="masculino",(495/(1.1765-(0.0744*LOG10(M21+M22+M23+M24)))-450),(495/(1.1567-(0.0717*LOG10(M21+M22+M23+M24)))-450))</f>
        <v>#NUM!</v>
      </c>
      <c r="N39" s="11"/>
      <c r="O39" s="11"/>
      <c r="P39" s="11"/>
      <c r="Q39" s="11"/>
    </row>
    <row r="40" spans="1:17" ht="36" customHeight="1" thickTop="1" thickBot="1" x14ac:dyDescent="0.25">
      <c r="A40" s="34" t="s">
        <v>26</v>
      </c>
      <c r="B40" s="35">
        <f>IF(HISTORIA!C10="masculino",(0.1051*(B21+B22+B25+B26+B27+B28)+2.585),(0.1548*(B21+B22+B25+B26+B27+B28)+3.58))</f>
        <v>2.585</v>
      </c>
      <c r="C40" s="35">
        <f>IF(HISTORIA!C10="masculino",(0.1051*(C21+C22+C25+C26+C27+C28)+2.585),(0.1548*(C21+C22+C25+C26+C27+C28)+3.58))</f>
        <v>2.585</v>
      </c>
      <c r="D40" s="35">
        <f>IF(HISTORIA!C10="masculino",(0.1051*(D21+D22+D25+D26+D27+D28)+2.585),(0.1548*(D21+D22+D25+D26+D27+D28)+3.58))</f>
        <v>2.585</v>
      </c>
      <c r="E40" s="35">
        <f>IF(HISTORIA!C10="masculino",(0.1051*(E21+E22+E25+E26+E27+E28)+2.585),(0.1548*(E21+E22+E25+E26+E27+E28)+3.58))</f>
        <v>2.585</v>
      </c>
      <c r="F40" s="35">
        <f>IF(HISTORIA!C10="masculino",(0.1051*(F21+F22+F25+F26+F27+F28)+2.585),(0.1548*(F21+F22+F25+F26+F27+F28)+3.58))</f>
        <v>2.585</v>
      </c>
      <c r="G40" s="35">
        <f>IF(HISTORIA!C10="masculino",(0.1051*(G21+G22+G25+G26+G27+G28)+2.585),(0.1548*(G21+G22+G25+G26+G27+G28)+3.58))</f>
        <v>2.585</v>
      </c>
      <c r="H40" s="35">
        <f>IF(HISTORIA!C10="masculino",(0.1051*(H21+H22+H25+H26+H27+H28)+2.585),(0.1548*(H21+H22+H25+H26+H27+H28)+3.58))</f>
        <v>2.585</v>
      </c>
      <c r="I40" s="35">
        <f>IF(HISTORIA!C10="masculino",(0.1051*(I21+I22+I25+I26+I27+I28)+2.585),(0.1548*(I21+I22+I25+I26+I27+I28)+3.58))</f>
        <v>2.585</v>
      </c>
      <c r="J40" s="35">
        <f>IF(HISTORIA!C10="masculino",(0.1051*(J21+J22+J25+J26+J27+J28)+2.585),(0.1548*(J21+J22+J25+J26+J27+J28)+3.58))</f>
        <v>2.585</v>
      </c>
      <c r="K40" s="35">
        <f>IF(HISTORIA!C10="masculino",(0.1051*(K21+K22+K25+K26+K27+K28)+2.585),(0.1548*(K21+K22+K25+K26+K27+K28)+3.58))</f>
        <v>2.585</v>
      </c>
      <c r="L40" s="35">
        <f>IF(HISTORIA!C10="masculino",(0.1051*(L21+L22+L25+L26+L27+L28)+2.585),(0.1548*(L21+L22+L25+L26+L27+L28)+3.58))</f>
        <v>2.585</v>
      </c>
      <c r="M40" s="35">
        <f>IF(HISTORIA!C10="masculino",(0.1051*(M21+M22+M25+M26+M27+M28)+2.585),(0.1548*(M21+M22+M25+M26+M27+M28)+3.58))</f>
        <v>2.585</v>
      </c>
      <c r="N40" s="11"/>
      <c r="O40" s="11"/>
      <c r="P40" s="11"/>
      <c r="Q40" s="11"/>
    </row>
    <row r="41" spans="1:17" ht="17" thickTop="1" thickBot="1" x14ac:dyDescent="0.25">
      <c r="A41" s="34" t="s">
        <v>25</v>
      </c>
      <c r="B41" s="36">
        <f>(((0.2467)*(B21+B22++B23+B24))+((0.12*B32)))+4.98</f>
        <v>4.9800000000000004</v>
      </c>
      <c r="C41" s="37">
        <f>(((0.2467)*(C21+C22++C23+C24))+((0.12*C32)))+4.98</f>
        <v>4.9800000000000004</v>
      </c>
      <c r="D41" s="37">
        <f>(((0.2467)*(D21+D22++D23+D24))+((0.12*D32)))+4.98</f>
        <v>4.9800000000000004</v>
      </c>
      <c r="E41" s="37">
        <f t="shared" ref="E41:M41" si="0">(((0.2467)*(E21+E22++E23+E24))+((0.12*E32)))+4.98</f>
        <v>4.9800000000000004</v>
      </c>
      <c r="F41" s="37">
        <f t="shared" si="0"/>
        <v>4.9800000000000004</v>
      </c>
      <c r="G41" s="37">
        <f t="shared" si="0"/>
        <v>4.9800000000000004</v>
      </c>
      <c r="H41" s="37">
        <f t="shared" si="0"/>
        <v>4.9800000000000004</v>
      </c>
      <c r="I41" s="37">
        <f t="shared" si="0"/>
        <v>4.9800000000000004</v>
      </c>
      <c r="J41" s="37">
        <f t="shared" si="0"/>
        <v>4.9800000000000004</v>
      </c>
      <c r="K41" s="37">
        <f t="shared" si="0"/>
        <v>4.9800000000000004</v>
      </c>
      <c r="L41" s="37">
        <f t="shared" si="0"/>
        <v>4.9800000000000004</v>
      </c>
      <c r="M41" s="37">
        <f t="shared" si="0"/>
        <v>4.9800000000000004</v>
      </c>
      <c r="N41" s="11"/>
      <c r="O41" s="11"/>
      <c r="P41" s="11"/>
      <c r="Q41" s="11"/>
    </row>
    <row r="42" spans="1:17" ht="17" thickTop="1" thickBot="1" x14ac:dyDescent="0.25">
      <c r="A42" s="34" t="s">
        <v>227</v>
      </c>
      <c r="B42" s="36" t="e">
        <f>IF(HISTORIA!C10="masculino",(530/(1.169-(0.078*LOG10(B21+B22+B23+B25)))-489),(530/(1.2063-(0.0999*LOG10(B21+B22+B23+B25)))-489))</f>
        <v>#NUM!</v>
      </c>
      <c r="C42" s="36" t="e">
        <f>IF(HISTORIA!C10="masculino",(530/(1.169-(0.078*LOG10(C21+C22+C23+C25)))-489),(530/(1.2063-(0.0999*LOG10(C21+C22+C23+C25)))-489))</f>
        <v>#NUM!</v>
      </c>
      <c r="D42" s="36" t="e">
        <f>IF(HISTORIA!C10="masculino",(530/(1.169-(0.078*LOG10(D21+D22+D23+D25)))-489),(530/(1.2063-(0.0999*LOG10(D21+D22+D23+D25)))-489))</f>
        <v>#NUM!</v>
      </c>
      <c r="E42" s="36" t="e">
        <f>IF(HISTORIA!C10="masculino",(530/(1.169-(0.078*LOG10(E21+E22+E23+E25)))-489),(530/(1.2063-(0.0999*LOG10(E21+E22+E23+E25)))-489))</f>
        <v>#NUM!</v>
      </c>
      <c r="F42" s="36" t="e">
        <f>IF(HISTORIA!C10="masculino",(530/(1.169-(0.078*LOG10(F21+F22+F23+F25)))-489),(530/(1.2063-(0.0999*LOG10(F21+F22+F23+F25)))-489))</f>
        <v>#NUM!</v>
      </c>
      <c r="G42" s="36" t="e">
        <f>IF(HISTORIA!C10="masculino",(530/(1.169-(0.078*LOG10(G21+G22+G23+G25)))-489),(530/(1.2063-(0.0999*LOG10(G21+G22+G23+G25)))-489))</f>
        <v>#NUM!</v>
      </c>
      <c r="H42" s="36" t="e">
        <f>IF(HISTORIA!C10="masculino",(530/(1.169-(0.078*LOG10(H21+H22+H23+H25)))-489),(530/(1.2063-(0.0999*LOG10(H21+H22+H23+H25)))-489))</f>
        <v>#NUM!</v>
      </c>
      <c r="I42" s="36" t="e">
        <f>IF(HISTORIA!C10="masculino",(530/(1.169-(0.078*LOG10(I21+I22+I23+I25)))-489),(530/(1.2063-(0.0999*LOG10(I21+I22+I23+I25)))-489))</f>
        <v>#NUM!</v>
      </c>
      <c r="J42" s="36" t="e">
        <f>IF(HISTORIA!C10="masculino",(530/(1.169-(0.078*LOG10(J21+J22+J23+J25)))-489),(530/(1.2063-(0.0999*LOG10(J21+J22+J23+J25)))-489))</f>
        <v>#NUM!</v>
      </c>
      <c r="K42" s="36" t="e">
        <f>IF(HISTORIA!C10="masculino",(530/(1.169-(0.078*LOG10(K21+K22+K23+K25)))-489),(530/(1.2063-(0.0999*LOG10(K21+K22+K23+K25)))-489))</f>
        <v>#NUM!</v>
      </c>
      <c r="L42" s="36" t="e">
        <f>IF(HISTORIA!C10="masculino",(530/(1.169-(0.078*LOG10(L21+L22+L23+L25)))-489),(530/(1.2063-(0.0999*LOG10(L21+L22+L23+L25)))-489))</f>
        <v>#NUM!</v>
      </c>
      <c r="M42" s="36" t="e">
        <f>IF(HISTORIA!C10="masculino",(530/(1.169-(0.078*LOG10(M21+M22+M23+M25)))-489),(530/(1.2063-(0.0999*LOG10(M21+M22+M23+M25)))-489))</f>
        <v>#NUM!</v>
      </c>
      <c r="N42" s="11"/>
      <c r="O42" s="11"/>
      <c r="P42" s="11"/>
      <c r="Q42" s="11"/>
    </row>
    <row r="43" spans="1:17" ht="18" thickTop="1" thickBot="1" x14ac:dyDescent="0.25">
      <c r="A43" s="38" t="s">
        <v>228</v>
      </c>
      <c r="B43" s="39" t="e">
        <f>IF(HISTORIA!C10="masculino",(530/(1.1533-(0.0643*LOG10(B21+B22+B23+B25)))-489),(530/(1.1369-(0.0598*LOG10(B21+B22+B23+B25)))-489))</f>
        <v>#NUM!</v>
      </c>
      <c r="C43" s="39" t="e">
        <f>IF(HISTORIA!C10="masculino",(530/(1.1533-(0.0643*LOG10(C21+C22+C23+C25)))-489),(530/(1.1369-(0.0598*LOG10(C21+C22+C23+C25)))-489))</f>
        <v>#NUM!</v>
      </c>
      <c r="D43" s="39" t="e">
        <f>IF(HISTORIA!C10="masculino",(530/(1.1533-(0.0643*LOG10(D21+D22+D23+D25)))-489),(530/(1.1369-(0.0598*LOG10(D21+D22+D23+D25)))-489))</f>
        <v>#NUM!</v>
      </c>
      <c r="E43" s="39" t="e">
        <f>IF(HISTORIA!C10="masculino",(530/(1.1533-(0.0643*LOG10(E21+E22+E23+E25)))-489),(530/(1.1369-(0.0598*LOG10(E21+E22+E23+E25)))-489))</f>
        <v>#NUM!</v>
      </c>
      <c r="F43" s="39" t="e">
        <f>IF(HISTORIA!C10="masculino",(530/(1.1533-(0.0643*LOG10(F21+F22+F23+F25)))-489),(530/(1.1369-(0.0598*LOG10(F21+F22+F23+F25)))-489))</f>
        <v>#NUM!</v>
      </c>
      <c r="G43" s="39" t="e">
        <f>IF(HISTORIA!C10="masculino",(530/(1.1533-(0.0643*LOG10(G21+G22+G23+G25)))-489),(530/(1.1369-(0.0598*LOG10(G21+G22+G23+G25)))-489))</f>
        <v>#NUM!</v>
      </c>
      <c r="H43" s="39" t="e">
        <f>IF(HISTORIA!C10="masculino",(530/(1.1533-(0.0643*LOG10(H21+H22+H23+H25)))-489),(530/(1.1369-(0.0598*LOG10(H21+H22+H23+H25)))-489))</f>
        <v>#NUM!</v>
      </c>
      <c r="I43" s="39" t="e">
        <f>IF(HISTORIA!C10="masculino",(530/(1.1533-(0.0643*LOG10(I21+I22+I23+I25)))-489),(530/(1.1369-(0.0598*LOG10(I21+I22+I23+I25)))-489))</f>
        <v>#NUM!</v>
      </c>
      <c r="J43" s="39" t="e">
        <f>IF(HISTORIA!C10="masculino",(530/(1.1533-(0.0643*LOG10(J21+J22+J23+J25)))-489),(530/(1.1369-(0.0598*LOG10(J21+J22+J23+J25)))-489))</f>
        <v>#NUM!</v>
      </c>
      <c r="K43" s="39" t="e">
        <f>IF(HISTORIA!C10="masculino",(530/(1.1533-(0.0643*LOG10(K21+K22+K23+K25)))-489),(530/(1.1369-(0.0598*LOG10(K21+K22+K23+K25)))-489))</f>
        <v>#NUM!</v>
      </c>
      <c r="L43" s="39" t="e">
        <f>IF(HISTORIA!C10="masculino",(530/(1.1533-(0.0643*LOG10(L21+L22+L23+L25)))-489),(530/(1.1369-(0.0598*LOG10(L21+L22+L23+L25)))-489))</f>
        <v>#NUM!</v>
      </c>
      <c r="M43" s="39" t="e">
        <f>IF(HISTORIA!C10="masculino",(530/(1.1533-(0.0643*LOG10(M21+M22+M23+M25)))-489),(530/(1.1369-(0.0598*LOG10(M21+M22+M23+M25)))-489))</f>
        <v>#NUM!</v>
      </c>
      <c r="N43" s="11"/>
      <c r="O43" s="11"/>
      <c r="P43" s="11"/>
      <c r="Q43" s="11"/>
    </row>
    <row r="44" spans="1:17" ht="17" thickTop="1" thickBot="1" x14ac:dyDescent="0.25">
      <c r="A44" s="40" t="s">
        <v>28</v>
      </c>
      <c r="B44" s="30">
        <v>22.4</v>
      </c>
      <c r="C44" s="8">
        <v>31.8</v>
      </c>
      <c r="D44" s="9"/>
      <c r="E44" s="41"/>
      <c r="F44" s="9"/>
      <c r="G44" s="41"/>
      <c r="H44" s="9"/>
      <c r="I44" s="41"/>
      <c r="J44" s="9"/>
      <c r="K44" s="41"/>
      <c r="L44" s="9"/>
      <c r="M44" s="42"/>
      <c r="N44" s="11"/>
      <c r="O44" s="11"/>
      <c r="P44" s="11"/>
      <c r="Q44" s="11"/>
    </row>
    <row r="45" spans="1:17" ht="17" thickTop="1" thickBot="1" x14ac:dyDescent="0.25">
      <c r="A45" s="40" t="s">
        <v>32</v>
      </c>
      <c r="B45" s="20">
        <v>15</v>
      </c>
      <c r="C45" s="7">
        <v>15</v>
      </c>
      <c r="D45" s="6"/>
      <c r="E45" s="30"/>
      <c r="F45" s="6"/>
      <c r="G45" s="30"/>
      <c r="H45" s="6"/>
      <c r="I45" s="30"/>
      <c r="J45" s="6"/>
      <c r="K45" s="30"/>
      <c r="L45" s="6"/>
      <c r="M45" s="20"/>
      <c r="N45" s="11"/>
      <c r="O45" s="11"/>
      <c r="P45" s="11"/>
      <c r="Q45" s="11"/>
    </row>
    <row r="46" spans="1:17" ht="17" thickTop="1" thickBot="1" x14ac:dyDescent="0.25">
      <c r="A46" s="40" t="s">
        <v>33</v>
      </c>
      <c r="B46" s="20">
        <v>20</v>
      </c>
      <c r="C46" s="43">
        <v>20</v>
      </c>
      <c r="D46" s="24"/>
      <c r="E46" s="31"/>
      <c r="F46" s="24"/>
      <c r="G46" s="31"/>
      <c r="H46" s="24"/>
      <c r="I46" s="31"/>
      <c r="J46" s="24"/>
      <c r="K46" s="31"/>
      <c r="L46" s="24"/>
      <c r="M46" s="23"/>
      <c r="N46" s="11"/>
      <c r="O46" s="11"/>
      <c r="P46" s="11"/>
      <c r="Q46" s="11"/>
    </row>
    <row r="47" spans="1:17" ht="17" thickTop="1" thickBot="1" x14ac:dyDescent="0.25">
      <c r="A47" s="44" t="s">
        <v>29</v>
      </c>
      <c r="B47" s="45">
        <f>(B18*(B44/100))</f>
        <v>0</v>
      </c>
      <c r="C47" s="46">
        <f t="shared" ref="C47:M47" si="1">(C18*(C44/100))</f>
        <v>0</v>
      </c>
      <c r="D47" s="46">
        <f t="shared" si="1"/>
        <v>0</v>
      </c>
      <c r="E47" s="46">
        <f t="shared" si="1"/>
        <v>0</v>
      </c>
      <c r="F47" s="46">
        <f t="shared" si="1"/>
        <v>0</v>
      </c>
      <c r="G47" s="46">
        <f t="shared" si="1"/>
        <v>0</v>
      </c>
      <c r="H47" s="46">
        <f t="shared" si="1"/>
        <v>0</v>
      </c>
      <c r="I47" s="46">
        <f t="shared" si="1"/>
        <v>0</v>
      </c>
      <c r="J47" s="46">
        <f t="shared" si="1"/>
        <v>0</v>
      </c>
      <c r="K47" s="46">
        <f t="shared" si="1"/>
        <v>0</v>
      </c>
      <c r="L47" s="46">
        <f t="shared" si="1"/>
        <v>0</v>
      </c>
      <c r="M47" s="46">
        <f t="shared" si="1"/>
        <v>0</v>
      </c>
      <c r="N47" s="11"/>
      <c r="O47" s="11"/>
      <c r="P47" s="11"/>
      <c r="Q47" s="11"/>
    </row>
    <row r="48" spans="1:17" ht="17" thickTop="1" thickBot="1" x14ac:dyDescent="0.25">
      <c r="A48" s="44" t="s">
        <v>30</v>
      </c>
      <c r="B48" s="36">
        <f>B18-B47</f>
        <v>0</v>
      </c>
      <c r="C48" s="37">
        <f t="shared" ref="C48:M48" si="2">C18-C47</f>
        <v>0</v>
      </c>
      <c r="D48" s="37">
        <f t="shared" si="2"/>
        <v>0</v>
      </c>
      <c r="E48" s="37">
        <f t="shared" si="2"/>
        <v>0</v>
      </c>
      <c r="F48" s="37">
        <f t="shared" si="2"/>
        <v>0</v>
      </c>
      <c r="G48" s="37">
        <f t="shared" si="2"/>
        <v>0</v>
      </c>
      <c r="H48" s="37">
        <f t="shared" si="2"/>
        <v>0</v>
      </c>
      <c r="I48" s="37">
        <f t="shared" si="2"/>
        <v>0</v>
      </c>
      <c r="J48" s="37">
        <f t="shared" si="2"/>
        <v>0</v>
      </c>
      <c r="K48" s="37">
        <f t="shared" si="2"/>
        <v>0</v>
      </c>
      <c r="L48" s="37">
        <f t="shared" si="2"/>
        <v>0</v>
      </c>
      <c r="M48" s="37">
        <f t="shared" si="2"/>
        <v>0</v>
      </c>
      <c r="N48" s="11"/>
      <c r="O48" s="11"/>
      <c r="P48" s="11"/>
      <c r="Q48" s="11"/>
    </row>
    <row r="49" spans="1:17" ht="17" thickTop="1" thickBot="1" x14ac:dyDescent="0.25">
      <c r="A49" s="44" t="s">
        <v>31</v>
      </c>
      <c r="B49" s="47" t="e">
        <f>(B48*100)/B18</f>
        <v>#DIV/0!</v>
      </c>
      <c r="C49" s="48" t="e">
        <f t="shared" ref="C49:M49" si="3">(C48*100)/C18</f>
        <v>#DIV/0!</v>
      </c>
      <c r="D49" s="48" t="e">
        <f t="shared" si="3"/>
        <v>#DIV/0!</v>
      </c>
      <c r="E49" s="48" t="e">
        <f t="shared" si="3"/>
        <v>#DIV/0!</v>
      </c>
      <c r="F49" s="48" t="e">
        <f t="shared" si="3"/>
        <v>#DIV/0!</v>
      </c>
      <c r="G49" s="48" t="e">
        <f t="shared" si="3"/>
        <v>#DIV/0!</v>
      </c>
      <c r="H49" s="48" t="e">
        <f t="shared" si="3"/>
        <v>#DIV/0!</v>
      </c>
      <c r="I49" s="48" t="e">
        <f t="shared" si="3"/>
        <v>#DIV/0!</v>
      </c>
      <c r="J49" s="48" t="e">
        <f t="shared" si="3"/>
        <v>#DIV/0!</v>
      </c>
      <c r="K49" s="48" t="e">
        <f t="shared" si="3"/>
        <v>#DIV/0!</v>
      </c>
      <c r="L49" s="48" t="e">
        <f t="shared" si="3"/>
        <v>#DIV/0!</v>
      </c>
      <c r="M49" s="48" t="e">
        <f t="shared" si="3"/>
        <v>#DIV/0!</v>
      </c>
      <c r="N49" s="11"/>
      <c r="O49" s="11"/>
      <c r="P49" s="11"/>
      <c r="Q49" s="11"/>
    </row>
    <row r="50" spans="1:17" ht="17" thickTop="1" thickBot="1" x14ac:dyDescent="0.25">
      <c r="A50" s="44" t="s">
        <v>36</v>
      </c>
      <c r="B50" s="36" t="e">
        <f>B18/(POWER(B19/100,2))</f>
        <v>#DIV/0!</v>
      </c>
      <c r="C50" s="37" t="e">
        <f t="shared" ref="C50:M50" si="4">C18/(POWER(C19/100,2))</f>
        <v>#DIV/0!</v>
      </c>
      <c r="D50" s="37" t="e">
        <f t="shared" si="4"/>
        <v>#DIV/0!</v>
      </c>
      <c r="E50" s="37" t="e">
        <f t="shared" si="4"/>
        <v>#DIV/0!</v>
      </c>
      <c r="F50" s="37" t="e">
        <f t="shared" si="4"/>
        <v>#DIV/0!</v>
      </c>
      <c r="G50" s="37" t="e">
        <f t="shared" si="4"/>
        <v>#DIV/0!</v>
      </c>
      <c r="H50" s="37" t="e">
        <f t="shared" si="4"/>
        <v>#DIV/0!</v>
      </c>
      <c r="I50" s="37" t="e">
        <f t="shared" si="4"/>
        <v>#DIV/0!</v>
      </c>
      <c r="J50" s="37" t="e">
        <f t="shared" si="4"/>
        <v>#DIV/0!</v>
      </c>
      <c r="K50" s="37" t="e">
        <f t="shared" si="4"/>
        <v>#DIV/0!</v>
      </c>
      <c r="L50" s="37" t="e">
        <f t="shared" si="4"/>
        <v>#DIV/0!</v>
      </c>
      <c r="M50" s="37" t="e">
        <f t="shared" si="4"/>
        <v>#DIV/0!</v>
      </c>
      <c r="N50" s="11"/>
      <c r="O50" s="11"/>
      <c r="P50" s="11"/>
      <c r="Q50" s="11"/>
    </row>
    <row r="51" spans="1:17" ht="17" thickTop="1" thickBot="1" x14ac:dyDescent="0.25">
      <c r="A51" s="44" t="s">
        <v>37</v>
      </c>
      <c r="B51" s="49" t="e">
        <f>B32/B33</f>
        <v>#DIV/0!</v>
      </c>
      <c r="C51" s="48" t="e">
        <f t="shared" ref="C51:M51" si="5">C32/C33</f>
        <v>#DIV/0!</v>
      </c>
      <c r="D51" s="48" t="e">
        <f t="shared" si="5"/>
        <v>#DIV/0!</v>
      </c>
      <c r="E51" s="48" t="e">
        <f t="shared" si="5"/>
        <v>#DIV/0!</v>
      </c>
      <c r="F51" s="48" t="e">
        <f t="shared" si="5"/>
        <v>#DIV/0!</v>
      </c>
      <c r="G51" s="48" t="e">
        <f t="shared" si="5"/>
        <v>#DIV/0!</v>
      </c>
      <c r="H51" s="48" t="e">
        <f t="shared" si="5"/>
        <v>#DIV/0!</v>
      </c>
      <c r="I51" s="48" t="e">
        <f t="shared" si="5"/>
        <v>#DIV/0!</v>
      </c>
      <c r="J51" s="48" t="e">
        <f t="shared" si="5"/>
        <v>#DIV/0!</v>
      </c>
      <c r="K51" s="48" t="e">
        <f t="shared" si="5"/>
        <v>#DIV/0!</v>
      </c>
      <c r="L51" s="48" t="e">
        <f t="shared" si="5"/>
        <v>#DIV/0!</v>
      </c>
      <c r="M51" s="48" t="e">
        <f t="shared" si="5"/>
        <v>#DIV/0!</v>
      </c>
      <c r="N51" s="11"/>
      <c r="O51" s="11"/>
      <c r="P51" s="11"/>
      <c r="Q51" s="11"/>
    </row>
    <row r="52" spans="1:17" ht="17" thickTop="1" thickBot="1" x14ac:dyDescent="0.25">
      <c r="A52" s="44" t="s">
        <v>38</v>
      </c>
      <c r="B52" s="36" t="e">
        <f>(B21+B22+B24+B26+B27+B28)*(170.18/B19)</f>
        <v>#DIV/0!</v>
      </c>
      <c r="C52" s="48" t="e">
        <f t="shared" ref="C52:M52" si="6">(C21+C22+C24+C26+C27+C28)*(170.18/C19)</f>
        <v>#DIV/0!</v>
      </c>
      <c r="D52" s="48" t="e">
        <f t="shared" si="6"/>
        <v>#DIV/0!</v>
      </c>
      <c r="E52" s="48" t="e">
        <f t="shared" si="6"/>
        <v>#DIV/0!</v>
      </c>
      <c r="F52" s="48" t="e">
        <f t="shared" si="6"/>
        <v>#DIV/0!</v>
      </c>
      <c r="G52" s="48" t="e">
        <f t="shared" si="6"/>
        <v>#DIV/0!</v>
      </c>
      <c r="H52" s="48" t="e">
        <f t="shared" si="6"/>
        <v>#DIV/0!</v>
      </c>
      <c r="I52" s="48" t="e">
        <f t="shared" si="6"/>
        <v>#DIV/0!</v>
      </c>
      <c r="J52" s="48" t="e">
        <f t="shared" si="6"/>
        <v>#DIV/0!</v>
      </c>
      <c r="K52" s="48" t="e">
        <f t="shared" si="6"/>
        <v>#DIV/0!</v>
      </c>
      <c r="L52" s="48" t="e">
        <f t="shared" si="6"/>
        <v>#DIV/0!</v>
      </c>
      <c r="M52" s="48" t="e">
        <f t="shared" si="6"/>
        <v>#DIV/0!</v>
      </c>
      <c r="N52" s="11"/>
      <c r="O52" s="11"/>
      <c r="P52" s="11"/>
      <c r="Q52" s="11"/>
    </row>
    <row r="53" spans="1:17" ht="17" thickTop="1" thickBot="1" x14ac:dyDescent="0.25">
      <c r="A53" s="44" t="s">
        <v>39</v>
      </c>
      <c r="B53" s="39" t="e">
        <f>B18*(POWER(170.18/B19,3))</f>
        <v>#DIV/0!</v>
      </c>
      <c r="C53" s="50" t="e">
        <f t="shared" ref="C53:M53" si="7">C18*(POWER(170.18/C19,3))</f>
        <v>#DIV/0!</v>
      </c>
      <c r="D53" s="50" t="e">
        <f t="shared" si="7"/>
        <v>#DIV/0!</v>
      </c>
      <c r="E53" s="50" t="e">
        <f t="shared" si="7"/>
        <v>#DIV/0!</v>
      </c>
      <c r="F53" s="50" t="e">
        <f t="shared" si="7"/>
        <v>#DIV/0!</v>
      </c>
      <c r="G53" s="50" t="e">
        <f t="shared" si="7"/>
        <v>#DIV/0!</v>
      </c>
      <c r="H53" s="50" t="e">
        <f t="shared" si="7"/>
        <v>#DIV/0!</v>
      </c>
      <c r="I53" s="50" t="e">
        <f t="shared" si="7"/>
        <v>#DIV/0!</v>
      </c>
      <c r="J53" s="50" t="e">
        <f t="shared" si="7"/>
        <v>#DIV/0!</v>
      </c>
      <c r="K53" s="50" t="e">
        <f t="shared" si="7"/>
        <v>#DIV/0!</v>
      </c>
      <c r="L53" s="50" t="e">
        <f t="shared" si="7"/>
        <v>#DIV/0!</v>
      </c>
      <c r="M53" s="50" t="e">
        <f t="shared" si="7"/>
        <v>#DIV/0!</v>
      </c>
      <c r="N53" s="11"/>
      <c r="O53" s="11"/>
      <c r="P53" s="11"/>
      <c r="Q53" s="11"/>
    </row>
    <row r="54" spans="1:17" ht="17" thickTop="1" thickBot="1" x14ac:dyDescent="0.25">
      <c r="A54" s="44" t="s">
        <v>74</v>
      </c>
      <c r="B54" s="36">
        <f>B21+B22+B23+B24</f>
        <v>0</v>
      </c>
      <c r="C54" s="37">
        <f t="shared" ref="C54:M54" si="8">C21+C22+C23+C24</f>
        <v>0</v>
      </c>
      <c r="D54" s="37">
        <f t="shared" si="8"/>
        <v>0</v>
      </c>
      <c r="E54" s="37">
        <f t="shared" si="8"/>
        <v>0</v>
      </c>
      <c r="F54" s="37">
        <f t="shared" si="8"/>
        <v>0</v>
      </c>
      <c r="G54" s="37">
        <f t="shared" si="8"/>
        <v>0</v>
      </c>
      <c r="H54" s="37">
        <f t="shared" si="8"/>
        <v>0</v>
      </c>
      <c r="I54" s="37">
        <f t="shared" si="8"/>
        <v>0</v>
      </c>
      <c r="J54" s="37">
        <f t="shared" si="8"/>
        <v>0</v>
      </c>
      <c r="K54" s="37">
        <f t="shared" si="8"/>
        <v>0</v>
      </c>
      <c r="L54" s="37">
        <f t="shared" si="8"/>
        <v>0</v>
      </c>
      <c r="M54" s="37">
        <f t="shared" si="8"/>
        <v>0</v>
      </c>
      <c r="N54" s="11"/>
      <c r="O54" s="11"/>
      <c r="P54" s="11"/>
      <c r="Q54" s="11"/>
    </row>
    <row r="55" spans="1:17" ht="17" thickTop="1" thickBot="1" x14ac:dyDescent="0.25">
      <c r="A55" s="44" t="s">
        <v>75</v>
      </c>
      <c r="B55" s="36">
        <f>B21+B22+B25+B26+B27+B28</f>
        <v>0</v>
      </c>
      <c r="C55" s="37">
        <f t="shared" ref="C55:M55" si="9">C21+C22+C25+C26+C27+C28</f>
        <v>0</v>
      </c>
      <c r="D55" s="37">
        <f t="shared" si="9"/>
        <v>0</v>
      </c>
      <c r="E55" s="37">
        <f t="shared" si="9"/>
        <v>0</v>
      </c>
      <c r="F55" s="37">
        <f t="shared" si="9"/>
        <v>0</v>
      </c>
      <c r="G55" s="37">
        <f t="shared" si="9"/>
        <v>0</v>
      </c>
      <c r="H55" s="37">
        <f t="shared" si="9"/>
        <v>0</v>
      </c>
      <c r="I55" s="37">
        <f t="shared" si="9"/>
        <v>0</v>
      </c>
      <c r="J55" s="37">
        <f t="shared" si="9"/>
        <v>0</v>
      </c>
      <c r="K55" s="37">
        <f t="shared" si="9"/>
        <v>0</v>
      </c>
      <c r="L55" s="37">
        <f t="shared" si="9"/>
        <v>0</v>
      </c>
      <c r="M55" s="37">
        <f t="shared" si="9"/>
        <v>0</v>
      </c>
      <c r="N55" s="11"/>
      <c r="O55" s="11"/>
      <c r="P55" s="11"/>
      <c r="Q55" s="11"/>
    </row>
    <row r="56" spans="1:17" ht="17" thickTop="1" thickBot="1" x14ac:dyDescent="0.25">
      <c r="A56" s="51" t="s">
        <v>76</v>
      </c>
      <c r="B56" s="39">
        <f>SUM(B21:B28)</f>
        <v>0</v>
      </c>
      <c r="C56" s="50">
        <f t="shared" ref="C56:M56" si="10">SUM(C21:C28)</f>
        <v>0</v>
      </c>
      <c r="D56" s="50">
        <f t="shared" si="10"/>
        <v>0</v>
      </c>
      <c r="E56" s="50">
        <f t="shared" si="10"/>
        <v>0</v>
      </c>
      <c r="F56" s="50">
        <f t="shared" si="10"/>
        <v>0</v>
      </c>
      <c r="G56" s="50">
        <f t="shared" si="10"/>
        <v>0</v>
      </c>
      <c r="H56" s="50">
        <f t="shared" si="10"/>
        <v>0</v>
      </c>
      <c r="I56" s="50">
        <f t="shared" si="10"/>
        <v>0</v>
      </c>
      <c r="J56" s="50">
        <f t="shared" si="10"/>
        <v>0</v>
      </c>
      <c r="K56" s="50">
        <f t="shared" si="10"/>
        <v>0</v>
      </c>
      <c r="L56" s="50">
        <f t="shared" si="10"/>
        <v>0</v>
      </c>
      <c r="M56" s="50">
        <f t="shared" si="10"/>
        <v>0</v>
      </c>
      <c r="N56" s="11"/>
      <c r="O56" s="11"/>
      <c r="P56" s="11"/>
      <c r="Q56" s="11"/>
    </row>
    <row r="57" spans="1:17" ht="17" thickTop="1" thickBot="1" x14ac:dyDescent="0.25">
      <c r="A57" s="990" t="s">
        <v>79</v>
      </c>
      <c r="B57" s="1002"/>
      <c r="C57" s="1002"/>
      <c r="D57" s="1002"/>
      <c r="E57" s="1002"/>
      <c r="F57" s="1002"/>
      <c r="G57" s="1002"/>
      <c r="H57" s="1002"/>
      <c r="I57" s="1002"/>
      <c r="J57" s="1002"/>
      <c r="K57" s="1002"/>
      <c r="L57" s="1002"/>
      <c r="M57" s="1002"/>
      <c r="N57" s="11"/>
      <c r="O57" s="11"/>
      <c r="P57" s="11"/>
      <c r="Q57" s="11"/>
    </row>
    <row r="58" spans="1:17" ht="17" thickTop="1" thickBot="1" x14ac:dyDescent="0.25">
      <c r="A58" s="52" t="s">
        <v>34</v>
      </c>
      <c r="B58" s="53">
        <f>(B48*100)/(100-B45)</f>
        <v>0</v>
      </c>
      <c r="C58" s="54">
        <f t="shared" ref="C58:M58" si="11">(C48*100)/(100-C45)</f>
        <v>0</v>
      </c>
      <c r="D58" s="54">
        <f t="shared" si="11"/>
        <v>0</v>
      </c>
      <c r="E58" s="54">
        <f t="shared" si="11"/>
        <v>0</v>
      </c>
      <c r="F58" s="54">
        <f t="shared" si="11"/>
        <v>0</v>
      </c>
      <c r="G58" s="54">
        <f t="shared" si="11"/>
        <v>0</v>
      </c>
      <c r="H58" s="54">
        <f t="shared" si="11"/>
        <v>0</v>
      </c>
      <c r="I58" s="54">
        <f t="shared" si="11"/>
        <v>0</v>
      </c>
      <c r="J58" s="54">
        <f t="shared" si="11"/>
        <v>0</v>
      </c>
      <c r="K58" s="54">
        <f t="shared" si="11"/>
        <v>0</v>
      </c>
      <c r="L58" s="54">
        <f t="shared" si="11"/>
        <v>0</v>
      </c>
      <c r="M58" s="54">
        <f t="shared" si="11"/>
        <v>0</v>
      </c>
      <c r="N58" s="11"/>
      <c r="O58" s="11"/>
      <c r="P58" s="11"/>
      <c r="Q58" s="11"/>
    </row>
    <row r="59" spans="1:17" ht="17" thickTop="1" thickBot="1" x14ac:dyDescent="0.25">
      <c r="A59" s="55" t="s">
        <v>35</v>
      </c>
      <c r="B59" s="56">
        <f>(B48*100)/(100-B46)</f>
        <v>0</v>
      </c>
      <c r="C59" s="57">
        <f t="shared" ref="C59:M59" si="12">(C48*100)/(100-C46)</f>
        <v>0</v>
      </c>
      <c r="D59" s="57">
        <f t="shared" si="12"/>
        <v>0</v>
      </c>
      <c r="E59" s="57">
        <f t="shared" si="12"/>
        <v>0</v>
      </c>
      <c r="F59" s="57">
        <f t="shared" si="12"/>
        <v>0</v>
      </c>
      <c r="G59" s="57">
        <f t="shared" si="12"/>
        <v>0</v>
      </c>
      <c r="H59" s="57">
        <f t="shared" si="12"/>
        <v>0</v>
      </c>
      <c r="I59" s="57">
        <f t="shared" si="12"/>
        <v>0</v>
      </c>
      <c r="J59" s="57">
        <f t="shared" si="12"/>
        <v>0</v>
      </c>
      <c r="K59" s="57">
        <f t="shared" si="12"/>
        <v>0</v>
      </c>
      <c r="L59" s="57">
        <f t="shared" si="12"/>
        <v>0</v>
      </c>
      <c r="M59" s="57">
        <f t="shared" si="12"/>
        <v>0</v>
      </c>
      <c r="N59" s="11"/>
      <c r="O59" s="11"/>
      <c r="P59" s="11"/>
      <c r="Q59" s="11"/>
    </row>
    <row r="60" spans="1:17" ht="17" thickTop="1" thickBot="1" x14ac:dyDescent="0.25">
      <c r="A60" s="55" t="s">
        <v>78</v>
      </c>
      <c r="B60" s="58">
        <v>84</v>
      </c>
      <c r="C60" s="58">
        <v>84</v>
      </c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11"/>
      <c r="O60" s="11"/>
      <c r="P60" s="11"/>
      <c r="Q60" s="11"/>
    </row>
    <row r="61" spans="1:17" ht="17" thickTop="1" thickBot="1" x14ac:dyDescent="0.25">
      <c r="A61" s="59" t="s">
        <v>77</v>
      </c>
      <c r="B61" s="60">
        <f>B18-B60</f>
        <v>-84</v>
      </c>
      <c r="C61" s="61">
        <f t="shared" ref="C61:M61" si="13">C18-C60</f>
        <v>-84</v>
      </c>
      <c r="D61" s="61">
        <f t="shared" si="13"/>
        <v>0</v>
      </c>
      <c r="E61" s="61">
        <f t="shared" si="13"/>
        <v>0</v>
      </c>
      <c r="F61" s="61">
        <f t="shared" si="13"/>
        <v>0</v>
      </c>
      <c r="G61" s="61">
        <f t="shared" si="13"/>
        <v>0</v>
      </c>
      <c r="H61" s="61">
        <f t="shared" si="13"/>
        <v>0</v>
      </c>
      <c r="I61" s="61">
        <f t="shared" si="13"/>
        <v>0</v>
      </c>
      <c r="J61" s="61">
        <f t="shared" si="13"/>
        <v>0</v>
      </c>
      <c r="K61" s="61">
        <f t="shared" si="13"/>
        <v>0</v>
      </c>
      <c r="L61" s="61">
        <f t="shared" si="13"/>
        <v>0</v>
      </c>
      <c r="M61" s="61">
        <f t="shared" si="13"/>
        <v>0</v>
      </c>
      <c r="N61" s="11"/>
      <c r="O61" s="11"/>
      <c r="P61" s="11"/>
      <c r="Q61" s="11"/>
    </row>
    <row r="62" spans="1:17" ht="17" thickTop="1" thickBot="1" x14ac:dyDescent="0.25">
      <c r="A62" s="990" t="s">
        <v>40</v>
      </c>
      <c r="B62" s="990"/>
      <c r="C62" s="990"/>
      <c r="D62" s="990"/>
      <c r="E62" s="990"/>
      <c r="F62" s="990"/>
      <c r="G62" s="990"/>
      <c r="H62" s="990"/>
      <c r="I62" s="990"/>
      <c r="J62" s="990"/>
      <c r="K62" s="990"/>
      <c r="L62" s="990"/>
      <c r="M62" s="990"/>
      <c r="N62" s="11"/>
      <c r="O62" s="11"/>
      <c r="P62" s="11"/>
      <c r="Q62" s="11"/>
    </row>
    <row r="63" spans="1:17" ht="17" thickTop="1" thickBot="1" x14ac:dyDescent="0.25">
      <c r="A63" s="62" t="s">
        <v>41</v>
      </c>
      <c r="B63" s="33" t="e">
        <f>(0.1451*((B21+B22+B25)*(170.18/B19)))-(0.00068* POWER(((B21+B22+B25)*(170.18/B19)),2))+(0.00000014*POWER(((B21+B22+B25)*(170.18/B19)),3))-0.7182</f>
        <v>#DIV/0!</v>
      </c>
      <c r="C63" s="63" t="e">
        <f t="shared" ref="C63:M63" si="14">(0.1451*((C21+C22+C25)*(170.18/C19)))-(0.00068* POWER(((C21+C22+C25)*(170.18/C19)),2))+(0.00000014*POWER(((C21+C22+C25)*(170.18/C19)),3))-0.7182</f>
        <v>#DIV/0!</v>
      </c>
      <c r="D63" s="63" t="e">
        <f t="shared" si="14"/>
        <v>#DIV/0!</v>
      </c>
      <c r="E63" s="63" t="e">
        <f t="shared" si="14"/>
        <v>#DIV/0!</v>
      </c>
      <c r="F63" s="63" t="e">
        <f t="shared" si="14"/>
        <v>#DIV/0!</v>
      </c>
      <c r="G63" s="63" t="e">
        <f t="shared" si="14"/>
        <v>#DIV/0!</v>
      </c>
      <c r="H63" s="63" t="e">
        <f t="shared" si="14"/>
        <v>#DIV/0!</v>
      </c>
      <c r="I63" s="63" t="e">
        <f t="shared" si="14"/>
        <v>#DIV/0!</v>
      </c>
      <c r="J63" s="63" t="e">
        <f t="shared" si="14"/>
        <v>#DIV/0!</v>
      </c>
      <c r="K63" s="63" t="e">
        <f t="shared" si="14"/>
        <v>#DIV/0!</v>
      </c>
      <c r="L63" s="63" t="e">
        <f t="shared" si="14"/>
        <v>#DIV/0!</v>
      </c>
      <c r="M63" s="63" t="e">
        <f t="shared" si="14"/>
        <v>#DIV/0!</v>
      </c>
      <c r="N63" s="11"/>
      <c r="O63" s="11"/>
      <c r="P63" s="11"/>
      <c r="Q63" s="11"/>
    </row>
    <row r="64" spans="1:17" ht="17" thickTop="1" thickBot="1" x14ac:dyDescent="0.25">
      <c r="A64" s="64" t="s">
        <v>42</v>
      </c>
      <c r="B64" s="36">
        <f>(0.858*B36)+(0.601*B37)+(0.188*(B31-(B21/10)))+(0.161*(B34-(B28/10)))-(0.131*B19)+4.5</f>
        <v>4.5</v>
      </c>
      <c r="C64" s="37">
        <f t="shared" ref="C64:M64" si="15">(0.858*C36)+(0.601*C37)+(0.188*(C31-(C21/10)))+(0.161*(C34-(C28/10)))-(0.131*C19)+4.5</f>
        <v>4.5</v>
      </c>
      <c r="D64" s="37">
        <f t="shared" si="15"/>
        <v>4.5</v>
      </c>
      <c r="E64" s="37">
        <f t="shared" si="15"/>
        <v>4.5</v>
      </c>
      <c r="F64" s="37">
        <f t="shared" si="15"/>
        <v>4.5</v>
      </c>
      <c r="G64" s="37">
        <f t="shared" si="15"/>
        <v>4.5</v>
      </c>
      <c r="H64" s="37">
        <f t="shared" si="15"/>
        <v>4.5</v>
      </c>
      <c r="I64" s="37">
        <f t="shared" si="15"/>
        <v>4.5</v>
      </c>
      <c r="J64" s="37">
        <f t="shared" si="15"/>
        <v>4.5</v>
      </c>
      <c r="K64" s="37">
        <f t="shared" si="15"/>
        <v>4.5</v>
      </c>
      <c r="L64" s="37">
        <f t="shared" si="15"/>
        <v>4.5</v>
      </c>
      <c r="M64" s="37">
        <f t="shared" si="15"/>
        <v>4.5</v>
      </c>
      <c r="N64" s="11"/>
      <c r="O64" s="11"/>
      <c r="P64" s="11"/>
      <c r="Q64" s="11"/>
    </row>
    <row r="65" spans="1:17" ht="17" thickTop="1" thickBot="1" x14ac:dyDescent="0.25">
      <c r="A65" s="65" t="s">
        <v>43</v>
      </c>
      <c r="B65" s="36" t="e">
        <f>IF(B66&gt;=40.75,(B66*0.732)-28.58,IF(AND(B66&lt;40.15,B66&gt;38.25),(B66*0.463)-17.63,IF(B66&lt;=38.25,0.1)))</f>
        <v>#DIV/0!</v>
      </c>
      <c r="C65" s="37" t="e">
        <f t="shared" ref="C65:M65" si="16">IF(C66&gt;=40.75,(C66*0.732)-28.58,IF(AND(C66&lt;40.15,C66&gt;38.25),(C66*0.463)-17.63,IF(C6&lt;=38.25,0.1)))</f>
        <v>#DIV/0!</v>
      </c>
      <c r="D65" s="37" t="e">
        <f t="shared" si="16"/>
        <v>#DIV/0!</v>
      </c>
      <c r="E65" s="37" t="e">
        <f t="shared" si="16"/>
        <v>#DIV/0!</v>
      </c>
      <c r="F65" s="37" t="e">
        <f t="shared" si="16"/>
        <v>#DIV/0!</v>
      </c>
      <c r="G65" s="37" t="e">
        <f t="shared" si="16"/>
        <v>#DIV/0!</v>
      </c>
      <c r="H65" s="37" t="e">
        <f t="shared" si="16"/>
        <v>#DIV/0!</v>
      </c>
      <c r="I65" s="37" t="e">
        <f t="shared" si="16"/>
        <v>#DIV/0!</v>
      </c>
      <c r="J65" s="37" t="e">
        <f t="shared" si="16"/>
        <v>#DIV/0!</v>
      </c>
      <c r="K65" s="37" t="e">
        <f t="shared" si="16"/>
        <v>#DIV/0!</v>
      </c>
      <c r="L65" s="37" t="e">
        <f t="shared" si="16"/>
        <v>#DIV/0!</v>
      </c>
      <c r="M65" s="37" t="e">
        <f t="shared" si="16"/>
        <v>#DIV/0!</v>
      </c>
      <c r="N65" s="11"/>
      <c r="O65" s="11"/>
      <c r="P65" s="11"/>
      <c r="Q65" s="11"/>
    </row>
    <row r="66" spans="1:17" ht="17" thickTop="1" thickBot="1" x14ac:dyDescent="0.25">
      <c r="A66" s="64" t="s">
        <v>44</v>
      </c>
      <c r="B66" s="36" t="e">
        <f>B19/POWER(B18,1/3)</f>
        <v>#DIV/0!</v>
      </c>
      <c r="C66" s="37" t="e">
        <f>C19/POWER(C18,1/3)</f>
        <v>#DIV/0!</v>
      </c>
      <c r="D66" s="37" t="e">
        <f t="shared" ref="D66:M66" si="17">D19/POWER(D18,1/3)</f>
        <v>#DIV/0!</v>
      </c>
      <c r="E66" s="37" t="e">
        <f t="shared" si="17"/>
        <v>#DIV/0!</v>
      </c>
      <c r="F66" s="37" t="e">
        <f t="shared" si="17"/>
        <v>#DIV/0!</v>
      </c>
      <c r="G66" s="37" t="e">
        <f t="shared" si="17"/>
        <v>#DIV/0!</v>
      </c>
      <c r="H66" s="37" t="e">
        <f t="shared" si="17"/>
        <v>#DIV/0!</v>
      </c>
      <c r="I66" s="37" t="e">
        <f t="shared" si="17"/>
        <v>#DIV/0!</v>
      </c>
      <c r="J66" s="37" t="e">
        <f t="shared" si="17"/>
        <v>#DIV/0!</v>
      </c>
      <c r="K66" s="37" t="e">
        <f t="shared" si="17"/>
        <v>#DIV/0!</v>
      </c>
      <c r="L66" s="37" t="e">
        <f t="shared" si="17"/>
        <v>#DIV/0!</v>
      </c>
      <c r="M66" s="37" t="e">
        <f t="shared" si="17"/>
        <v>#DIV/0!</v>
      </c>
      <c r="N66" s="11"/>
      <c r="O66" s="11"/>
      <c r="P66" s="11"/>
      <c r="Q66" s="11"/>
    </row>
    <row r="67" spans="1:17" ht="16" thickTop="1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x14ac:dyDescent="0.2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spans="1:17" x14ac:dyDescent="0.2">
      <c r="A84" s="11" t="s">
        <v>23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spans="1:17" x14ac:dyDescent="0.2">
      <c r="A85" s="11" t="s">
        <v>24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spans="1:17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 spans="1:17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</sheetData>
  <mergeCells count="9">
    <mergeCell ref="A62:M62"/>
    <mergeCell ref="A38:M38"/>
    <mergeCell ref="A1:M13"/>
    <mergeCell ref="A14:M14"/>
    <mergeCell ref="B16:M16"/>
    <mergeCell ref="B20:M20"/>
    <mergeCell ref="B29:M29"/>
    <mergeCell ref="B35:M35"/>
    <mergeCell ref="A57:M57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2">
    <tabColor rgb="FF00B050"/>
  </sheetPr>
  <dimension ref="A1:R74"/>
  <sheetViews>
    <sheetView topLeftCell="A12" zoomScaleNormal="100" workbookViewId="0">
      <selection activeCell="F17" sqref="F17"/>
    </sheetView>
  </sheetViews>
  <sheetFormatPr baseColWidth="10" defaultRowHeight="15" x14ac:dyDescent="0.2"/>
  <cols>
    <col min="2" max="2" width="12.6640625" customWidth="1"/>
    <col min="3" max="3" width="13.1640625" customWidth="1"/>
    <col min="4" max="4" width="13.5" customWidth="1"/>
    <col min="5" max="5" width="15.5" customWidth="1"/>
    <col min="6" max="6" width="15" customWidth="1"/>
    <col min="7" max="7" width="15.1640625" customWidth="1"/>
  </cols>
  <sheetData>
    <row r="1" spans="1:18" x14ac:dyDescent="0.2">
      <c r="A1" s="992"/>
      <c r="B1" s="992"/>
      <c r="C1" s="992"/>
      <c r="D1" s="992"/>
      <c r="E1" s="992"/>
      <c r="F1" s="992"/>
      <c r="G1" s="992"/>
      <c r="H1" s="992"/>
      <c r="I1" s="992"/>
      <c r="J1" s="992"/>
      <c r="K1" s="992"/>
      <c r="L1" s="992"/>
      <c r="M1" s="993"/>
      <c r="N1" s="11"/>
      <c r="O1" s="11"/>
      <c r="P1" s="11"/>
      <c r="Q1" s="11"/>
      <c r="R1" s="11"/>
    </row>
    <row r="2" spans="1:18" x14ac:dyDescent="0.2">
      <c r="A2" s="992"/>
      <c r="B2" s="992"/>
      <c r="C2" s="992"/>
      <c r="D2" s="992"/>
      <c r="E2" s="992"/>
      <c r="F2" s="992"/>
      <c r="G2" s="992"/>
      <c r="H2" s="992"/>
      <c r="I2" s="992"/>
      <c r="J2" s="992"/>
      <c r="K2" s="992"/>
      <c r="L2" s="992"/>
      <c r="M2" s="993"/>
      <c r="N2" s="11"/>
      <c r="O2" s="11"/>
      <c r="P2" s="11"/>
      <c r="Q2" s="11"/>
      <c r="R2" s="11"/>
    </row>
    <row r="3" spans="1:18" x14ac:dyDescent="0.2">
      <c r="A3" s="992"/>
      <c r="B3" s="992"/>
      <c r="C3" s="992"/>
      <c r="D3" s="992"/>
      <c r="E3" s="992"/>
      <c r="F3" s="992"/>
      <c r="G3" s="992"/>
      <c r="H3" s="992"/>
      <c r="I3" s="992"/>
      <c r="J3" s="992"/>
      <c r="K3" s="992"/>
      <c r="L3" s="992"/>
      <c r="M3" s="993"/>
      <c r="N3" s="11"/>
      <c r="O3" s="11"/>
      <c r="P3" s="11"/>
      <c r="Q3" s="11"/>
      <c r="R3" s="11"/>
    </row>
    <row r="4" spans="1:18" x14ac:dyDescent="0.2">
      <c r="A4" s="992"/>
      <c r="B4" s="992"/>
      <c r="C4" s="992"/>
      <c r="D4" s="992"/>
      <c r="E4" s="992"/>
      <c r="F4" s="992"/>
      <c r="G4" s="992"/>
      <c r="H4" s="992"/>
      <c r="I4" s="992"/>
      <c r="J4" s="992"/>
      <c r="K4" s="992"/>
      <c r="L4" s="992"/>
      <c r="M4" s="993"/>
      <c r="N4" s="11"/>
      <c r="O4" s="11"/>
      <c r="P4" s="11"/>
      <c r="Q4" s="11"/>
      <c r="R4" s="11"/>
    </row>
    <row r="5" spans="1:18" x14ac:dyDescent="0.2">
      <c r="A5" s="992"/>
      <c r="B5" s="992"/>
      <c r="C5" s="992"/>
      <c r="D5" s="992"/>
      <c r="E5" s="992"/>
      <c r="F5" s="992"/>
      <c r="G5" s="992"/>
      <c r="H5" s="992"/>
      <c r="I5" s="992"/>
      <c r="J5" s="992"/>
      <c r="K5" s="992"/>
      <c r="L5" s="992"/>
      <c r="M5" s="993"/>
      <c r="N5" s="11"/>
      <c r="O5" s="11"/>
      <c r="P5" s="11"/>
      <c r="Q5" s="11"/>
      <c r="R5" s="11"/>
    </row>
    <row r="6" spans="1:18" x14ac:dyDescent="0.2">
      <c r="A6" s="992"/>
      <c r="B6" s="992"/>
      <c r="C6" s="992"/>
      <c r="D6" s="992"/>
      <c r="E6" s="992"/>
      <c r="F6" s="992"/>
      <c r="G6" s="992"/>
      <c r="H6" s="992"/>
      <c r="I6" s="992"/>
      <c r="J6" s="992"/>
      <c r="K6" s="992"/>
      <c r="L6" s="992"/>
      <c r="M6" s="993"/>
      <c r="N6" s="11"/>
      <c r="O6" s="11"/>
      <c r="P6" s="11"/>
      <c r="Q6" s="11"/>
      <c r="R6" s="11"/>
    </row>
    <row r="7" spans="1:18" x14ac:dyDescent="0.2">
      <c r="A7" s="992"/>
      <c r="B7" s="992"/>
      <c r="C7" s="992"/>
      <c r="D7" s="992"/>
      <c r="E7" s="992"/>
      <c r="F7" s="992"/>
      <c r="G7" s="992"/>
      <c r="H7" s="992"/>
      <c r="I7" s="992"/>
      <c r="J7" s="992"/>
      <c r="K7" s="992"/>
      <c r="L7" s="992"/>
      <c r="M7" s="993"/>
      <c r="N7" s="11"/>
      <c r="O7" s="11"/>
      <c r="P7" s="11"/>
      <c r="Q7" s="11"/>
      <c r="R7" s="11"/>
    </row>
    <row r="8" spans="1:18" x14ac:dyDescent="0.2">
      <c r="A8" s="992"/>
      <c r="B8" s="992"/>
      <c r="C8" s="992"/>
      <c r="D8" s="992"/>
      <c r="E8" s="992"/>
      <c r="F8" s="992"/>
      <c r="G8" s="992"/>
      <c r="H8" s="992"/>
      <c r="I8" s="992"/>
      <c r="J8" s="992"/>
      <c r="K8" s="992"/>
      <c r="L8" s="992"/>
      <c r="M8" s="993"/>
      <c r="N8" s="11"/>
      <c r="O8" s="11"/>
      <c r="P8" s="11"/>
      <c r="Q8" s="11"/>
      <c r="R8" s="11"/>
    </row>
    <row r="9" spans="1:18" x14ac:dyDescent="0.2">
      <c r="A9" s="992"/>
      <c r="B9" s="992"/>
      <c r="C9" s="992"/>
      <c r="D9" s="992"/>
      <c r="E9" s="992"/>
      <c r="F9" s="992"/>
      <c r="G9" s="992"/>
      <c r="H9" s="992"/>
      <c r="I9" s="992"/>
      <c r="J9" s="992"/>
      <c r="K9" s="992"/>
      <c r="L9" s="992"/>
      <c r="M9" s="993"/>
      <c r="N9" s="11"/>
      <c r="O9" s="11"/>
      <c r="P9" s="11"/>
      <c r="Q9" s="11"/>
      <c r="R9" s="11"/>
    </row>
    <row r="10" spans="1:18" x14ac:dyDescent="0.2">
      <c r="A10" s="992"/>
      <c r="B10" s="992"/>
      <c r="C10" s="992"/>
      <c r="D10" s="992"/>
      <c r="E10" s="992"/>
      <c r="F10" s="992"/>
      <c r="G10" s="992"/>
      <c r="H10" s="992"/>
      <c r="I10" s="992"/>
      <c r="J10" s="992"/>
      <c r="K10" s="992"/>
      <c r="L10" s="992"/>
      <c r="M10" s="993"/>
      <c r="N10" s="11"/>
      <c r="O10" s="11"/>
      <c r="P10" s="11"/>
      <c r="Q10" s="11"/>
      <c r="R10" s="11"/>
    </row>
    <row r="11" spans="1:18" x14ac:dyDescent="0.2">
      <c r="A11" s="992"/>
      <c r="B11" s="992"/>
      <c r="C11" s="992"/>
      <c r="D11" s="992"/>
      <c r="E11" s="992"/>
      <c r="F11" s="992"/>
      <c r="G11" s="992"/>
      <c r="H11" s="992"/>
      <c r="I11" s="992"/>
      <c r="J11" s="992"/>
      <c r="K11" s="992"/>
      <c r="L11" s="992"/>
      <c r="M11" s="993"/>
      <c r="N11" s="11"/>
      <c r="O11" s="11"/>
      <c r="P11" s="11"/>
      <c r="Q11" s="11"/>
      <c r="R11" s="11"/>
    </row>
    <row r="12" spans="1:18" x14ac:dyDescent="0.2">
      <c r="A12" s="992"/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3"/>
      <c r="N12" s="11"/>
      <c r="O12" s="11"/>
      <c r="P12" s="11"/>
      <c r="Q12" s="11"/>
      <c r="R12" s="11"/>
    </row>
    <row r="13" spans="1:18" ht="16" thickBot="1" x14ac:dyDescent="0.25">
      <c r="A13" s="992"/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3"/>
      <c r="N13" s="11"/>
      <c r="O13" s="11"/>
      <c r="P13" s="11"/>
      <c r="Q13" s="11"/>
      <c r="R13" s="11"/>
    </row>
    <row r="14" spans="1:18" ht="17" thickTop="1" thickBot="1" x14ac:dyDescent="0.25">
      <c r="A14" s="1003" t="s">
        <v>45</v>
      </c>
      <c r="B14" s="1004"/>
      <c r="C14" s="1004"/>
      <c r="D14" s="1004"/>
      <c r="E14" s="1004"/>
      <c r="F14" s="1004"/>
      <c r="G14" s="1004"/>
      <c r="H14" s="1004"/>
      <c r="I14" s="1004"/>
      <c r="J14" s="1004"/>
      <c r="K14" s="1004"/>
      <c r="L14" s="1004"/>
      <c r="M14" s="1005"/>
      <c r="N14" s="11"/>
      <c r="O14" s="11"/>
      <c r="P14" s="11"/>
      <c r="Q14" s="11"/>
      <c r="R14" s="11"/>
    </row>
    <row r="15" spans="1:18" ht="17" thickTop="1" thickBot="1" x14ac:dyDescent="0.25">
      <c r="A15" s="11"/>
      <c r="B15" s="68" t="s">
        <v>47</v>
      </c>
      <c r="C15" s="69" t="s">
        <v>41</v>
      </c>
      <c r="D15" s="70" t="s">
        <v>42</v>
      </c>
      <c r="E15" s="69" t="s">
        <v>46</v>
      </c>
      <c r="F15" s="69" t="s">
        <v>49</v>
      </c>
      <c r="G15" s="71" t="s">
        <v>50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ht="16" thickTop="1" x14ac:dyDescent="0.2">
      <c r="A16" s="11"/>
      <c r="B16" s="4">
        <f>'DATOS ANTROPOMÉTRICOS'!B17</f>
        <v>0</v>
      </c>
      <c r="C16" s="3" t="e">
        <f>'DATOS ANTROPOMÉTRICOS'!B63</f>
        <v>#DIV/0!</v>
      </c>
      <c r="D16" s="3">
        <f>'DATOS ANTROPOMÉTRICOS'!B64</f>
        <v>4.5</v>
      </c>
      <c r="E16" s="3" t="e">
        <f>'DATOS ANTROPOMÉTRICOS'!B65</f>
        <v>#DIV/0!</v>
      </c>
      <c r="F16" s="3" t="e">
        <f>E16-C16</f>
        <v>#DIV/0!</v>
      </c>
      <c r="G16" s="3" t="e">
        <f>(2*D16)-(E16+C16)</f>
        <v>#DIV/0!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2">
      <c r="A17" s="11"/>
      <c r="B17" s="5">
        <f>'DATOS ANTROPOMÉTRICOS'!C17</f>
        <v>0</v>
      </c>
      <c r="C17" s="1" t="e">
        <f>'DATOS ANTROPOMÉTRICOS'!C63</f>
        <v>#DIV/0!</v>
      </c>
      <c r="D17" s="1">
        <f>'DATOS ANTROPOMÉTRICOS'!C64</f>
        <v>4.5</v>
      </c>
      <c r="E17" s="1" t="e">
        <f>'DATOS ANTROPOMÉTRICOS'!C65</f>
        <v>#DIV/0!</v>
      </c>
      <c r="F17" s="1" t="e">
        <f t="shared" ref="F17:F26" si="0">E17-C17</f>
        <v>#DIV/0!</v>
      </c>
      <c r="G17" s="1" t="e">
        <f t="shared" ref="G17:G26" si="1">(2*D17)-(E17+C17)</f>
        <v>#DIV/0!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x14ac:dyDescent="0.2">
      <c r="A18" s="11"/>
      <c r="B18" s="5">
        <f>'DATOS ANTROPOMÉTRICOS'!D17</f>
        <v>0</v>
      </c>
      <c r="C18" s="1" t="e">
        <f>'DATOS ANTROPOMÉTRICOS'!D63</f>
        <v>#DIV/0!</v>
      </c>
      <c r="D18" s="1">
        <f>'DATOS ANTROPOMÉTRICOS'!D64</f>
        <v>4.5</v>
      </c>
      <c r="E18" s="1" t="e">
        <f>'DATOS ANTROPOMÉTRICOS'!D65</f>
        <v>#DIV/0!</v>
      </c>
      <c r="F18" s="1" t="e">
        <f t="shared" si="0"/>
        <v>#DIV/0!</v>
      </c>
      <c r="G18" s="1" t="e">
        <f t="shared" si="1"/>
        <v>#DIV/0!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x14ac:dyDescent="0.2">
      <c r="A19" s="11"/>
      <c r="B19" s="2">
        <f>'DATOS ANTROPOMÉTRICOS'!B20</f>
        <v>0</v>
      </c>
      <c r="C19" s="1" t="e">
        <f>'DATOS ANTROPOMÉTRICOS'!D63</f>
        <v>#DIV/0!</v>
      </c>
      <c r="D19" s="1">
        <f>'DATOS ANTROPOMÉTRICOS'!E64</f>
        <v>4.5</v>
      </c>
      <c r="E19" s="1" t="e">
        <f>'DATOS ANTROPOMÉTRICOS'!E65</f>
        <v>#DIV/0!</v>
      </c>
      <c r="F19" s="1" t="e">
        <f t="shared" si="0"/>
        <v>#DIV/0!</v>
      </c>
      <c r="G19" s="1" t="e">
        <f t="shared" si="1"/>
        <v>#DIV/0!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x14ac:dyDescent="0.2">
      <c r="A20" s="11"/>
      <c r="B20" s="2">
        <f>'DATOS ANTROPOMÉTRICOS'!E17</f>
        <v>0</v>
      </c>
      <c r="C20" s="1" t="e">
        <f>'DATOS ANTROPOMÉTRICOS'!E63</f>
        <v>#DIV/0!</v>
      </c>
      <c r="D20" s="1">
        <f>'DATOS ANTROPOMÉTRICOS'!F64</f>
        <v>4.5</v>
      </c>
      <c r="E20" s="1" t="e">
        <f>'DATOS ANTROPOMÉTRICOS'!E65</f>
        <v>#DIV/0!</v>
      </c>
      <c r="F20" s="1" t="e">
        <f t="shared" si="0"/>
        <v>#DIV/0!</v>
      </c>
      <c r="G20" s="1" t="e">
        <f t="shared" si="1"/>
        <v>#DIV/0!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x14ac:dyDescent="0.2">
      <c r="A21" s="11"/>
      <c r="B21" s="2">
        <f>'DATOS ANTROPOMÉTRICOS'!F17</f>
        <v>0</v>
      </c>
      <c r="C21" s="1" t="e">
        <f>'DATOS ANTROPOMÉTRICOS'!F63</f>
        <v>#DIV/0!</v>
      </c>
      <c r="D21" s="1">
        <f>'DATOS ANTROPOMÉTRICOS'!G64</f>
        <v>4.5</v>
      </c>
      <c r="E21" s="1" t="e">
        <f>'DATOS ANTROPOMÉTRICOS'!F65</f>
        <v>#DIV/0!</v>
      </c>
      <c r="F21" s="1" t="e">
        <f t="shared" si="0"/>
        <v>#DIV/0!</v>
      </c>
      <c r="G21" s="1" t="e">
        <f t="shared" si="1"/>
        <v>#DIV/0!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x14ac:dyDescent="0.2">
      <c r="A22" s="11"/>
      <c r="B22" s="2">
        <f>'DATOS ANTROPOMÉTRICOS'!G17</f>
        <v>0</v>
      </c>
      <c r="C22" s="1" t="e">
        <f>'DATOS ANTROPOMÉTRICOS'!G63</f>
        <v>#DIV/0!</v>
      </c>
      <c r="D22" s="1">
        <f>'DATOS ANTROPOMÉTRICOS'!F64</f>
        <v>4.5</v>
      </c>
      <c r="E22" s="1" t="e">
        <f>'DATOS ANTROPOMÉTRICOS'!G65</f>
        <v>#DIV/0!</v>
      </c>
      <c r="F22" s="1" t="e">
        <f t="shared" si="0"/>
        <v>#DIV/0!</v>
      </c>
      <c r="G22" s="1" t="e">
        <f t="shared" si="1"/>
        <v>#DIV/0!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x14ac:dyDescent="0.2">
      <c r="A23" s="11"/>
      <c r="B23" s="2">
        <f>'DATOS ANTROPOMÉTRICOS'!H17</f>
        <v>0</v>
      </c>
      <c r="C23" s="1" t="e">
        <f>'DATOS ANTROPOMÉTRICOS'!H63</f>
        <v>#DIV/0!</v>
      </c>
      <c r="D23" s="1">
        <f>'DATOS ANTROPOMÉTRICOS'!H64</f>
        <v>4.5</v>
      </c>
      <c r="E23" s="1" t="e">
        <f>'DATOS ANTROPOMÉTRICOS'!H65</f>
        <v>#DIV/0!</v>
      </c>
      <c r="F23" s="1" t="e">
        <f t="shared" si="0"/>
        <v>#DIV/0!</v>
      </c>
      <c r="G23" s="1" t="e">
        <f t="shared" si="1"/>
        <v>#DIV/0!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x14ac:dyDescent="0.2">
      <c r="A24" s="11"/>
      <c r="B24" s="2">
        <f>'DATOS ANTROPOMÉTRICOS'!I17</f>
        <v>0</v>
      </c>
      <c r="C24" s="1" t="e">
        <f>'DATOS ANTROPOMÉTRICOS'!I63</f>
        <v>#DIV/0!</v>
      </c>
      <c r="D24" s="1">
        <f>'DATOS ANTROPOMÉTRICOS'!I64</f>
        <v>4.5</v>
      </c>
      <c r="E24" s="1" t="e">
        <f>'DATOS ANTROPOMÉTRICOS'!I65</f>
        <v>#DIV/0!</v>
      </c>
      <c r="F24" s="1" t="e">
        <f t="shared" si="0"/>
        <v>#DIV/0!</v>
      </c>
      <c r="G24" s="1" t="e">
        <f t="shared" si="1"/>
        <v>#DIV/0!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x14ac:dyDescent="0.2">
      <c r="A25" s="11"/>
      <c r="B25" s="2">
        <f>'DATOS ANTROPOMÉTRICOS'!J17</f>
        <v>0</v>
      </c>
      <c r="C25" s="1" t="e">
        <f>'DATOS ANTROPOMÉTRICOS'!J63</f>
        <v>#DIV/0!</v>
      </c>
      <c r="D25" s="1">
        <f>'DATOS ANTROPOMÉTRICOS'!J64</f>
        <v>4.5</v>
      </c>
      <c r="E25" s="1" t="e">
        <f>'DATOS ANTROPOMÉTRICOS'!J65</f>
        <v>#DIV/0!</v>
      </c>
      <c r="F25" s="1" t="e">
        <f t="shared" si="0"/>
        <v>#DIV/0!</v>
      </c>
      <c r="G25" s="1" t="e">
        <f t="shared" si="1"/>
        <v>#DIV/0!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x14ac:dyDescent="0.2">
      <c r="A26" s="11"/>
      <c r="B26" s="2">
        <f>'DATOS ANTROPOMÉTRICOS'!K17</f>
        <v>0</v>
      </c>
      <c r="C26" s="1" t="e">
        <f>'DATOS ANTROPOMÉTRICOS'!K63</f>
        <v>#DIV/0!</v>
      </c>
      <c r="D26" s="1">
        <f>'DATOS ANTROPOMÉTRICOS'!K64</f>
        <v>4.5</v>
      </c>
      <c r="E26" s="1" t="e">
        <f>'DATOS ANTROPOMÉTRICOS'!K65</f>
        <v>#DIV/0!</v>
      </c>
      <c r="F26" s="1" t="e">
        <f t="shared" si="0"/>
        <v>#DIV/0!</v>
      </c>
      <c r="G26" s="1" t="e">
        <f t="shared" si="1"/>
        <v>#DIV/0!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1:18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</row>
    <row r="43" spans="1:18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4" spans="1:18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1:18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</row>
    <row r="46" spans="1:18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</row>
    <row r="47" spans="1:18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</row>
    <row r="48" spans="1:18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</row>
    <row r="49" spans="1:18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</row>
    <row r="50" spans="1:18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51" spans="1:18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</row>
    <row r="52" spans="1:18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</row>
    <row r="53" spans="1:18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</row>
    <row r="54" spans="1:18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</row>
    <row r="55" spans="1:18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</row>
    <row r="56" spans="1:18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</row>
    <row r="57" spans="1:18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</row>
    <row r="58" spans="1:18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</row>
    <row r="59" spans="1:18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</row>
    <row r="60" spans="1:18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</row>
    <row r="61" spans="1:18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</row>
    <row r="62" spans="1:18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</row>
    <row r="63" spans="1:18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</row>
    <row r="64" spans="1:18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</row>
    <row r="65" spans="1:18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</row>
    <row r="66" spans="1:18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</row>
    <row r="67" spans="1:18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</row>
    <row r="68" spans="1:18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</row>
    <row r="69" spans="1:18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</row>
    <row r="70" spans="1:18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</row>
    <row r="71" spans="1:18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</row>
    <row r="72" spans="1:18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</row>
    <row r="73" spans="1:18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</row>
    <row r="74" spans="1:18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</row>
  </sheetData>
  <mergeCells count="2">
    <mergeCell ref="A1:M13"/>
    <mergeCell ref="A14:M14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3">
    <tabColor rgb="FF00B0F0"/>
  </sheetPr>
  <dimension ref="A4:J100"/>
  <sheetViews>
    <sheetView view="pageLayout" topLeftCell="A51" zoomScaleNormal="100" workbookViewId="0">
      <selection activeCell="A51" sqref="A51:J51"/>
    </sheetView>
  </sheetViews>
  <sheetFormatPr baseColWidth="10" defaultRowHeight="15" x14ac:dyDescent="0.2"/>
  <cols>
    <col min="1" max="1" width="9.6640625" style="11" customWidth="1"/>
    <col min="2" max="2" width="8.5" style="11" customWidth="1"/>
    <col min="3" max="3" width="8.1640625" style="11" customWidth="1"/>
    <col min="4" max="4" width="12.1640625" style="11" customWidth="1"/>
    <col min="5" max="5" width="9" style="11" customWidth="1"/>
    <col min="6" max="6" width="12.33203125" style="11" customWidth="1"/>
    <col min="7" max="7" width="8" style="11" customWidth="1"/>
    <col min="8" max="8" width="10.6640625" style="11" customWidth="1"/>
    <col min="9" max="9" width="9" style="11" customWidth="1"/>
    <col min="10" max="10" width="10.33203125" style="11" customWidth="1"/>
  </cols>
  <sheetData>
    <row r="4" spans="1:10" x14ac:dyDescent="0.2">
      <c r="A4" s="673" t="s">
        <v>212</v>
      </c>
      <c r="B4" s="673"/>
      <c r="C4" s="673"/>
      <c r="D4" s="673"/>
      <c r="E4" s="673"/>
      <c r="F4" s="673"/>
      <c r="G4" s="673"/>
      <c r="H4" s="673"/>
      <c r="I4" s="673"/>
      <c r="J4" s="673"/>
    </row>
    <row r="5" spans="1:10" x14ac:dyDescent="0.2">
      <c r="A5" s="66"/>
      <c r="B5" s="66"/>
      <c r="C5" s="66"/>
      <c r="D5" s="66"/>
      <c r="E5" s="673" t="s">
        <v>213</v>
      </c>
      <c r="F5" s="673"/>
      <c r="G5" s="66"/>
      <c r="H5" s="66"/>
    </row>
    <row r="6" spans="1:10" ht="16" thickBot="1" x14ac:dyDescent="0.25"/>
    <row r="7" spans="1:10" ht="16" thickBot="1" x14ac:dyDescent="0.25">
      <c r="A7" s="1059" t="s">
        <v>214</v>
      </c>
      <c r="B7" s="1060"/>
      <c r="C7" s="1060"/>
      <c r="D7" s="1060"/>
      <c r="E7" s="1060"/>
      <c r="F7" s="1060"/>
      <c r="G7" s="1060"/>
      <c r="H7" s="1060"/>
      <c r="I7" s="1060"/>
      <c r="J7" s="1061"/>
    </row>
    <row r="8" spans="1:10" x14ac:dyDescent="0.2">
      <c r="A8" s="85"/>
      <c r="B8" s="74"/>
      <c r="C8" s="74"/>
      <c r="D8" s="74"/>
      <c r="E8" s="74"/>
      <c r="F8" s="74"/>
      <c r="G8" s="74"/>
      <c r="H8" s="74"/>
      <c r="I8" s="74"/>
      <c r="J8" s="86"/>
    </row>
    <row r="9" spans="1:10" x14ac:dyDescent="0.2">
      <c r="A9" s="1057" t="s">
        <v>54</v>
      </c>
      <c r="B9" s="1058"/>
      <c r="C9" s="1062" t="str">
        <f>HISTORIA!C4</f>
        <v>Javier Ignacio Alvarez Izaguirre</v>
      </c>
      <c r="D9" s="1062"/>
      <c r="E9" s="1058" t="s">
        <v>55</v>
      </c>
      <c r="F9" s="1058"/>
      <c r="G9" s="81">
        <f>HISTORIA!C8</f>
        <v>0</v>
      </c>
      <c r="H9" s="73"/>
      <c r="I9" s="79" t="s">
        <v>196</v>
      </c>
      <c r="J9" s="87"/>
    </row>
    <row r="10" spans="1:10" ht="16" thickBot="1" x14ac:dyDescent="0.25">
      <c r="A10" s="80"/>
      <c r="B10" s="75"/>
      <c r="C10" s="75"/>
      <c r="D10" s="75"/>
      <c r="E10" s="75"/>
      <c r="F10" s="75"/>
      <c r="G10" s="75"/>
      <c r="H10" s="75"/>
      <c r="I10" s="75"/>
      <c r="J10" s="88"/>
    </row>
    <row r="11" spans="1:10" ht="16" thickBot="1" x14ac:dyDescent="0.25">
      <c r="A11" s="1054" t="s">
        <v>215</v>
      </c>
      <c r="B11" s="1055"/>
      <c r="C11" s="1055"/>
      <c r="D11" s="1055"/>
      <c r="E11" s="1055"/>
      <c r="F11" s="1055"/>
      <c r="G11" s="1055"/>
      <c r="H11" s="1055"/>
      <c r="I11" s="1055"/>
      <c r="J11" s="1056"/>
    </row>
    <row r="12" spans="1:10" ht="16" thickBot="1" x14ac:dyDescent="0.25">
      <c r="A12" s="1044" t="s">
        <v>216</v>
      </c>
      <c r="B12" s="1044"/>
      <c r="C12" s="1044">
        <v>1</v>
      </c>
      <c r="D12" s="1044"/>
      <c r="E12" s="1044">
        <v>2</v>
      </c>
      <c r="F12" s="1044"/>
      <c r="G12" s="1044">
        <v>3</v>
      </c>
      <c r="H12" s="1044"/>
      <c r="I12" s="1044">
        <v>4</v>
      </c>
      <c r="J12" s="1044"/>
    </row>
    <row r="13" spans="1:10" ht="16" thickBot="1" x14ac:dyDescent="0.25">
      <c r="A13" s="1044" t="s">
        <v>217</v>
      </c>
      <c r="B13" s="1044"/>
      <c r="C13" s="1043"/>
      <c r="D13" s="1043"/>
      <c r="E13" s="1043"/>
      <c r="F13" s="1043"/>
      <c r="G13" s="1043"/>
      <c r="H13" s="1043"/>
      <c r="I13" s="1043"/>
      <c r="J13" s="1043"/>
    </row>
    <row r="14" spans="1:10" ht="16" thickBot="1" x14ac:dyDescent="0.25">
      <c r="A14" s="1040" t="s">
        <v>218</v>
      </c>
      <c r="B14" s="1041"/>
      <c r="C14" s="1041"/>
      <c r="D14" s="1041"/>
      <c r="E14" s="1041"/>
      <c r="F14" s="1041"/>
      <c r="G14" s="1041"/>
      <c r="H14" s="1041"/>
      <c r="I14" s="1041"/>
      <c r="J14" s="1042"/>
    </row>
    <row r="15" spans="1:10" ht="16" thickBot="1" x14ac:dyDescent="0.25">
      <c r="A15" s="1050" t="s">
        <v>1</v>
      </c>
      <c r="B15" s="1051" t="s">
        <v>1</v>
      </c>
      <c r="C15" s="1043"/>
      <c r="D15" s="1043"/>
      <c r="E15" s="1043"/>
      <c r="F15" s="1043"/>
      <c r="G15" s="1043"/>
      <c r="H15" s="1043"/>
      <c r="I15" s="1043"/>
      <c r="J15" s="1043"/>
    </row>
    <row r="16" spans="1:10" ht="16" thickBot="1" x14ac:dyDescent="0.25">
      <c r="A16" s="1050" t="s">
        <v>5</v>
      </c>
      <c r="B16" s="1051" t="s">
        <v>5</v>
      </c>
      <c r="C16" s="1043"/>
      <c r="D16" s="1043"/>
      <c r="E16" s="1043"/>
      <c r="F16" s="1043"/>
      <c r="G16" s="1043"/>
      <c r="H16" s="1043"/>
      <c r="I16" s="1043"/>
      <c r="J16" s="1043"/>
    </row>
    <row r="17" spans="1:10" ht="16" thickBot="1" x14ac:dyDescent="0.25">
      <c r="A17" s="1040" t="s">
        <v>219</v>
      </c>
      <c r="B17" s="1041"/>
      <c r="C17" s="1041"/>
      <c r="D17" s="1041"/>
      <c r="E17" s="1041"/>
      <c r="F17" s="1041"/>
      <c r="G17" s="1041"/>
      <c r="H17" s="1041"/>
      <c r="I17" s="1041"/>
      <c r="J17" s="1042"/>
    </row>
    <row r="18" spans="1:10" ht="16" thickBot="1" x14ac:dyDescent="0.25">
      <c r="A18" s="1044" t="s">
        <v>197</v>
      </c>
      <c r="B18" s="1044" t="s">
        <v>197</v>
      </c>
      <c r="C18" s="1043"/>
      <c r="D18" s="1043"/>
      <c r="E18" s="1043"/>
      <c r="F18" s="1043"/>
      <c r="G18" s="1043"/>
      <c r="H18" s="1043"/>
      <c r="I18" s="1043"/>
      <c r="J18" s="1043"/>
    </row>
    <row r="19" spans="1:10" ht="16" thickBot="1" x14ac:dyDescent="0.25">
      <c r="A19" s="1044" t="s">
        <v>6</v>
      </c>
      <c r="B19" s="1044" t="s">
        <v>6</v>
      </c>
      <c r="C19" s="1043"/>
      <c r="D19" s="1043"/>
      <c r="E19" s="1043"/>
      <c r="F19" s="1043"/>
      <c r="G19" s="1043"/>
      <c r="H19" s="1043"/>
      <c r="I19" s="1043"/>
      <c r="J19" s="1043"/>
    </row>
    <row r="20" spans="1:10" ht="16" thickBot="1" x14ac:dyDescent="0.25">
      <c r="A20" s="1044" t="s">
        <v>200</v>
      </c>
      <c r="B20" s="1044" t="s">
        <v>200</v>
      </c>
      <c r="C20" s="1043"/>
      <c r="D20" s="1043"/>
      <c r="E20" s="1043"/>
      <c r="F20" s="1043"/>
      <c r="G20" s="1043"/>
      <c r="H20" s="1043"/>
      <c r="I20" s="1043"/>
      <c r="J20" s="1043"/>
    </row>
    <row r="21" spans="1:10" ht="16" thickBot="1" x14ac:dyDescent="0.25">
      <c r="A21" s="1044" t="s">
        <v>201</v>
      </c>
      <c r="B21" s="1044" t="s">
        <v>201</v>
      </c>
      <c r="C21" s="1043"/>
      <c r="D21" s="1043"/>
      <c r="E21" s="1043"/>
      <c r="F21" s="1043"/>
      <c r="G21" s="1043"/>
      <c r="H21" s="1043"/>
      <c r="I21" s="1043"/>
      <c r="J21" s="1043"/>
    </row>
    <row r="22" spans="1:10" ht="16" thickBot="1" x14ac:dyDescent="0.25">
      <c r="A22" s="1044" t="s">
        <v>9</v>
      </c>
      <c r="B22" s="1044" t="s">
        <v>9</v>
      </c>
      <c r="C22" s="1043"/>
      <c r="D22" s="1043"/>
      <c r="E22" s="1043"/>
      <c r="F22" s="1043"/>
      <c r="G22" s="1043"/>
      <c r="H22" s="1043"/>
      <c r="I22" s="1043"/>
      <c r="J22" s="1043"/>
    </row>
    <row r="23" spans="1:10" ht="16" thickBot="1" x14ac:dyDescent="0.25">
      <c r="A23" s="1044" t="s">
        <v>10</v>
      </c>
      <c r="B23" s="1044" t="s">
        <v>10</v>
      </c>
      <c r="C23" s="1043"/>
      <c r="D23" s="1043"/>
      <c r="E23" s="1043"/>
      <c r="F23" s="1043"/>
      <c r="G23" s="1043"/>
      <c r="H23" s="1043"/>
      <c r="I23" s="1043"/>
      <c r="J23" s="1043"/>
    </row>
    <row r="24" spans="1:10" ht="16" thickBot="1" x14ac:dyDescent="0.25">
      <c r="A24" s="1044" t="s">
        <v>198</v>
      </c>
      <c r="B24" s="1044" t="s">
        <v>198</v>
      </c>
      <c r="C24" s="1043"/>
      <c r="D24" s="1043"/>
      <c r="E24" s="1043"/>
      <c r="F24" s="1043"/>
      <c r="G24" s="1043"/>
      <c r="H24" s="1043"/>
      <c r="I24" s="1043"/>
      <c r="J24" s="1043"/>
    </row>
    <row r="25" spans="1:10" ht="16" thickBot="1" x14ac:dyDescent="0.25">
      <c r="A25" s="1044" t="s">
        <v>199</v>
      </c>
      <c r="B25" s="1044" t="s">
        <v>199</v>
      </c>
      <c r="C25" s="1043"/>
      <c r="D25" s="1043"/>
      <c r="E25" s="1043"/>
      <c r="F25" s="1043"/>
      <c r="G25" s="1043"/>
      <c r="H25" s="1043"/>
      <c r="I25" s="1043"/>
      <c r="J25" s="1043"/>
    </row>
    <row r="26" spans="1:10" ht="16" thickBot="1" x14ac:dyDescent="0.25">
      <c r="A26" s="1040" t="s">
        <v>220</v>
      </c>
      <c r="B26" s="1041"/>
      <c r="C26" s="1041"/>
      <c r="D26" s="1041"/>
      <c r="E26" s="1041"/>
      <c r="F26" s="1041"/>
      <c r="G26" s="1041"/>
      <c r="H26" s="1041"/>
      <c r="I26" s="1041"/>
      <c r="J26" s="1042"/>
    </row>
    <row r="27" spans="1:10" ht="16" thickBot="1" x14ac:dyDescent="0.25">
      <c r="A27" s="1044" t="s">
        <v>202</v>
      </c>
      <c r="B27" s="1044" t="s">
        <v>202</v>
      </c>
      <c r="C27" s="1043"/>
      <c r="D27" s="1043"/>
      <c r="E27" s="1043"/>
      <c r="F27" s="1043"/>
      <c r="G27" s="1043"/>
      <c r="H27" s="1043"/>
      <c r="I27" s="1043"/>
      <c r="J27" s="1043"/>
    </row>
    <row r="28" spans="1:10" ht="16" thickBot="1" x14ac:dyDescent="0.25">
      <c r="A28" s="1044" t="s">
        <v>221</v>
      </c>
      <c r="B28" s="1044" t="s">
        <v>203</v>
      </c>
      <c r="C28" s="1043"/>
      <c r="D28" s="1043"/>
      <c r="E28" s="1043"/>
      <c r="F28" s="1043"/>
      <c r="G28" s="1043"/>
      <c r="H28" s="1043"/>
      <c r="I28" s="1043"/>
      <c r="J28" s="1043"/>
    </row>
    <row r="29" spans="1:10" ht="16" thickBot="1" x14ac:dyDescent="0.25">
      <c r="A29" s="1044" t="s">
        <v>204</v>
      </c>
      <c r="B29" s="1044" t="s">
        <v>204</v>
      </c>
      <c r="C29" s="1043"/>
      <c r="D29" s="1043"/>
      <c r="E29" s="1043"/>
      <c r="F29" s="1043"/>
      <c r="G29" s="1043"/>
      <c r="H29" s="1043"/>
      <c r="I29" s="1043"/>
      <c r="J29" s="1043"/>
    </row>
    <row r="30" spans="1:10" ht="16" thickBot="1" x14ac:dyDescent="0.25">
      <c r="A30" s="1044" t="s">
        <v>205</v>
      </c>
      <c r="B30" s="1044" t="s">
        <v>205</v>
      </c>
      <c r="C30" s="1043"/>
      <c r="D30" s="1043"/>
      <c r="E30" s="1043"/>
      <c r="F30" s="1043"/>
      <c r="G30" s="1043"/>
      <c r="H30" s="1043"/>
      <c r="I30" s="1043"/>
      <c r="J30" s="1043"/>
    </row>
    <row r="31" spans="1:10" ht="16" thickBot="1" x14ac:dyDescent="0.25">
      <c r="A31" s="1044" t="s">
        <v>206</v>
      </c>
      <c r="B31" s="1044" t="s">
        <v>206</v>
      </c>
      <c r="C31" s="1043"/>
      <c r="D31" s="1043"/>
      <c r="E31" s="1043"/>
      <c r="F31" s="1043"/>
      <c r="G31" s="1043"/>
      <c r="H31" s="1043"/>
      <c r="I31" s="1043"/>
      <c r="J31" s="1043"/>
    </row>
    <row r="32" spans="1:10" ht="16" thickBot="1" x14ac:dyDescent="0.25">
      <c r="A32" s="1044" t="s">
        <v>207</v>
      </c>
      <c r="B32" s="1044" t="s">
        <v>207</v>
      </c>
      <c r="C32" s="1043"/>
      <c r="D32" s="1043"/>
      <c r="E32" s="1043"/>
      <c r="F32" s="1043"/>
      <c r="G32" s="1043"/>
      <c r="H32" s="1043"/>
      <c r="I32" s="1043"/>
      <c r="J32" s="1043"/>
    </row>
    <row r="33" spans="1:10" ht="16" thickBot="1" x14ac:dyDescent="0.25">
      <c r="A33" s="1044" t="s">
        <v>199</v>
      </c>
      <c r="B33" s="1044" t="s">
        <v>199</v>
      </c>
      <c r="C33" s="1043"/>
      <c r="D33" s="1043"/>
      <c r="E33" s="1043"/>
      <c r="F33" s="1043"/>
      <c r="G33" s="1043"/>
      <c r="H33" s="1043"/>
      <c r="I33" s="1043"/>
      <c r="J33" s="1043"/>
    </row>
    <row r="34" spans="1:10" ht="16" thickBot="1" x14ac:dyDescent="0.25">
      <c r="A34" s="1040" t="s">
        <v>222</v>
      </c>
      <c r="B34" s="1041"/>
      <c r="C34" s="1041"/>
      <c r="D34" s="1041"/>
      <c r="E34" s="1041"/>
      <c r="F34" s="1041"/>
      <c r="G34" s="1041"/>
      <c r="H34" s="1041"/>
      <c r="I34" s="1041"/>
      <c r="J34" s="1042"/>
    </row>
    <row r="35" spans="1:10" ht="16" thickBot="1" x14ac:dyDescent="0.25">
      <c r="A35" s="1046" t="s">
        <v>223</v>
      </c>
      <c r="B35" s="1047"/>
      <c r="C35" s="1050">
        <v>1</v>
      </c>
      <c r="D35" s="1051"/>
      <c r="E35" s="1050">
        <v>2</v>
      </c>
      <c r="F35" s="1051"/>
      <c r="G35" s="1050">
        <v>3</v>
      </c>
      <c r="H35" s="1051"/>
      <c r="I35" s="1050">
        <v>4</v>
      </c>
      <c r="J35" s="1051"/>
    </row>
    <row r="36" spans="1:10" ht="16" thickBot="1" x14ac:dyDescent="0.25">
      <c r="A36" s="1048"/>
      <c r="B36" s="1049"/>
      <c r="C36" s="91" t="s">
        <v>225</v>
      </c>
      <c r="D36" s="91" t="s">
        <v>226</v>
      </c>
      <c r="E36" s="91" t="s">
        <v>225</v>
      </c>
      <c r="F36" s="91" t="s">
        <v>226</v>
      </c>
      <c r="G36" s="91" t="s">
        <v>225</v>
      </c>
      <c r="H36" s="91" t="s">
        <v>226</v>
      </c>
      <c r="I36" s="91" t="s">
        <v>225</v>
      </c>
      <c r="J36" s="91" t="s">
        <v>226</v>
      </c>
    </row>
    <row r="37" spans="1:10" ht="16" thickBot="1" x14ac:dyDescent="0.25">
      <c r="A37" s="1063" t="s">
        <v>227</v>
      </c>
      <c r="B37" s="1063"/>
      <c r="C37" s="89" t="e">
        <f>IF($A37="% Grasa (Durnin y W., 1974)",#REF!,IF($A37="% Grasa (Carter, 1986)",#REF!,IF($A37="% Grasa Brook (1-11 años)",#REF!,IF($A37="% Grasa Durnin (12-16 años)",#REF!))))</f>
        <v>#REF!</v>
      </c>
      <c r="D37" s="90"/>
      <c r="E37" s="90" t="e">
        <f>IF($A37="% Grasa (Durnin y W., 1974)",#REF!,IF($A37="% Grasa (Carter, 1986)",#REF!,IF($A37="% Grasa Brook (1-11 años)",#REF!,IF($A37="% Grasa Durnin (12-16 años)",#REF!))))</f>
        <v>#REF!</v>
      </c>
      <c r="F37" s="90"/>
      <c r="G37" s="90" t="e">
        <f>IF($A37="% Grasa (Durnin y W., 1974)",#REF!,IF($A37="% Grasa (Carter, 1986)",#REF!,IF($A37="% Grasa Brook (1-11 años)",#REF!,IF($A37="% Grasa Durnin (12-16 años)",#REF!))))</f>
        <v>#REF!</v>
      </c>
      <c r="H37" s="90"/>
      <c r="I37" s="90" t="e">
        <f>IF($A37="% Grasa (Durnin y W., 1974)",#REF!,IF($A37="% Grasa (Carter, 1986)",#REF!,IF($A37="% Grasa Brook (1-11 años)",#REF!,IF($A37="% Grasa Durnin (12-16 años)",#REF!))))</f>
        <v>#REF!</v>
      </c>
      <c r="J37" s="90"/>
    </row>
    <row r="38" spans="1:10" ht="16" thickBot="1" x14ac:dyDescent="0.25">
      <c r="A38" s="1052" t="s">
        <v>224</v>
      </c>
      <c r="B38" s="1052"/>
      <c r="C38" s="90" t="e">
        <f>#REF!</f>
        <v>#REF!</v>
      </c>
      <c r="D38" s="90"/>
      <c r="E38" s="90" t="e">
        <f>#REF!</f>
        <v>#REF!</v>
      </c>
      <c r="F38" s="90"/>
      <c r="G38" s="90" t="e">
        <f>#REF!</f>
        <v>#REF!</v>
      </c>
      <c r="H38" s="90"/>
      <c r="I38" s="90" t="e">
        <f>#REF!</f>
        <v>#REF!</v>
      </c>
      <c r="J38" s="90"/>
    </row>
    <row r="39" spans="1:10" ht="16" thickBot="1" x14ac:dyDescent="0.25">
      <c r="A39" s="1044" t="s">
        <v>229</v>
      </c>
      <c r="B39" s="1044"/>
      <c r="C39" s="90" t="e">
        <f>IF($A39="Sum de 8 pliegues (mm)",#REF!,IF($A39="Sum de 6 pliegues (mm)",#REF!,IF($A39="Sum de 4 pliegues (mm)",#REF!)))</f>
        <v>#REF!</v>
      </c>
      <c r="D39" s="90"/>
      <c r="E39" s="90" t="e">
        <f>IF($A39="Sum de 8 pliegues (mm)",#REF!,IF($A39="Sum de 6 pliegues (mm)",#REF!,IF($A39="Sum de 4 pliegues (mm)",#REF!)))</f>
        <v>#REF!</v>
      </c>
      <c r="F39" s="90"/>
      <c r="G39" s="90" t="e">
        <f>IF($A39="Sum de 8 pliegues (mm)",#REF!,IF($A39="Sum de 6 pliegues (mm)",#REF!,IF($A39="Sum de 4 pliegues (mm)",#REF!)))</f>
        <v>#REF!</v>
      </c>
      <c r="H39" s="90"/>
      <c r="I39" s="90" t="e">
        <f>IF($A39="Sum de 8 pliegues (mm)",#REF!,IF($A39="Sum de 6 pliegues (mm)",#REF!,IF($A39="Sum de 4 pliegues (mm)",#REF!)))</f>
        <v>#REF!</v>
      </c>
      <c r="J39" s="90"/>
    </row>
    <row r="40" spans="1:10" ht="16" thickBot="1" x14ac:dyDescent="0.25">
      <c r="A40" s="1053" t="s">
        <v>230</v>
      </c>
      <c r="B40" s="1053"/>
      <c r="C40" s="1053"/>
      <c r="D40" s="1053"/>
      <c r="E40" s="1053"/>
      <c r="F40" s="1053"/>
      <c r="G40" s="1053"/>
      <c r="H40" s="1053"/>
      <c r="I40" s="1053"/>
      <c r="J40" s="1053"/>
    </row>
    <row r="41" spans="1:10" ht="16" thickBot="1" x14ac:dyDescent="0.25">
      <c r="A41" s="1045" t="s">
        <v>223</v>
      </c>
      <c r="B41" s="1045"/>
      <c r="C41" s="1043">
        <v>1</v>
      </c>
      <c r="D41" s="1043"/>
      <c r="E41" s="1043">
        <v>2</v>
      </c>
      <c r="F41" s="1043"/>
      <c r="G41" s="1043">
        <v>3</v>
      </c>
      <c r="H41" s="1043"/>
      <c r="I41" s="1043">
        <v>4</v>
      </c>
      <c r="J41" s="1043"/>
    </row>
    <row r="42" spans="1:10" ht="16" thickBot="1" x14ac:dyDescent="0.25">
      <c r="A42" s="1045"/>
      <c r="B42" s="1045"/>
      <c r="C42" s="82" t="s">
        <v>225</v>
      </c>
      <c r="D42" s="82" t="s">
        <v>226</v>
      </c>
      <c r="E42" s="82" t="s">
        <v>225</v>
      </c>
      <c r="F42" s="82" t="s">
        <v>226</v>
      </c>
      <c r="G42" s="82" t="s">
        <v>225</v>
      </c>
      <c r="H42" s="82" t="s">
        <v>226</v>
      </c>
      <c r="I42" s="82" t="s">
        <v>225</v>
      </c>
      <c r="J42" s="82" t="s">
        <v>226</v>
      </c>
    </row>
    <row r="43" spans="1:10" ht="15" customHeight="1" thickBot="1" x14ac:dyDescent="0.25">
      <c r="A43" s="1044" t="s">
        <v>231</v>
      </c>
      <c r="B43" s="1044"/>
      <c r="C43" s="1043" t="e">
        <f>#REF!</f>
        <v>#REF!</v>
      </c>
      <c r="D43" s="1043"/>
      <c r="E43" s="1043" t="e">
        <f>#REF!</f>
        <v>#REF!</v>
      </c>
      <c r="F43" s="1043"/>
      <c r="G43" s="1043" t="e">
        <f>#REF!</f>
        <v>#REF!</v>
      </c>
      <c r="H43" s="1043"/>
      <c r="I43" s="1043" t="e">
        <f>#REF!</f>
        <v>#REF!</v>
      </c>
      <c r="J43" s="1043"/>
    </row>
    <row r="44" spans="1:10" ht="16" thickBot="1" x14ac:dyDescent="0.25">
      <c r="A44" s="1044" t="s">
        <v>232</v>
      </c>
      <c r="B44" s="1044"/>
      <c r="C44" s="1043" t="e">
        <f>#REF!</f>
        <v>#REF!</v>
      </c>
      <c r="D44" s="1043"/>
      <c r="E44" s="1043" t="e">
        <f>#REF!</f>
        <v>#REF!</v>
      </c>
      <c r="F44" s="1043"/>
      <c r="G44" s="1043" t="e">
        <f>#REF!</f>
        <v>#REF!</v>
      </c>
      <c r="H44" s="1043"/>
      <c r="I44" s="1043" t="e">
        <f>#REF!</f>
        <v>#REF!</v>
      </c>
      <c r="J44" s="1043"/>
    </row>
    <row r="45" spans="1:10" ht="16" thickBot="1" x14ac:dyDescent="0.25">
      <c r="A45" s="1044" t="s">
        <v>208</v>
      </c>
      <c r="B45" s="1044"/>
      <c r="C45" s="92" t="e">
        <f>#REF!</f>
        <v>#REF!</v>
      </c>
      <c r="D45" s="93" t="e">
        <f>IF($C45="+3DE",#REF!,IF($C45="P97 - +3DE",#REF!,IF($C45="P97",#REF!,IF($C45="P90 - P97",#REF!,IF($C45="p90",#REF!,IF($C45="P90 - P50",#REF!,IF($C45="P50",#REF!,IF($C45="P50 - P10",#REF!,IF($C45="P10",#REF!,IF($C45="P10 - P3",#REF!,IF($C45="P3",#REF!,IF($C45="P3 - -3DE",#REF!,IF($C45="-3DE",#REF!,IF($C45="-3DE - -4DE",#REF!,IF($C45="-4DE",#REF!)))))))))))))))</f>
        <v>#REF!</v>
      </c>
      <c r="E45" s="92" t="e">
        <f>#REF!</f>
        <v>#REF!</v>
      </c>
      <c r="F45" s="93" t="e">
        <f>IF($E45="+3DE",#REF!,IF($E45="P97 - +3DE",#REF!,IF($E45="P97",#REF!,IF($E45="P90 - P97",#REF!,IF($E45="p90",#REF!,IF($E45="P90 - P50",#REF!,IF($E45="P50",#REF!,IF($E45="P50 - P10",#REF!,IF($E45="P10",#REF!,IF($E45="P10 - P3",#REF!,IF($E45="P3",#REF!,IF($E45="P3 - -3DE",#REF!,IF($E45="-3DE",#REF!,IF($E45="-3DE - -4DE",#REF!,IF($E45="-4DE",#REF!)))))))))))))))</f>
        <v>#REF!</v>
      </c>
      <c r="G45" s="92" t="e">
        <f>#REF!</f>
        <v>#REF!</v>
      </c>
      <c r="H45" s="93" t="e">
        <f>IF($G45="+3DE",#REF!,IF($G45="P97 - +3DE",#REF!,IF($G45="P97",#REF!,IF($G45="P90 - P97",#REF!,IF($G45="p90",#REF!,IF($G45="P90 - P50",#REF!,IF($G45="P50",#REF!,IF($G45="P50 - P10",#REF!,IF($G45="P10",#REF!,IF($G45="P10 - P3",#REF!,IF($G45="P3",#REF!,IF($G45="P3 - -3DE",#REF!,IF($G45="-3DE",#REF!,IF($G45="-3DE - -4DE",#REF!,IF($G45="-4DE",#REF!)))))))))))))))</f>
        <v>#REF!</v>
      </c>
      <c r="I45" s="92" t="e">
        <f>#REF!</f>
        <v>#REF!</v>
      </c>
      <c r="J45" s="93" t="e">
        <f>IF($I45="+3DE",#REF!,IF($I45="P97 - +3DE",#REF!,IF($I45="P97",#REF!,IF($I45="P90 - P97",#REF!,IF($I45="p90",#REF!,IF($I45="P90 - P50",#REF!,IF($I45="P50",#REF!,IF($I45="P50 - P10",#REF!,IF($I45="P10",#REF!,IF($I45="P10 - P3",#REF!,IF($I45="P3",#REF!,IF($I45="P3 - -3DE",#REF!,IF($I45="-3DE",#REF!,IF($I45="-3DE - -4DE",#REF!,IF($I45="-4DE",#REF!)))))))))))))))</f>
        <v>#REF!</v>
      </c>
    </row>
    <row r="46" spans="1:10" ht="16" thickBot="1" x14ac:dyDescent="0.25">
      <c r="A46" s="1044" t="s">
        <v>209</v>
      </c>
      <c r="B46" s="1044"/>
      <c r="C46" s="82" t="e">
        <f>#REF!</f>
        <v>#REF!</v>
      </c>
      <c r="D46" s="93" t="e">
        <f>IF($C46="+3DE",#REF!,IF($C46="P97 - +3DE",#REF!,IF($C46="P97",#REF!,IF($C46="P90 - P97",#REF!,IF($C46="p90",#REF!,IF($C46="P90 - P50",#REF!,IF($C46="P50",#REF!,IF($C46="P50 - P10",#REF!,IF($C46="P10",#REF!,IF($C46="P10 - P3",#REF!,IF($C46="P3",#REF!,IF($C46="P3 - -3DE",#REF!,IF($C46="-3DE",#REF!,IF($C46="-3DE - -4DE",#REF!,IF($C46="-4DE",#REF!)))))))))))))))</f>
        <v>#REF!</v>
      </c>
      <c r="E46" s="92" t="e">
        <f>#REF!</f>
        <v>#REF!</v>
      </c>
      <c r="F46" s="93" t="e">
        <f>IF($E46="+3DE",#REF!,IF($E46="P97 - +3DE",#REF!,IF($E46="P97",#REF!,IF($E46="P90 - P97",#REF!,IF($E46="p90",#REF!,IF($E46="P90 - P50",#REF!,IF($E46="P50",#REF!,IF($E46="P50 - P10",#REF!,IF($E46="P10",#REF!,IF($E46="P10 - P3",#REF!,IF($E46="P3",#REF!,IF($E46="P3 - -3DE",#REF!,IF($E46="-3DE",#REF!,IF($E46="-3DE - -4DE",#REF!,IF($E46="-4DE",#REF!)))))))))))))))</f>
        <v>#REF!</v>
      </c>
      <c r="G46" s="92" t="e">
        <f>#REF!</f>
        <v>#REF!</v>
      </c>
      <c r="H46" s="93" t="e">
        <f>IF($G46="+3DE",#REF!,IF($G46="P97 - +3DE",#REF!,IF($G46="P97",#REF!,IF($G46="P90 - P97",#REF!,IF($G46="p90",#REF!,IF($G46="P90 - P50",#REF!,IF($G46="P50",#REF!,IF($G46="P50 - P10",#REF!,IF($G46="P10",#REF!,IF($G46="P10 - P3",#REF!,IF($G46="P3",#REF!,IF($G46="P3 - -3DE",#REF!,IF($G46="-3DE",#REF!,IF($G46="-3DE - -4DE",#REF!,IF($G46="-4DE",#REF!)))))))))))))))</f>
        <v>#REF!</v>
      </c>
      <c r="I46" s="92" t="e">
        <f>#REF!</f>
        <v>#REF!</v>
      </c>
      <c r="J46" s="93" t="e">
        <f>IF($I46="+3DE",#REF!,IF($I46="P97 - +3DE",#REF!,IF($I46="P97",#REF!,IF($I46="P90 - P97",#REF!,IF($I46="p90",#REF!,IF($I46="P90 - P50",#REF!,IF($I46="P50",#REF!,IF($I46="P50 - P10",#REF!,IF($I46="P10",#REF!,IF($I46="P10 - P3",#REF!,IF($I46="P3",#REF!,IF($I46="P3 - -3DE",#REF!,IF($I46="-3DE",#REF!,IF($I46="-3DE - -4DE",#REF!,IF($I46="-4DE",#REF!)))))))))))))))</f>
        <v>#REF!</v>
      </c>
    </row>
    <row r="47" spans="1:10" ht="16" thickBot="1" x14ac:dyDescent="0.25">
      <c r="A47" s="1044" t="s">
        <v>210</v>
      </c>
      <c r="B47" s="1044"/>
      <c r="C47" s="82" t="e">
        <f>#REF!</f>
        <v>#REF!</v>
      </c>
      <c r="D47" s="93" t="e">
        <f>IF($C47="+3DE",#REF!,IF($C47="P97 - +3DE",#REF!,IF($C47="P97",#REF!,IF($C47="P90 - P97",#REF!,IF($C47="p90",#REF!,IF($C47="P90 - P50",#REF!,IF($C47="P50",#REF!,IF($C47="P50 - P10",#REF!,IF($C47="P10",#REF!,IF($C47="P10 - P3",#REF!,IF($C47="P3",#REF!,IF($C47="P3 - -3DE",#REF!,IF($C47="-3DE",#REF!,IF($C47="-3DE - -4DE",#REF!,IF($C47="-4DE",#REF!)))))))))))))))</f>
        <v>#REF!</v>
      </c>
      <c r="E47" s="92" t="e">
        <f>#REF!</f>
        <v>#REF!</v>
      </c>
      <c r="F47" s="93" t="e">
        <f>IF($E47="+3DE",#REF!,IF($E47="P97 - +3DE",#REF!,IF($E47="P97",#REF!,IF($E47="P90 - P97",#REF!,IF($E47="p90",#REF!,IF($E47="P90 - P50",#REF!,IF($E47="P50",#REF!,IF($E47="P50 - P10",#REF!,IF($E47="P10",#REF!,IF($E47="P10 - P3",#REF!,IF($E47="P3",#REF!,IF($E47="P3 - -3DE",#REF!,IF($E47="-3DE",#REF!,IF($E47="-3DE - -4DE",#REF!,IF($E47="-4DE",#REF!)))))))))))))))</f>
        <v>#REF!</v>
      </c>
      <c r="G47" s="92" t="e">
        <f>#REF!</f>
        <v>#REF!</v>
      </c>
      <c r="H47" s="93" t="e">
        <f>IF($G47="+3DE",#REF!,IF($G47="P97 - +3DE",#REF!,IF($G47="P97",#REF!,IF($G47="P90 - P97",#REF!,IF($G47="p90",#REF!,IF($G47="P90 - P50",#REF!,IF($G47="P50",#REF!,IF($G47="P50 - P10",#REF!,IF($G47="P10",#REF!,IF($G47="P10 - P3",#REF!,IF($G47="P3",#REF!,IF($G47="P3 - -3DE",#REF!,IF($G47="-3DE",#REF!,IF($G47="-3DE - -4DE",#REF!,IF($G47="-4DE",#REF!)))))))))))))))</f>
        <v>#REF!</v>
      </c>
      <c r="I47" s="92" t="e">
        <f>#REF!</f>
        <v>#REF!</v>
      </c>
      <c r="J47" s="93" t="e">
        <f>IF($I47="+3DE",#REF!,IF($I47="P97 - +3DE",#REF!,IF($I47="P97",#REF!,IF($I47="P90 - P97",#REF!,IF($I47="p90",#REF!,IF($I47="P90 - P50",#REF!,IF($I47="P50",#REF!,IF($I47="P50 - P10",#REF!,IF($I47="P10",#REF!,IF($I47="P10 - P3",#REF!,IF($I47="P3",#REF!,IF($I47="P3 - -3DE",#REF!,IF($I47="-3DE",#REF!,IF($I47="-3DE - -4DE",#REF!,IF($I47="-4DE",#REF!)))))))))))))))</f>
        <v>#REF!</v>
      </c>
    </row>
    <row r="48" spans="1:10" ht="16" thickBot="1" x14ac:dyDescent="0.25">
      <c r="A48" s="1044" t="s">
        <v>211</v>
      </c>
      <c r="B48" s="1044"/>
      <c r="C48" s="82" t="e">
        <f>#REF!</f>
        <v>#REF!</v>
      </c>
      <c r="D48" s="93" t="e">
        <f>IF($C48="+3DE",#REF!,IF($C48="P97 - +3DE",#REF!,IF($C48="P97",#REF!,IF($C48="P90 - P97",#REF!,IF($C48="p90",#REF!,IF($C48="P90 - P50",#REF!,IF($C48="P50",#REF!,IF($C48="P50 - P10",#REF!,IF($C48="P10",#REF!,IF($C48="P10 - P3",#REF!,IF($C48="P3",#REF!,IF($C48="P3 - -3DE",#REF!,IF($C48="-3DE",#REF!,IF($C48="-3DE - -4DE",#REF!,IF($C48="-4DE",#REF!)))))))))))))))</f>
        <v>#REF!</v>
      </c>
      <c r="E48" s="92" t="e">
        <f>#REF!</f>
        <v>#REF!</v>
      </c>
      <c r="F48" s="93" t="e">
        <f>IF($E48="+3DE",#REF!,IF($E48="P97 - +3DE",#REF!,IF($E48="P97",#REF!,IF($E48="P90 - P97",#REF!,IF($E48="p90",#REF!,IF($E48="P90 - P50",#REF!,IF($E48="P50",#REF!,IF($E48="P50 - P10",#REF!,IF($E48="P10",#REF!,IF($E48="P10 - P3",#REF!,IF($E48="P3",#REF!,IF($E48="P3 - -3DE",#REF!,IF($E48="-3DE",#REF!,IF($E48="-3DE - -4DE",#REF!,IF($E48="-4DE",#REF!)))))))))))))))</f>
        <v>#REF!</v>
      </c>
      <c r="G48" s="92" t="e">
        <f>#REF!</f>
        <v>#REF!</v>
      </c>
      <c r="H48" s="93" t="e">
        <f>IF($G48="+3DE",#REF!,IF($G48="P97 - +3DE",#REF!,IF($G48="P97",#REF!,IF($G48="P90 - P97",#REF!,IF($G48="p90",#REF!,IF($G48="P90 - P50",#REF!,IF($G48="P50",#REF!,IF($G48="P50 - P10",#REF!,IF($G48="P10",#REF!,IF($G48="P10 - P3",#REF!,IF($G48="P3",#REF!,IF($G48="P3 - -3DE",#REF!,IF($G48="-3DE",#REF!,IF($G48="-3DE - -4DE",#REF!,IF($G48="-4DE",#REF!)))))))))))))))</f>
        <v>#REF!</v>
      </c>
      <c r="I48" s="92" t="e">
        <f>#REF!</f>
        <v>#REF!</v>
      </c>
      <c r="J48" s="93" t="e">
        <f>IF($I48="+3DE",#REF!,IF($I48="P97 - +3DE",#REF!,IF($I48="P97",#REF!,IF($I48="P90 - P97",#REF!,IF($I48="p90",#REF!,IF($I48="P90 - P50",#REF!,IF($I48="P50",#REF!,IF($I48="P50 - P10",#REF!,IF($I48="P10",#REF!,IF($I48="P10 - P3",#REF!,IF($I48="P3",#REF!,IF($I48="P3 - -3DE",#REF!,IF($I48="-3DE",#REF!,IF($I48="-3DE - -4DE",#REF!,IF($I48="-4DE",#REF!)))))))))))))))</f>
        <v>#REF!</v>
      </c>
    </row>
    <row r="49" spans="1:10" ht="16" thickBot="1" x14ac:dyDescent="0.25">
      <c r="A49" s="1044" t="s">
        <v>233</v>
      </c>
      <c r="B49" s="1044"/>
      <c r="C49" s="1043"/>
      <c r="D49" s="1043"/>
      <c r="E49" s="1043"/>
      <c r="F49" s="1043"/>
      <c r="G49" s="1043"/>
      <c r="H49" s="1043"/>
      <c r="I49" s="1043"/>
      <c r="J49" s="1043"/>
    </row>
    <row r="50" spans="1:10" ht="16" thickBot="1" x14ac:dyDescent="0.25"/>
    <row r="51" spans="1:10" ht="16" thickBot="1" x14ac:dyDescent="0.25">
      <c r="A51" s="1025" t="s">
        <v>234</v>
      </c>
      <c r="B51" s="1026"/>
      <c r="C51" s="1026"/>
      <c r="D51" s="1026"/>
      <c r="E51" s="1026"/>
      <c r="F51" s="1026"/>
      <c r="G51" s="1026"/>
      <c r="H51" s="1026"/>
      <c r="I51" s="1026"/>
      <c r="J51" s="1027"/>
    </row>
    <row r="52" spans="1:10" x14ac:dyDescent="0.2">
      <c r="A52" s="94"/>
      <c r="B52" s="77"/>
      <c r="C52" s="77"/>
      <c r="D52" s="77"/>
      <c r="E52" s="77"/>
      <c r="F52" s="77"/>
      <c r="G52" s="77"/>
      <c r="H52" s="77"/>
      <c r="I52" s="77"/>
      <c r="J52" s="78"/>
    </row>
    <row r="53" spans="1:10" ht="15" customHeight="1" x14ac:dyDescent="0.2">
      <c r="A53" s="1028" t="s">
        <v>235</v>
      </c>
      <c r="B53" s="1029"/>
      <c r="C53" s="1029"/>
      <c r="D53" s="1029"/>
      <c r="E53" s="1029"/>
      <c r="F53" s="1029"/>
      <c r="G53" s="1029"/>
      <c r="H53" s="1029"/>
      <c r="I53" s="1029"/>
      <c r="J53" s="1030"/>
    </row>
    <row r="54" spans="1:10" x14ac:dyDescent="0.2">
      <c r="A54" s="1028"/>
      <c r="B54" s="1029"/>
      <c r="C54" s="1029"/>
      <c r="D54" s="1029"/>
      <c r="E54" s="1029"/>
      <c r="F54" s="1029"/>
      <c r="G54" s="1029"/>
      <c r="H54" s="1029"/>
      <c r="I54" s="1029"/>
      <c r="J54" s="1030"/>
    </row>
    <row r="55" spans="1:10" x14ac:dyDescent="0.2">
      <c r="A55" s="1028"/>
      <c r="B55" s="1029"/>
      <c r="C55" s="1029"/>
      <c r="D55" s="1029"/>
      <c r="E55" s="1029"/>
      <c r="F55" s="1029"/>
      <c r="G55" s="1029"/>
      <c r="H55" s="1029"/>
      <c r="I55" s="1029"/>
      <c r="J55" s="1030"/>
    </row>
    <row r="56" spans="1:10" ht="21" customHeight="1" thickBot="1" x14ac:dyDescent="0.25">
      <c r="A56" s="1031"/>
      <c r="B56" s="1032"/>
      <c r="C56" s="1032"/>
      <c r="D56" s="1032"/>
      <c r="E56" s="1032"/>
      <c r="F56" s="1032"/>
      <c r="G56" s="1032"/>
      <c r="H56" s="1032"/>
      <c r="I56" s="1032"/>
      <c r="J56" s="1033"/>
    </row>
    <row r="57" spans="1:10" ht="16" thickBot="1" x14ac:dyDescent="0.25">
      <c r="A57" s="100"/>
      <c r="J57" s="95"/>
    </row>
    <row r="58" spans="1:10" ht="16" thickBot="1" x14ac:dyDescent="0.25">
      <c r="A58" s="98" t="s">
        <v>196</v>
      </c>
      <c r="B58" s="1034"/>
      <c r="C58" s="1034"/>
      <c r="D58" s="1024" t="s">
        <v>41</v>
      </c>
      <c r="E58" s="1024"/>
      <c r="F58" s="1024" t="s">
        <v>42</v>
      </c>
      <c r="G58" s="1024"/>
      <c r="H58" s="1024" t="s">
        <v>43</v>
      </c>
      <c r="I58" s="1024"/>
      <c r="J58" s="76"/>
    </row>
    <row r="59" spans="1:10" ht="16" thickBot="1" x14ac:dyDescent="0.25">
      <c r="A59" s="91" t="s">
        <v>238</v>
      </c>
      <c r="B59" s="83"/>
      <c r="C59" s="84"/>
      <c r="D59" s="1012"/>
      <c r="E59" s="1014"/>
      <c r="F59" s="1012"/>
      <c r="G59" s="1014"/>
      <c r="H59" s="1012"/>
      <c r="I59" s="1014"/>
      <c r="J59" s="87"/>
    </row>
    <row r="60" spans="1:10" ht="16" thickBot="1" x14ac:dyDescent="0.25">
      <c r="A60" s="97"/>
      <c r="J60" s="87"/>
    </row>
    <row r="61" spans="1:10" ht="16" thickBot="1" x14ac:dyDescent="0.25">
      <c r="A61" s="1035" t="s">
        <v>236</v>
      </c>
      <c r="B61" s="1036"/>
      <c r="C61" s="1037"/>
      <c r="D61" s="1024" t="s">
        <v>43</v>
      </c>
      <c r="E61" s="1024"/>
      <c r="F61" s="1024" t="s">
        <v>42</v>
      </c>
      <c r="G61" s="1024"/>
      <c r="H61" s="1024" t="s">
        <v>43</v>
      </c>
      <c r="I61" s="1024"/>
      <c r="J61" s="87"/>
    </row>
    <row r="62" spans="1:10" ht="15.75" customHeight="1" thickBot="1" x14ac:dyDescent="0.25">
      <c r="A62" s="1035" t="s">
        <v>242</v>
      </c>
      <c r="B62" s="1036"/>
      <c r="C62" s="1037"/>
      <c r="D62" s="1038" t="e">
        <f>IF($A62=#REF!,#REF!,IF($A62=#REF!,#REF!,IF($A62=#REF!,#REF!,IF($A62=#REF!,#REF!))))</f>
        <v>#REF!</v>
      </c>
      <c r="E62" s="1039"/>
      <c r="F62" s="1038" t="e">
        <f>IF($A62=#REF!,#REF!,IF($A62=#REF!,#REF!,IF($A62=#REF!,#REF!,IF($A62=#REF!,#REF!))))</f>
        <v>#REF!</v>
      </c>
      <c r="G62" s="1039"/>
      <c r="H62" s="1038" t="e">
        <f>IF($A62=#REF!,#REF!,IF($A62=#REF!,#REF!,IF($A62=#REF!,#REF!,IF($A62=#REF!,#REF!))))</f>
        <v>#REF!</v>
      </c>
      <c r="I62" s="1039"/>
      <c r="J62" s="87"/>
    </row>
    <row r="63" spans="1:10" ht="16" thickBot="1" x14ac:dyDescent="0.25">
      <c r="A63" s="94"/>
      <c r="J63" s="87"/>
    </row>
    <row r="64" spans="1:10" ht="16" thickBot="1" x14ac:dyDescent="0.25">
      <c r="A64" s="96"/>
      <c r="D64" s="99" t="s">
        <v>239</v>
      </c>
      <c r="E64" s="1012"/>
      <c r="F64" s="1013"/>
      <c r="G64" s="1014"/>
      <c r="J64" s="76"/>
    </row>
    <row r="65" spans="1:10" x14ac:dyDescent="0.2">
      <c r="A65" s="96"/>
      <c r="J65" s="76"/>
    </row>
    <row r="66" spans="1:10" x14ac:dyDescent="0.2">
      <c r="A66" s="96"/>
      <c r="J66" s="76"/>
    </row>
    <row r="67" spans="1:10" x14ac:dyDescent="0.2">
      <c r="A67" s="96"/>
      <c r="J67" s="76"/>
    </row>
    <row r="68" spans="1:10" x14ac:dyDescent="0.2">
      <c r="A68" s="96"/>
      <c r="J68" s="76"/>
    </row>
    <row r="69" spans="1:10" x14ac:dyDescent="0.2">
      <c r="A69" s="96"/>
      <c r="J69" s="76"/>
    </row>
    <row r="70" spans="1:10" x14ac:dyDescent="0.2">
      <c r="A70" s="96"/>
      <c r="J70" s="76"/>
    </row>
    <row r="71" spans="1:10" x14ac:dyDescent="0.2">
      <c r="A71" s="96"/>
      <c r="J71" s="76"/>
    </row>
    <row r="72" spans="1:10" x14ac:dyDescent="0.2">
      <c r="A72" s="96"/>
      <c r="J72" s="76"/>
    </row>
    <row r="73" spans="1:10" x14ac:dyDescent="0.2">
      <c r="A73" s="96"/>
      <c r="J73" s="76"/>
    </row>
    <row r="74" spans="1:10" x14ac:dyDescent="0.2">
      <c r="A74" s="96"/>
      <c r="J74" s="76"/>
    </row>
    <row r="75" spans="1:10" x14ac:dyDescent="0.2">
      <c r="A75" s="96"/>
      <c r="J75" s="76"/>
    </row>
    <row r="76" spans="1:10" x14ac:dyDescent="0.2">
      <c r="A76" s="96"/>
      <c r="J76" s="76"/>
    </row>
    <row r="77" spans="1:10" x14ac:dyDescent="0.2">
      <c r="A77" s="96"/>
      <c r="J77" s="76"/>
    </row>
    <row r="78" spans="1:10" x14ac:dyDescent="0.2">
      <c r="A78" s="96"/>
      <c r="J78" s="76"/>
    </row>
    <row r="79" spans="1:10" x14ac:dyDescent="0.2">
      <c r="A79" s="96"/>
      <c r="J79" s="76"/>
    </row>
    <row r="80" spans="1:10" x14ac:dyDescent="0.2">
      <c r="A80" s="96"/>
      <c r="J80" s="76"/>
    </row>
    <row r="81" spans="1:10" x14ac:dyDescent="0.2">
      <c r="A81" s="96"/>
      <c r="J81" s="76"/>
    </row>
    <row r="82" spans="1:10" x14ac:dyDescent="0.2">
      <c r="A82" s="96"/>
      <c r="J82" s="76"/>
    </row>
    <row r="83" spans="1:10" x14ac:dyDescent="0.2">
      <c r="A83" s="96"/>
      <c r="J83" s="76"/>
    </row>
    <row r="84" spans="1:10" x14ac:dyDescent="0.2">
      <c r="A84" s="96"/>
      <c r="J84" s="76"/>
    </row>
    <row r="85" spans="1:10" x14ac:dyDescent="0.2">
      <c r="A85" s="96"/>
      <c r="J85" s="76"/>
    </row>
    <row r="86" spans="1:10" x14ac:dyDescent="0.2">
      <c r="A86" s="96"/>
      <c r="J86" s="76"/>
    </row>
    <row r="87" spans="1:10" x14ac:dyDescent="0.2">
      <c r="A87" s="96"/>
      <c r="J87" s="76"/>
    </row>
    <row r="88" spans="1:10" x14ac:dyDescent="0.2">
      <c r="A88" s="96"/>
      <c r="J88" s="76"/>
    </row>
    <row r="89" spans="1:10" x14ac:dyDescent="0.2">
      <c r="A89" s="96"/>
      <c r="J89" s="76"/>
    </row>
    <row r="90" spans="1:10" x14ac:dyDescent="0.2">
      <c r="A90" s="96"/>
      <c r="J90" s="76"/>
    </row>
    <row r="91" spans="1:10" x14ac:dyDescent="0.2">
      <c r="A91" s="96"/>
      <c r="J91" s="76"/>
    </row>
    <row r="92" spans="1:10" x14ac:dyDescent="0.2">
      <c r="A92" s="96"/>
      <c r="J92" s="76"/>
    </row>
    <row r="93" spans="1:10" ht="16" thickBot="1" x14ac:dyDescent="0.25">
      <c r="A93" s="96"/>
      <c r="J93" s="76"/>
    </row>
    <row r="94" spans="1:10" ht="16" thickBot="1" x14ac:dyDescent="0.25">
      <c r="A94" s="1040" t="s">
        <v>237</v>
      </c>
      <c r="B94" s="1041"/>
      <c r="C94" s="1041"/>
      <c r="D94" s="1041"/>
      <c r="E94" s="1041"/>
      <c r="F94" s="1041"/>
      <c r="G94" s="1041"/>
      <c r="H94" s="1041"/>
      <c r="I94" s="1041"/>
      <c r="J94" s="1042"/>
    </row>
    <row r="95" spans="1:10" x14ac:dyDescent="0.2">
      <c r="A95" s="1006"/>
      <c r="B95" s="1007"/>
      <c r="C95" s="1007"/>
      <c r="D95" s="1007"/>
      <c r="E95" s="1007"/>
      <c r="F95" s="1007"/>
      <c r="G95" s="1007"/>
      <c r="H95" s="1007"/>
      <c r="I95" s="1007"/>
      <c r="J95" s="1008"/>
    </row>
    <row r="96" spans="1:10" x14ac:dyDescent="0.2">
      <c r="A96" s="1009"/>
      <c r="B96" s="1010"/>
      <c r="C96" s="1010"/>
      <c r="D96" s="1010"/>
      <c r="E96" s="1010"/>
      <c r="F96" s="1010"/>
      <c r="G96" s="1010"/>
      <c r="H96" s="1010"/>
      <c r="I96" s="1010"/>
      <c r="J96" s="1011"/>
    </row>
    <row r="97" spans="1:10" x14ac:dyDescent="0.2">
      <c r="A97" s="1015"/>
      <c r="B97" s="1016"/>
      <c r="C97" s="1016"/>
      <c r="D97" s="1016"/>
      <c r="E97" s="1016"/>
      <c r="F97" s="1016"/>
      <c r="G97" s="1016"/>
      <c r="H97" s="1016"/>
      <c r="I97" s="1016"/>
      <c r="J97" s="1017"/>
    </row>
    <row r="98" spans="1:10" x14ac:dyDescent="0.2">
      <c r="A98" s="1015"/>
      <c r="B98" s="1016"/>
      <c r="C98" s="1016"/>
      <c r="D98" s="1016"/>
      <c r="E98" s="1016"/>
      <c r="F98" s="1016"/>
      <c r="G98" s="1016"/>
      <c r="H98" s="1016"/>
      <c r="I98" s="1016"/>
      <c r="J98" s="1017"/>
    </row>
    <row r="99" spans="1:10" x14ac:dyDescent="0.2">
      <c r="A99" s="1018" t="s">
        <v>240</v>
      </c>
      <c r="B99" s="1019"/>
      <c r="C99" s="1019"/>
      <c r="D99" s="1019"/>
      <c r="E99" s="1019"/>
      <c r="F99" s="1019"/>
      <c r="G99" s="1019"/>
      <c r="H99" s="1019"/>
      <c r="I99" s="1019"/>
      <c r="J99" s="1020"/>
    </row>
    <row r="100" spans="1:10" ht="16" thickBot="1" x14ac:dyDescent="0.25">
      <c r="A100" s="1021"/>
      <c r="B100" s="1022"/>
      <c r="C100" s="1022"/>
      <c r="D100" s="1022"/>
      <c r="E100" s="1022"/>
      <c r="F100" s="1022"/>
      <c r="G100" s="1022"/>
      <c r="H100" s="1022"/>
      <c r="I100" s="1022"/>
      <c r="J100" s="1023"/>
    </row>
  </sheetData>
  <mergeCells count="158">
    <mergeCell ref="A17:J17"/>
    <mergeCell ref="A26:J26"/>
    <mergeCell ref="A34:J34"/>
    <mergeCell ref="A37:B37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7:B27"/>
    <mergeCell ref="C27:D27"/>
    <mergeCell ref="E27:F27"/>
    <mergeCell ref="G27:H27"/>
    <mergeCell ref="I27:J27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0:B20"/>
    <mergeCell ref="C20:D20"/>
    <mergeCell ref="E20:F20"/>
    <mergeCell ref="G20:H20"/>
    <mergeCell ref="I20:J20"/>
    <mergeCell ref="A21:B21"/>
    <mergeCell ref="C21:D21"/>
    <mergeCell ref="E21:F21"/>
    <mergeCell ref="G21:H21"/>
    <mergeCell ref="I21:J21"/>
    <mergeCell ref="A18:B18"/>
    <mergeCell ref="C18:D18"/>
    <mergeCell ref="E18:F18"/>
    <mergeCell ref="G18:H18"/>
    <mergeCell ref="I18:J18"/>
    <mergeCell ref="A19:B19"/>
    <mergeCell ref="C19:D19"/>
    <mergeCell ref="E19:F19"/>
    <mergeCell ref="G19:H19"/>
    <mergeCell ref="I19:J19"/>
    <mergeCell ref="C9:D9"/>
    <mergeCell ref="A16:B16"/>
    <mergeCell ref="C16:D16"/>
    <mergeCell ref="E16:F16"/>
    <mergeCell ref="G16:H16"/>
    <mergeCell ref="I16:J16"/>
    <mergeCell ref="A15:B15"/>
    <mergeCell ref="C15:D15"/>
    <mergeCell ref="E15:F15"/>
    <mergeCell ref="G15:H15"/>
    <mergeCell ref="I15:J15"/>
    <mergeCell ref="A14:J14"/>
    <mergeCell ref="A4:J4"/>
    <mergeCell ref="A35:B36"/>
    <mergeCell ref="C35:D35"/>
    <mergeCell ref="E35:F35"/>
    <mergeCell ref="G35:H35"/>
    <mergeCell ref="I35:J35"/>
    <mergeCell ref="A38:B38"/>
    <mergeCell ref="A39:B39"/>
    <mergeCell ref="A40:J40"/>
    <mergeCell ref="E5:F5"/>
    <mergeCell ref="A13:B13"/>
    <mergeCell ref="C13:D13"/>
    <mergeCell ref="E13:F13"/>
    <mergeCell ref="G13:H13"/>
    <mergeCell ref="I13:J13"/>
    <mergeCell ref="A11:J11"/>
    <mergeCell ref="A12:B12"/>
    <mergeCell ref="C12:D12"/>
    <mergeCell ref="E12:F12"/>
    <mergeCell ref="G12:H12"/>
    <mergeCell ref="I12:J12"/>
    <mergeCell ref="A9:B9"/>
    <mergeCell ref="A7:J7"/>
    <mergeCell ref="E9:F9"/>
    <mergeCell ref="E41:F41"/>
    <mergeCell ref="G41:H41"/>
    <mergeCell ref="I41:J41"/>
    <mergeCell ref="A49:B49"/>
    <mergeCell ref="C49:J49"/>
    <mergeCell ref="C43:D43"/>
    <mergeCell ref="C44:D44"/>
    <mergeCell ref="E43:F43"/>
    <mergeCell ref="G43:H43"/>
    <mergeCell ref="I43:J43"/>
    <mergeCell ref="E44:F44"/>
    <mergeCell ref="G44:H44"/>
    <mergeCell ref="I44:J44"/>
    <mergeCell ref="A41:B42"/>
    <mergeCell ref="A43:B43"/>
    <mergeCell ref="A44:B44"/>
    <mergeCell ref="A45:B45"/>
    <mergeCell ref="A46:B46"/>
    <mergeCell ref="A47:B47"/>
    <mergeCell ref="A48:B48"/>
    <mergeCell ref="C41:D41"/>
    <mergeCell ref="A95:J96"/>
    <mergeCell ref="E64:G64"/>
    <mergeCell ref="A97:J98"/>
    <mergeCell ref="A99:J100"/>
    <mergeCell ref="D61:E61"/>
    <mergeCell ref="F61:G61"/>
    <mergeCell ref="H61:I61"/>
    <mergeCell ref="A51:J51"/>
    <mergeCell ref="A53:J56"/>
    <mergeCell ref="B58:C58"/>
    <mergeCell ref="D58:E58"/>
    <mergeCell ref="F58:G58"/>
    <mergeCell ref="H58:I58"/>
    <mergeCell ref="A61:C61"/>
    <mergeCell ref="D62:E62"/>
    <mergeCell ref="A62:C62"/>
    <mergeCell ref="F62:G62"/>
    <mergeCell ref="H62:I62"/>
    <mergeCell ref="D59:E59"/>
    <mergeCell ref="F59:G59"/>
    <mergeCell ref="H59:I59"/>
    <mergeCell ref="A94:J94"/>
  </mergeCells>
  <dataValidations count="1">
    <dataValidation type="list" allowBlank="1" showInputMessage="1" showErrorMessage="1" sqref="A39:B39 A37:B37 A62" xr:uid="{00000000-0002-0000-0B00-000000000000}">
      <formula1>#REF!</formula1>
    </dataValidation>
  </dataValidations>
  <pageMargins left="0.33333333333333331" right="0.25" top="0.375" bottom="0.80208333333333337" header="0.3" footer="0.3"/>
  <pageSetup paperSize="9" orientation="portrait" r:id="rId1"/>
  <headerFooter>
    <oddFooter>&amp;L&amp;8Domenico Visentini
Nutricionista Deportivo
Telf: 0412-8219923
Correo: domevisentini@hotmail.com&amp;R&amp;8Victoria Gomez
Nutricionista Deportiva
Telf: 0416-5251251
Correo: gosvi93@gmail.com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HISTORIA</vt:lpstr>
      <vt:lpstr>LABORATORIO</vt:lpstr>
      <vt:lpstr>ANTROPOMETRÍA DEPORTISTAS</vt:lpstr>
      <vt:lpstr>5 COMPONENTES</vt:lpstr>
      <vt:lpstr>ARGO-REF</vt:lpstr>
      <vt:lpstr>Predicción de Talla</vt:lpstr>
      <vt:lpstr>PHV</vt:lpstr>
      <vt:lpstr>REQUERIMIENTOS</vt:lpstr>
      <vt:lpstr>RESUMEN ANTROPOMETRICO</vt:lpstr>
      <vt:lpstr>Hoja1</vt:lpstr>
      <vt:lpstr>DATOS ANTROPOMÉTRICOS</vt:lpstr>
      <vt:lpstr>SOMATOCARTA</vt:lpstr>
      <vt:lpstr>INFORME 2 COMPONENTES PEDIATRIA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Equipo-pc</dc:creator>
  <cp:lastModifiedBy>Ernesto Lugo</cp:lastModifiedBy>
  <cp:lastPrinted>2017-09-02T14:46:05Z</cp:lastPrinted>
  <dcterms:created xsi:type="dcterms:W3CDTF">2016-11-20T15:55:33Z</dcterms:created>
  <dcterms:modified xsi:type="dcterms:W3CDTF">2026-02-08T22:40:34Z</dcterms:modified>
</cp:coreProperties>
</file>