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ropbox\FORMATOS\Presencial\"/>
    </mc:Choice>
  </mc:AlternateContent>
  <xr:revisionPtr revIDLastSave="0" documentId="13_ncr:1_{69AA23FF-142E-4AF5-AA64-6610624EAB2E}" xr6:coauthVersionLast="47" xr6:coauthVersionMax="47" xr10:uidLastSave="{00000000-0000-0000-0000-000000000000}"/>
  <bookViews>
    <workbookView xWindow="-108" yWindow="-108" windowWidth="23256" windowHeight="12576" tabRatio="858" activeTab="6" xr2:uid="{00000000-000D-0000-FFFF-FFFF00000000}"/>
  </bookViews>
  <sheets>
    <sheet name="HISTORIA" sheetId="1" r:id="rId1"/>
    <sheet name="LABORATORIO" sheetId="5" r:id="rId2"/>
    <sheet name="ANTROPOMETRÍA DEPORTISTAS" sheetId="9" r:id="rId3"/>
    <sheet name="5 componentes" sheetId="20" r:id="rId4"/>
    <sheet name="REFERENTES" sheetId="18" r:id="rId5"/>
    <sheet name="REQUERIMIENTOS" sheetId="13" r:id="rId6"/>
    <sheet name="RESUMEN ANTROPOMETRICO" sheetId="17" r:id="rId7"/>
    <sheet name="Feedback" sheetId="19" r:id="rId8"/>
    <sheet name="DATOS ANTROPOMÉTRICOS" sheetId="2" state="hidden" r:id="rId9"/>
    <sheet name="SOMATOCARTA" sheetId="3" state="hidden" r:id="rId10"/>
    <sheet name="INFORME 2 COMPONENTES PEDIATRIA" sheetId="8" state="hidden" r:id="rId11"/>
  </sheets>
  <externalReferences>
    <externalReference r:id="rId12"/>
  </externalReferences>
  <definedNames>
    <definedName name="_xlnm._FilterDatabase" localSheetId="0" hidden="1">HISTORIA!$A$3:$M$43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7" l="1"/>
  <c r="G14" i="17"/>
  <c r="H14" i="17"/>
  <c r="I14" i="17"/>
  <c r="J14" i="17"/>
  <c r="K14" i="17"/>
  <c r="L14" i="17"/>
  <c r="M14" i="17"/>
  <c r="E14" i="17"/>
  <c r="D14" i="17"/>
  <c r="E12" i="17"/>
  <c r="F12" i="17"/>
  <c r="G12" i="17"/>
  <c r="H12" i="17"/>
  <c r="I12" i="17"/>
  <c r="J12" i="17"/>
  <c r="K12" i="17"/>
  <c r="L12" i="17"/>
  <c r="M12" i="17"/>
  <c r="E6" i="17" l="1"/>
  <c r="F6" i="17"/>
  <c r="G6" i="17"/>
  <c r="H6" i="17"/>
  <c r="I6" i="17"/>
  <c r="J6" i="17"/>
  <c r="K6" i="17"/>
  <c r="L6" i="17"/>
  <c r="M6" i="17"/>
  <c r="B6" i="17"/>
  <c r="B7" i="17"/>
  <c r="C7" i="1"/>
  <c r="B53" i="9" s="1"/>
  <c r="D8" i="17" s="1"/>
  <c r="C53" i="9"/>
  <c r="D53" i="9"/>
  <c r="E53" i="9"/>
  <c r="F53" i="9"/>
  <c r="H53" i="9"/>
  <c r="I53" i="9"/>
  <c r="J53" i="9"/>
  <c r="K53" i="9"/>
  <c r="L53" i="9"/>
  <c r="M53" i="9"/>
  <c r="N53" i="9"/>
  <c r="O53" i="9"/>
  <c r="P53" i="9"/>
  <c r="Q53" i="9"/>
  <c r="R53" i="9"/>
  <c r="S53" i="9"/>
  <c r="C3" i="20"/>
  <c r="D80" i="20"/>
  <c r="E80" i="20"/>
  <c r="F80" i="20"/>
  <c r="G80" i="20"/>
  <c r="H80" i="20"/>
  <c r="I80" i="20"/>
  <c r="J80" i="20"/>
  <c r="K80" i="20"/>
  <c r="L80" i="20"/>
  <c r="C80" i="20"/>
  <c r="B52" i="9"/>
  <c r="D6" i="17" s="1"/>
  <c r="D7" i="17" l="1"/>
  <c r="C107" i="20"/>
  <c r="I106" i="20"/>
  <c r="G103" i="20"/>
  <c r="E102" i="20"/>
  <c r="L101" i="20"/>
  <c r="K101" i="20"/>
  <c r="J101" i="20"/>
  <c r="I101" i="20"/>
  <c r="H101" i="20"/>
  <c r="G101" i="20"/>
  <c r="F101" i="20"/>
  <c r="E101" i="20"/>
  <c r="D101" i="20"/>
  <c r="C101" i="20"/>
  <c r="L100" i="20"/>
  <c r="K100" i="20"/>
  <c r="J100" i="20"/>
  <c r="I100" i="20"/>
  <c r="H100" i="20"/>
  <c r="G100" i="20"/>
  <c r="F100" i="20"/>
  <c r="E100" i="20"/>
  <c r="D100" i="20"/>
  <c r="C100" i="20"/>
  <c r="L99" i="20"/>
  <c r="L107" i="20" s="1"/>
  <c r="K99" i="20"/>
  <c r="K107" i="20" s="1"/>
  <c r="J99" i="20"/>
  <c r="J107" i="20" s="1"/>
  <c r="I99" i="20"/>
  <c r="I107" i="20" s="1"/>
  <c r="H99" i="20"/>
  <c r="H107" i="20" s="1"/>
  <c r="G99" i="20"/>
  <c r="G107" i="20" s="1"/>
  <c r="F99" i="20"/>
  <c r="F107" i="20" s="1"/>
  <c r="E99" i="20"/>
  <c r="E107" i="20" s="1"/>
  <c r="D99" i="20"/>
  <c r="D107" i="20" s="1"/>
  <c r="C99" i="20"/>
  <c r="L98" i="20"/>
  <c r="L106" i="20" s="1"/>
  <c r="K98" i="20"/>
  <c r="K106" i="20" s="1"/>
  <c r="J98" i="20"/>
  <c r="J106" i="20" s="1"/>
  <c r="I98" i="20"/>
  <c r="H98" i="20"/>
  <c r="H106" i="20" s="1"/>
  <c r="G98" i="20"/>
  <c r="G106" i="20" s="1"/>
  <c r="F98" i="20"/>
  <c r="F106" i="20" s="1"/>
  <c r="E98" i="20"/>
  <c r="E106" i="20" s="1"/>
  <c r="D98" i="20"/>
  <c r="D106" i="20" s="1"/>
  <c r="C98" i="20"/>
  <c r="C106" i="20" s="1"/>
  <c r="L97" i="20"/>
  <c r="K97" i="20"/>
  <c r="J97" i="20"/>
  <c r="I97" i="20"/>
  <c r="H97" i="20"/>
  <c r="G97" i="20"/>
  <c r="F97" i="20"/>
  <c r="E97" i="20"/>
  <c r="D97" i="20"/>
  <c r="C97" i="20"/>
  <c r="L96" i="20"/>
  <c r="K96" i="20"/>
  <c r="J96" i="20"/>
  <c r="I96" i="20"/>
  <c r="H96" i="20"/>
  <c r="G96" i="20"/>
  <c r="F96" i="20"/>
  <c r="E96" i="20"/>
  <c r="D96" i="20"/>
  <c r="C96" i="20"/>
  <c r="L95" i="20"/>
  <c r="K95" i="20"/>
  <c r="J95" i="20"/>
  <c r="I95" i="20"/>
  <c r="H95" i="20"/>
  <c r="G95" i="20"/>
  <c r="F95" i="20"/>
  <c r="E95" i="20"/>
  <c r="D95" i="20"/>
  <c r="C95" i="20"/>
  <c r="L94" i="20"/>
  <c r="L102" i="20" s="1"/>
  <c r="K94" i="20"/>
  <c r="K102" i="20" s="1"/>
  <c r="K103" i="20" s="1"/>
  <c r="J94" i="20"/>
  <c r="J102" i="20" s="1"/>
  <c r="I94" i="20"/>
  <c r="I102" i="20" s="1"/>
  <c r="H94" i="20"/>
  <c r="H102" i="20" s="1"/>
  <c r="G94" i="20"/>
  <c r="G102" i="20" s="1"/>
  <c r="F94" i="20"/>
  <c r="F102" i="20" s="1"/>
  <c r="E94" i="20"/>
  <c r="D94" i="20"/>
  <c r="D102" i="20" s="1"/>
  <c r="C94" i="20"/>
  <c r="C102" i="20" s="1"/>
  <c r="L92" i="20"/>
  <c r="K92" i="20"/>
  <c r="J92" i="20"/>
  <c r="I92" i="20"/>
  <c r="H92" i="20"/>
  <c r="G92" i="20"/>
  <c r="F92" i="20"/>
  <c r="E92" i="20"/>
  <c r="D92" i="20"/>
  <c r="C92" i="20"/>
  <c r="L91" i="20"/>
  <c r="L103" i="20" s="1"/>
  <c r="K91" i="20"/>
  <c r="K93" i="20" s="1"/>
  <c r="K110" i="20" s="1"/>
  <c r="J91" i="20"/>
  <c r="I91" i="20"/>
  <c r="H91" i="20"/>
  <c r="H103" i="20" s="1"/>
  <c r="G91" i="20"/>
  <c r="G93" i="20" s="1"/>
  <c r="G110" i="20" s="1"/>
  <c r="F91" i="20"/>
  <c r="E91" i="20"/>
  <c r="E103" i="20" s="1"/>
  <c r="E105" i="20" s="1"/>
  <c r="D91" i="20"/>
  <c r="D103" i="20" s="1"/>
  <c r="C91" i="20"/>
  <c r="C103" i="20" s="1"/>
  <c r="L90" i="20"/>
  <c r="K90" i="20"/>
  <c r="J90" i="20"/>
  <c r="I90" i="20"/>
  <c r="H90" i="20"/>
  <c r="G90" i="20"/>
  <c r="F90" i="20"/>
  <c r="E90" i="20"/>
  <c r="D90" i="20"/>
  <c r="K81" i="20"/>
  <c r="K82" i="20" s="1"/>
  <c r="K86" i="20" s="1"/>
  <c r="K88" i="20" s="1"/>
  <c r="G81" i="20"/>
  <c r="G82" i="20" s="1"/>
  <c r="G86" i="20" s="1"/>
  <c r="G88" i="20" s="1"/>
  <c r="C81" i="20"/>
  <c r="C82" i="20" s="1"/>
  <c r="C86" i="20" s="1"/>
  <c r="C88" i="20" s="1"/>
  <c r="L81" i="20"/>
  <c r="L82" i="20" s="1"/>
  <c r="J81" i="20"/>
  <c r="J82" i="20" s="1"/>
  <c r="I81" i="20"/>
  <c r="I82" i="20" s="1"/>
  <c r="H81" i="20"/>
  <c r="H82" i="20" s="1"/>
  <c r="F81" i="20"/>
  <c r="F82" i="20" s="1"/>
  <c r="E81" i="20"/>
  <c r="E82" i="20" s="1"/>
  <c r="D81" i="20"/>
  <c r="D82" i="20" s="1"/>
  <c r="L79" i="20"/>
  <c r="K79" i="20"/>
  <c r="J79" i="20"/>
  <c r="I79" i="20"/>
  <c r="H79" i="20"/>
  <c r="G79" i="20"/>
  <c r="F79" i="20"/>
  <c r="E79" i="20"/>
  <c r="D79" i="20"/>
  <c r="C79" i="20"/>
  <c r="L78" i="20"/>
  <c r="K78" i="20"/>
  <c r="J78" i="20"/>
  <c r="I78" i="20"/>
  <c r="H78" i="20"/>
  <c r="G78" i="20"/>
  <c r="F78" i="20"/>
  <c r="E78" i="20"/>
  <c r="D78" i="20"/>
  <c r="C78" i="20"/>
  <c r="L77" i="20"/>
  <c r="K77" i="20"/>
  <c r="J77" i="20"/>
  <c r="I77" i="20"/>
  <c r="H77" i="20"/>
  <c r="G77" i="20"/>
  <c r="F77" i="20"/>
  <c r="E77" i="20"/>
  <c r="D77" i="20"/>
  <c r="C77" i="20"/>
  <c r="L76" i="20"/>
  <c r="K76" i="20"/>
  <c r="J76" i="20"/>
  <c r="I76" i="20"/>
  <c r="H76" i="20"/>
  <c r="G76" i="20"/>
  <c r="F76" i="20"/>
  <c r="E76" i="20"/>
  <c r="D76" i="20"/>
  <c r="C76" i="20"/>
  <c r="L75" i="20"/>
  <c r="K75" i="20"/>
  <c r="J75" i="20"/>
  <c r="I75" i="20"/>
  <c r="H75" i="20"/>
  <c r="G75" i="20"/>
  <c r="F75" i="20"/>
  <c r="E75" i="20"/>
  <c r="D75" i="20"/>
  <c r="C75" i="20"/>
  <c r="L74" i="20"/>
  <c r="K74" i="20"/>
  <c r="J74" i="20"/>
  <c r="I74" i="20"/>
  <c r="H74" i="20"/>
  <c r="G74" i="20"/>
  <c r="F74" i="20"/>
  <c r="E74" i="20"/>
  <c r="D74" i="20"/>
  <c r="C74" i="20"/>
  <c r="L73" i="20"/>
  <c r="K73" i="20"/>
  <c r="J73" i="20"/>
  <c r="I73" i="20"/>
  <c r="H73" i="20"/>
  <c r="G73" i="20"/>
  <c r="F73" i="20"/>
  <c r="E73" i="20"/>
  <c r="D73" i="20"/>
  <c r="C73" i="20"/>
  <c r="L72" i="20"/>
  <c r="K72" i="20"/>
  <c r="J72" i="20"/>
  <c r="I72" i="20"/>
  <c r="H72" i="20"/>
  <c r="G72" i="20"/>
  <c r="F72" i="20"/>
  <c r="E72" i="20"/>
  <c r="D72" i="20"/>
  <c r="C72" i="20"/>
  <c r="L70" i="20"/>
  <c r="K70" i="20"/>
  <c r="J70" i="20"/>
  <c r="I70" i="20"/>
  <c r="H70" i="20"/>
  <c r="G70" i="20"/>
  <c r="F70" i="20"/>
  <c r="E70" i="20"/>
  <c r="D70" i="20"/>
  <c r="C70" i="20"/>
  <c r="L49" i="20"/>
  <c r="K49" i="20"/>
  <c r="J49" i="20"/>
  <c r="I49" i="20"/>
  <c r="H49" i="20"/>
  <c r="G49" i="20"/>
  <c r="F49" i="20"/>
  <c r="E49" i="20"/>
  <c r="D49" i="20"/>
  <c r="C49" i="20"/>
  <c r="L48" i="20"/>
  <c r="K48" i="20"/>
  <c r="J48" i="20"/>
  <c r="I48" i="20"/>
  <c r="H48" i="20"/>
  <c r="G48" i="20"/>
  <c r="F48" i="20"/>
  <c r="E48" i="20"/>
  <c r="D48" i="20"/>
  <c r="C48" i="20"/>
  <c r="L47" i="20"/>
  <c r="K47" i="20"/>
  <c r="J47" i="20"/>
  <c r="I47" i="20"/>
  <c r="H47" i="20"/>
  <c r="G47" i="20"/>
  <c r="F47" i="20"/>
  <c r="E47" i="20"/>
  <c r="D47" i="20"/>
  <c r="C47" i="20"/>
  <c r="L45" i="20"/>
  <c r="K45" i="20"/>
  <c r="K51" i="20" s="1"/>
  <c r="J45" i="20"/>
  <c r="J51" i="20" s="1"/>
  <c r="I45" i="20"/>
  <c r="H45" i="20"/>
  <c r="G45" i="20"/>
  <c r="G51" i="20" s="1"/>
  <c r="F45" i="20"/>
  <c r="F51" i="20" s="1"/>
  <c r="E45" i="20"/>
  <c r="D45" i="20"/>
  <c r="C45" i="20"/>
  <c r="C51" i="20" s="1"/>
  <c r="L44" i="20"/>
  <c r="K44" i="20"/>
  <c r="J44" i="20"/>
  <c r="I44" i="20"/>
  <c r="H44" i="20"/>
  <c r="G44" i="20"/>
  <c r="F44" i="20"/>
  <c r="E44" i="20"/>
  <c r="D44" i="20"/>
  <c r="C44" i="20"/>
  <c r="L43" i="20"/>
  <c r="K43" i="20"/>
  <c r="J43" i="20"/>
  <c r="I43" i="20"/>
  <c r="H43" i="20"/>
  <c r="G43" i="20"/>
  <c r="F43" i="20"/>
  <c r="E43" i="20"/>
  <c r="D43" i="20"/>
  <c r="C43" i="20"/>
  <c r="L42" i="20"/>
  <c r="K42" i="20"/>
  <c r="J42" i="20"/>
  <c r="I42" i="20"/>
  <c r="H42" i="20"/>
  <c r="G42" i="20"/>
  <c r="F42" i="20"/>
  <c r="E42" i="20"/>
  <c r="D42" i="20"/>
  <c r="C42" i="20"/>
  <c r="L41" i="20"/>
  <c r="L50" i="20" s="1"/>
  <c r="K41" i="20"/>
  <c r="K50" i="20" s="1"/>
  <c r="J41" i="20"/>
  <c r="J50" i="20" s="1"/>
  <c r="I41" i="20"/>
  <c r="I50" i="20" s="1"/>
  <c r="H41" i="20"/>
  <c r="H50" i="20" s="1"/>
  <c r="G41" i="20"/>
  <c r="G50" i="20" s="1"/>
  <c r="F41" i="20"/>
  <c r="F50" i="20" s="1"/>
  <c r="E41" i="20"/>
  <c r="E50" i="20" s="1"/>
  <c r="D41" i="20"/>
  <c r="D50" i="20" s="1"/>
  <c r="C41" i="20"/>
  <c r="C50" i="20" s="1"/>
  <c r="L7" i="20"/>
  <c r="L51" i="20" s="1"/>
  <c r="K7" i="20"/>
  <c r="J7" i="20"/>
  <c r="I7" i="20"/>
  <c r="I51" i="20" s="1"/>
  <c r="H7" i="20"/>
  <c r="H51" i="20" s="1"/>
  <c r="G7" i="20"/>
  <c r="F7" i="20"/>
  <c r="E7" i="20"/>
  <c r="E51" i="20" s="1"/>
  <c r="D7" i="20"/>
  <c r="D51" i="20" s="1"/>
  <c r="C7" i="20"/>
  <c r="L4" i="20"/>
  <c r="K4" i="20"/>
  <c r="J4" i="20"/>
  <c r="I4" i="20"/>
  <c r="H4" i="20"/>
  <c r="G4" i="20"/>
  <c r="F4" i="20"/>
  <c r="E4" i="20"/>
  <c r="D4" i="20"/>
  <c r="C4" i="20"/>
  <c r="C1" i="20"/>
  <c r="C90" i="20" s="1"/>
  <c r="K109" i="20" l="1"/>
  <c r="C109" i="20"/>
  <c r="K89" i="20"/>
  <c r="C87" i="20"/>
  <c r="C83" i="20"/>
  <c r="C71" i="20"/>
  <c r="K52" i="20"/>
  <c r="K58" i="20" s="1"/>
  <c r="K71" i="20"/>
  <c r="E52" i="20"/>
  <c r="E59" i="20" s="1"/>
  <c r="E89" i="20"/>
  <c r="E87" i="20"/>
  <c r="E83" i="20"/>
  <c r="E86" i="20"/>
  <c r="E88" i="20" s="1"/>
  <c r="K104" i="20"/>
  <c r="K105" i="20"/>
  <c r="D71" i="20"/>
  <c r="D59" i="20"/>
  <c r="L71" i="20"/>
  <c r="E71" i="20"/>
  <c r="I71" i="20"/>
  <c r="G109" i="20"/>
  <c r="I60" i="20"/>
  <c r="G71" i="20"/>
  <c r="C60" i="20"/>
  <c r="K57" i="20"/>
  <c r="I89" i="20"/>
  <c r="I87" i="20"/>
  <c r="I83" i="20"/>
  <c r="I86" i="20"/>
  <c r="I88" i="20" s="1"/>
  <c r="H71" i="20"/>
  <c r="H60" i="20"/>
  <c r="F71" i="20"/>
  <c r="J71" i="20"/>
  <c r="H52" i="20"/>
  <c r="H57" i="20" s="1"/>
  <c r="C104" i="20"/>
  <c r="C105" i="20"/>
  <c r="F52" i="20"/>
  <c r="F60" i="20" s="1"/>
  <c r="F109" i="20"/>
  <c r="G104" i="20"/>
  <c r="G52" i="20"/>
  <c r="G83" i="20"/>
  <c r="F103" i="20"/>
  <c r="J103" i="20"/>
  <c r="G105" i="20"/>
  <c r="G108" i="20" s="1"/>
  <c r="G115" i="20" s="1"/>
  <c r="F56" i="20"/>
  <c r="J52" i="20"/>
  <c r="J56" i="20" s="1"/>
  <c r="D52" i="20"/>
  <c r="D60" i="20" s="1"/>
  <c r="D86" i="20"/>
  <c r="D88" i="20" s="1"/>
  <c r="D89" i="20"/>
  <c r="D87" i="20"/>
  <c r="D83" i="20"/>
  <c r="H86" i="20"/>
  <c r="H88" i="20" s="1"/>
  <c r="H89" i="20"/>
  <c r="H87" i="20"/>
  <c r="H83" i="20"/>
  <c r="L86" i="20"/>
  <c r="L88" i="20" s="1"/>
  <c r="L89" i="20"/>
  <c r="L87" i="20"/>
  <c r="L83" i="20"/>
  <c r="K83" i="20"/>
  <c r="G87" i="20"/>
  <c r="C89" i="20"/>
  <c r="C93" i="20"/>
  <c r="C110" i="20" s="1"/>
  <c r="D109" i="20"/>
  <c r="H109" i="20"/>
  <c r="L109" i="20"/>
  <c r="E104" i="20"/>
  <c r="E108" i="20" s="1"/>
  <c r="H58" i="20"/>
  <c r="F89" i="20"/>
  <c r="F87" i="20"/>
  <c r="F83" i="20"/>
  <c r="F86" i="20"/>
  <c r="F88" i="20" s="1"/>
  <c r="J89" i="20"/>
  <c r="J87" i="20"/>
  <c r="J83" i="20"/>
  <c r="J86" i="20"/>
  <c r="J88" i="20" s="1"/>
  <c r="I103" i="20"/>
  <c r="J109" i="20"/>
  <c r="C52" i="20"/>
  <c r="L52" i="20"/>
  <c r="L59" i="20" s="1"/>
  <c r="I52" i="20"/>
  <c r="I59" i="20" s="1"/>
  <c r="K87" i="20"/>
  <c r="G89" i="20"/>
  <c r="D104" i="20"/>
  <c r="D105" i="20"/>
  <c r="D108" i="20" s="1"/>
  <c r="H108" i="20"/>
  <c r="H104" i="20"/>
  <c r="H105" i="20"/>
  <c r="L104" i="20"/>
  <c r="L105" i="20"/>
  <c r="E109" i="20"/>
  <c r="I109" i="20"/>
  <c r="D93" i="20"/>
  <c r="D110" i="20" s="1"/>
  <c r="H93" i="20"/>
  <c r="H110" i="20" s="1"/>
  <c r="L93" i="20"/>
  <c r="L110" i="20" s="1"/>
  <c r="E93" i="20"/>
  <c r="E110" i="20" s="1"/>
  <c r="I93" i="20"/>
  <c r="I110" i="20" s="1"/>
  <c r="F93" i="20"/>
  <c r="F110" i="20" s="1"/>
  <c r="J93" i="20"/>
  <c r="J110" i="20" s="1"/>
  <c r="E57" i="20" l="1"/>
  <c r="E56" i="20"/>
  <c r="E58" i="20"/>
  <c r="L108" i="20"/>
  <c r="L116" i="20" s="1"/>
  <c r="K56" i="20"/>
  <c r="C108" i="20"/>
  <c r="C116" i="20" s="1"/>
  <c r="K60" i="20"/>
  <c r="E60" i="20"/>
  <c r="I56" i="20"/>
  <c r="K59" i="20"/>
  <c r="J58" i="20"/>
  <c r="D58" i="20"/>
  <c r="H59" i="20"/>
  <c r="I57" i="20"/>
  <c r="H56" i="20"/>
  <c r="D57" i="20"/>
  <c r="D56" i="20"/>
  <c r="K108" i="20"/>
  <c r="K116" i="20" s="1"/>
  <c r="K115" i="20"/>
  <c r="C115" i="20"/>
  <c r="J105" i="20"/>
  <c r="J104" i="20"/>
  <c r="G53" i="20"/>
  <c r="G54" i="20"/>
  <c r="D61" i="20"/>
  <c r="J59" i="20"/>
  <c r="E115" i="20"/>
  <c r="G58" i="20"/>
  <c r="C54" i="20"/>
  <c r="C53" i="20"/>
  <c r="C57" i="20"/>
  <c r="G116" i="20"/>
  <c r="E116" i="20"/>
  <c r="I54" i="20"/>
  <c r="I58" i="20"/>
  <c r="I61" i="20" s="1"/>
  <c r="I53" i="20"/>
  <c r="J57" i="20"/>
  <c r="J61" i="20" s="1"/>
  <c r="H61" i="20"/>
  <c r="H116" i="20"/>
  <c r="E61" i="20"/>
  <c r="F58" i="20"/>
  <c r="L58" i="20"/>
  <c r="F57" i="20"/>
  <c r="F61" i="20" s="1"/>
  <c r="L60" i="20"/>
  <c r="E54" i="20"/>
  <c r="E53" i="20"/>
  <c r="C59" i="20"/>
  <c r="D115" i="20"/>
  <c r="L53" i="20"/>
  <c r="L54" i="20"/>
  <c r="L56" i="20"/>
  <c r="L57" i="20"/>
  <c r="J54" i="20"/>
  <c r="J53" i="20"/>
  <c r="J60" i="20"/>
  <c r="G57" i="20"/>
  <c r="K61" i="20"/>
  <c r="C56" i="20"/>
  <c r="F105" i="20"/>
  <c r="F104" i="20"/>
  <c r="F54" i="20"/>
  <c r="F53" i="20"/>
  <c r="H115" i="20"/>
  <c r="C58" i="20"/>
  <c r="G56" i="20"/>
  <c r="I105" i="20"/>
  <c r="I104" i="20"/>
  <c r="I108" i="20" s="1"/>
  <c r="I116" i="20" s="1"/>
  <c r="D116" i="20"/>
  <c r="D53" i="20"/>
  <c r="D54" i="20"/>
  <c r="H53" i="20"/>
  <c r="H54" i="20"/>
  <c r="F59" i="20"/>
  <c r="G59" i="20"/>
  <c r="G60" i="20"/>
  <c r="K53" i="20"/>
  <c r="K54" i="20"/>
  <c r="F108" i="20" l="1"/>
  <c r="L115" i="20"/>
  <c r="J108" i="20"/>
  <c r="F115" i="20"/>
  <c r="F116" i="20"/>
  <c r="J115" i="20"/>
  <c r="J116" i="20"/>
  <c r="H64" i="20"/>
  <c r="H63" i="20"/>
  <c r="H65" i="20"/>
  <c r="H66" i="20"/>
  <c r="H67" i="20"/>
  <c r="C61" i="20"/>
  <c r="C67" i="20"/>
  <c r="C65" i="20"/>
  <c r="C63" i="20"/>
  <c r="C66" i="20"/>
  <c r="C64" i="20"/>
  <c r="I115" i="20"/>
  <c r="L61" i="20"/>
  <c r="I65" i="20"/>
  <c r="I66" i="20"/>
  <c r="I67" i="20"/>
  <c r="I64" i="20"/>
  <c r="I63" i="20"/>
  <c r="D67" i="20"/>
  <c r="D63" i="20"/>
  <c r="D68" i="20" s="1"/>
  <c r="D64" i="20"/>
  <c r="D66" i="20"/>
  <c r="D65" i="20"/>
  <c r="J63" i="20"/>
  <c r="J64" i="20"/>
  <c r="J66" i="20"/>
  <c r="J65" i="20"/>
  <c r="J67" i="20"/>
  <c r="E63" i="20"/>
  <c r="E65" i="20"/>
  <c r="E64" i="20"/>
  <c r="E66" i="20"/>
  <c r="E67" i="20"/>
  <c r="K67" i="20"/>
  <c r="K64" i="20"/>
  <c r="K66" i="20"/>
  <c r="K63" i="20"/>
  <c r="K65" i="20"/>
  <c r="G61" i="20"/>
  <c r="F67" i="20"/>
  <c r="F64" i="20"/>
  <c r="F65" i="20"/>
  <c r="F66" i="20"/>
  <c r="F63" i="20"/>
  <c r="F68" i="20" s="1"/>
  <c r="L66" i="20"/>
  <c r="L67" i="20"/>
  <c r="L65" i="20"/>
  <c r="L64" i="20"/>
  <c r="L63" i="20"/>
  <c r="G64" i="20"/>
  <c r="G67" i="20"/>
  <c r="G63" i="20"/>
  <c r="G68" i="20" s="1"/>
  <c r="G66" i="20"/>
  <c r="G65" i="20"/>
  <c r="H68" i="20" l="1"/>
  <c r="J68" i="20"/>
  <c r="I68" i="20"/>
  <c r="L68" i="20"/>
  <c r="K68" i="20"/>
  <c r="E68" i="20"/>
  <c r="C68" i="20"/>
  <c r="S57" i="13" l="1"/>
  <c r="B57" i="9"/>
  <c r="J34" i="13" l="1"/>
  <c r="J33" i="13"/>
  <c r="I35" i="13"/>
  <c r="J35" i="13" s="1"/>
  <c r="I71" i="1"/>
  <c r="C38" i="9"/>
  <c r="D38" i="9"/>
  <c r="E38" i="9"/>
  <c r="F38" i="9"/>
  <c r="C39" i="9"/>
  <c r="D39" i="9"/>
  <c r="E39" i="9"/>
  <c r="F39" i="9"/>
  <c r="C40" i="9"/>
  <c r="D40" i="9"/>
  <c r="E40" i="9"/>
  <c r="F40" i="9"/>
  <c r="C41" i="9"/>
  <c r="D41" i="9"/>
  <c r="E41" i="9"/>
  <c r="F41" i="9"/>
  <c r="C42" i="9"/>
  <c r="D42" i="9"/>
  <c r="E42" i="9"/>
  <c r="F42" i="9"/>
  <c r="D44" i="17"/>
  <c r="E44" i="17"/>
  <c r="F44" i="17"/>
  <c r="G44" i="17"/>
  <c r="H44" i="17"/>
  <c r="I44" i="17"/>
  <c r="J44" i="17"/>
  <c r="K44" i="17"/>
  <c r="L44" i="17"/>
  <c r="M44" i="17"/>
  <c r="S55" i="13" l="1"/>
  <c r="T55" i="13"/>
  <c r="T52" i="13"/>
  <c r="S53" i="13"/>
  <c r="C44" i="9" l="1"/>
  <c r="E48" i="17" s="1"/>
  <c r="D44" i="9"/>
  <c r="F48" i="17" s="1"/>
  <c r="E44" i="9"/>
  <c r="G48" i="17" s="1"/>
  <c r="F44" i="9"/>
  <c r="H48" i="17" s="1"/>
  <c r="G44" i="9"/>
  <c r="I48" i="17" s="1"/>
  <c r="H44" i="9"/>
  <c r="J48" i="17" s="1"/>
  <c r="I44" i="9"/>
  <c r="K48" i="17" s="1"/>
  <c r="J44" i="9"/>
  <c r="L48" i="17" s="1"/>
  <c r="K44" i="9"/>
  <c r="M48" i="17" s="1"/>
  <c r="L44" i="9"/>
  <c r="N48" i="17" s="1"/>
  <c r="M44" i="9"/>
  <c r="N44" i="9"/>
  <c r="O44" i="9"/>
  <c r="P44" i="9"/>
  <c r="Q44" i="9"/>
  <c r="R44" i="9"/>
  <c r="S44" i="9"/>
  <c r="B44" i="9"/>
  <c r="D48" i="17" s="1"/>
  <c r="B45" i="9"/>
  <c r="D49" i="17" s="1"/>
  <c r="E43" i="17"/>
  <c r="F43" i="17"/>
  <c r="G43" i="17"/>
  <c r="H43" i="17"/>
  <c r="I43" i="17"/>
  <c r="J43" i="17"/>
  <c r="K43" i="17"/>
  <c r="L43" i="17"/>
  <c r="M43" i="17"/>
  <c r="E34" i="17"/>
  <c r="F34" i="17"/>
  <c r="G34" i="17"/>
  <c r="H34" i="17"/>
  <c r="I34" i="17"/>
  <c r="J34" i="17"/>
  <c r="K34" i="17"/>
  <c r="L34" i="17"/>
  <c r="M34" i="17"/>
  <c r="E35" i="17"/>
  <c r="F35" i="17"/>
  <c r="G35" i="17"/>
  <c r="H35" i="17"/>
  <c r="I35" i="17"/>
  <c r="J35" i="17"/>
  <c r="K35" i="17"/>
  <c r="L35" i="17"/>
  <c r="M35" i="17"/>
  <c r="E36" i="17"/>
  <c r="F36" i="17"/>
  <c r="G36" i="17"/>
  <c r="H36" i="17"/>
  <c r="I36" i="17"/>
  <c r="J36" i="17"/>
  <c r="K36" i="17"/>
  <c r="L36" i="17"/>
  <c r="M36" i="17"/>
  <c r="E37" i="17"/>
  <c r="F37" i="17"/>
  <c r="G37" i="17"/>
  <c r="H37" i="17"/>
  <c r="I37" i="17"/>
  <c r="J37" i="17"/>
  <c r="K37" i="17"/>
  <c r="L37" i="17"/>
  <c r="M37" i="17"/>
  <c r="E38" i="17"/>
  <c r="F38" i="17"/>
  <c r="G38" i="17"/>
  <c r="H38" i="17"/>
  <c r="I38" i="17"/>
  <c r="J38" i="17"/>
  <c r="K38" i="17"/>
  <c r="L38" i="17"/>
  <c r="M38" i="17"/>
  <c r="E39" i="17"/>
  <c r="F39" i="17"/>
  <c r="G39" i="17"/>
  <c r="H39" i="17"/>
  <c r="I39" i="17"/>
  <c r="J39" i="17"/>
  <c r="K39" i="17"/>
  <c r="L39" i="17"/>
  <c r="M39" i="17"/>
  <c r="E40" i="17"/>
  <c r="F40" i="17"/>
  <c r="G40" i="17"/>
  <c r="H40" i="17"/>
  <c r="I40" i="17"/>
  <c r="J40" i="17"/>
  <c r="K40" i="17"/>
  <c r="L40" i="17"/>
  <c r="M40" i="17"/>
  <c r="E41" i="17"/>
  <c r="F41" i="17"/>
  <c r="G41" i="17"/>
  <c r="H41" i="17"/>
  <c r="I41" i="17"/>
  <c r="J41" i="17"/>
  <c r="K41" i="17"/>
  <c r="L41" i="17"/>
  <c r="M41" i="17"/>
  <c r="E24" i="17"/>
  <c r="F24" i="17"/>
  <c r="G24" i="17"/>
  <c r="H24" i="17"/>
  <c r="I24" i="17"/>
  <c r="J24" i="17"/>
  <c r="K24" i="17"/>
  <c r="L24" i="17"/>
  <c r="M24" i="17"/>
  <c r="E25" i="17"/>
  <c r="F25" i="17"/>
  <c r="G25" i="17"/>
  <c r="H25" i="17"/>
  <c r="I25" i="17"/>
  <c r="J25" i="17"/>
  <c r="K25" i="17"/>
  <c r="L25" i="17"/>
  <c r="M25" i="17"/>
  <c r="E26" i="17"/>
  <c r="F26" i="17"/>
  <c r="G26" i="17"/>
  <c r="H26" i="17"/>
  <c r="I26" i="17"/>
  <c r="J26" i="17"/>
  <c r="K26" i="17"/>
  <c r="L26" i="17"/>
  <c r="M26" i="17"/>
  <c r="E27" i="17"/>
  <c r="F27" i="17"/>
  <c r="G27" i="17"/>
  <c r="H27" i="17"/>
  <c r="I27" i="17"/>
  <c r="J27" i="17"/>
  <c r="K27" i="17"/>
  <c r="L27" i="17"/>
  <c r="M27" i="17"/>
  <c r="E28" i="17"/>
  <c r="F28" i="17"/>
  <c r="G28" i="17"/>
  <c r="H28" i="17"/>
  <c r="I28" i="17"/>
  <c r="J28" i="17"/>
  <c r="K28" i="17"/>
  <c r="L28" i="17"/>
  <c r="M28" i="17"/>
  <c r="E29" i="17"/>
  <c r="F29" i="17"/>
  <c r="G29" i="17"/>
  <c r="H29" i="17"/>
  <c r="I29" i="17"/>
  <c r="J29" i="17"/>
  <c r="K29" i="17"/>
  <c r="L29" i="17"/>
  <c r="M29" i="17"/>
  <c r="E30" i="17"/>
  <c r="F30" i="17"/>
  <c r="G30" i="17"/>
  <c r="H30" i="17"/>
  <c r="I30" i="17"/>
  <c r="J30" i="17"/>
  <c r="K30" i="17"/>
  <c r="L30" i="17"/>
  <c r="M30" i="17"/>
  <c r="E31" i="17"/>
  <c r="F31" i="17"/>
  <c r="G31" i="17"/>
  <c r="H31" i="17"/>
  <c r="I31" i="17"/>
  <c r="J31" i="17"/>
  <c r="K31" i="17"/>
  <c r="L31" i="17"/>
  <c r="M31" i="17"/>
  <c r="E32" i="17"/>
  <c r="F32" i="17"/>
  <c r="G32" i="17"/>
  <c r="H32" i="17"/>
  <c r="I32" i="17"/>
  <c r="J32" i="17"/>
  <c r="K32" i="17"/>
  <c r="L32" i="17"/>
  <c r="M32" i="17"/>
  <c r="E20" i="17"/>
  <c r="F20" i="17"/>
  <c r="G20" i="17"/>
  <c r="H20" i="17"/>
  <c r="I20" i="17"/>
  <c r="J20" i="17"/>
  <c r="K20" i="17"/>
  <c r="L20" i="17"/>
  <c r="M20" i="17"/>
  <c r="E21" i="17"/>
  <c r="F21" i="17"/>
  <c r="G21" i="17"/>
  <c r="H21" i="17"/>
  <c r="I21" i="17"/>
  <c r="J21" i="17"/>
  <c r="K21" i="17"/>
  <c r="L21" i="17"/>
  <c r="M21" i="17"/>
  <c r="E22" i="17"/>
  <c r="F22" i="17"/>
  <c r="G22" i="17"/>
  <c r="H22" i="17"/>
  <c r="I22" i="17"/>
  <c r="J22" i="17"/>
  <c r="K22" i="17"/>
  <c r="L22" i="17"/>
  <c r="M22" i="17"/>
  <c r="D43" i="17"/>
  <c r="D35" i="17"/>
  <c r="D36" i="17"/>
  <c r="D37" i="17"/>
  <c r="D38" i="17"/>
  <c r="D39" i="17"/>
  <c r="D40" i="17"/>
  <c r="D41" i="17"/>
  <c r="D34" i="17"/>
  <c r="D24" i="17"/>
  <c r="D25" i="17"/>
  <c r="D26" i="17"/>
  <c r="D27" i="17"/>
  <c r="D28" i="17"/>
  <c r="D29" i="17"/>
  <c r="D30" i="17"/>
  <c r="D31" i="17"/>
  <c r="D32" i="17"/>
  <c r="D21" i="17"/>
  <c r="D22" i="17"/>
  <c r="D20" i="17"/>
  <c r="W14" i="13"/>
  <c r="W13" i="13"/>
  <c r="W15" i="13"/>
  <c r="C45" i="9"/>
  <c r="E49" i="17" s="1"/>
  <c r="D45" i="9"/>
  <c r="F49" i="17" s="1"/>
  <c r="E45" i="9"/>
  <c r="G49" i="17" s="1"/>
  <c r="F45" i="9"/>
  <c r="H49" i="17" s="1"/>
  <c r="G45" i="9"/>
  <c r="I49" i="17" s="1"/>
  <c r="H45" i="9"/>
  <c r="J49" i="17" s="1"/>
  <c r="I45" i="9"/>
  <c r="K49" i="17" s="1"/>
  <c r="J45" i="9"/>
  <c r="L49" i="17" s="1"/>
  <c r="K45" i="9"/>
  <c r="M49" i="17" s="1"/>
  <c r="L45" i="9"/>
  <c r="N49" i="17" s="1"/>
  <c r="M45" i="9"/>
  <c r="N45" i="9"/>
  <c r="O45" i="9"/>
  <c r="P45" i="9"/>
  <c r="Q45" i="9"/>
  <c r="R45" i="9"/>
  <c r="S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C52" i="9"/>
  <c r="C57" i="9" s="1"/>
  <c r="D52" i="9"/>
  <c r="E52" i="9"/>
  <c r="F52" i="9"/>
  <c r="G52" i="9"/>
  <c r="G57" i="9" s="1"/>
  <c r="G60" i="9" s="1"/>
  <c r="H52" i="9"/>
  <c r="I52" i="9"/>
  <c r="J52" i="9"/>
  <c r="K52" i="9"/>
  <c r="K57" i="9" s="1"/>
  <c r="L52" i="9"/>
  <c r="M52" i="9"/>
  <c r="M57" i="9" s="1"/>
  <c r="N52" i="9"/>
  <c r="N57" i="9" s="1"/>
  <c r="O52" i="9"/>
  <c r="O57" i="9" s="1"/>
  <c r="O74" i="9" s="1"/>
  <c r="O75" i="9" s="1"/>
  <c r="O77" i="9" s="1"/>
  <c r="O80" i="9" s="1"/>
  <c r="P52" i="9"/>
  <c r="P57" i="9" s="1"/>
  <c r="Q52" i="9"/>
  <c r="Q57" i="9" s="1"/>
  <c r="Q74" i="9" s="1"/>
  <c r="Q75" i="9" s="1"/>
  <c r="Q77" i="9" s="1"/>
  <c r="R52" i="9"/>
  <c r="R57" i="9" s="1"/>
  <c r="S52" i="9"/>
  <c r="S57" i="9" s="1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D57" i="9"/>
  <c r="Q58" i="9"/>
  <c r="Q59" i="9" s="1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C81" i="9"/>
  <c r="C82" i="9" s="1"/>
  <c r="D81" i="9"/>
  <c r="D83" i="9" s="1"/>
  <c r="D88" i="9" s="1"/>
  <c r="E81" i="9"/>
  <c r="E82" i="9" s="1"/>
  <c r="F81" i="9"/>
  <c r="F83" i="9" s="1"/>
  <c r="F88" i="9" s="1"/>
  <c r="G81" i="9"/>
  <c r="G83" i="9" s="1"/>
  <c r="G88" i="9" s="1"/>
  <c r="H81" i="9"/>
  <c r="H83" i="9" s="1"/>
  <c r="H88" i="9" s="1"/>
  <c r="I81" i="9"/>
  <c r="I84" i="9" s="1"/>
  <c r="I89" i="9" s="1"/>
  <c r="J81" i="9"/>
  <c r="J83" i="9" s="1"/>
  <c r="J88" i="9" s="1"/>
  <c r="K81" i="9"/>
  <c r="K84" i="9" s="1"/>
  <c r="K89" i="9" s="1"/>
  <c r="L81" i="9"/>
  <c r="L83" i="9" s="1"/>
  <c r="L88" i="9" s="1"/>
  <c r="M81" i="9"/>
  <c r="M82" i="9" s="1"/>
  <c r="N81" i="9"/>
  <c r="N83" i="9" s="1"/>
  <c r="N88" i="9" s="1"/>
  <c r="O81" i="9"/>
  <c r="O82" i="9" s="1"/>
  <c r="P81" i="9"/>
  <c r="P83" i="9" s="1"/>
  <c r="P88" i="9" s="1"/>
  <c r="Q81" i="9"/>
  <c r="Q84" i="9" s="1"/>
  <c r="Q89" i="9" s="1"/>
  <c r="R81" i="9"/>
  <c r="R83" i="9" s="1"/>
  <c r="R88" i="9" s="1"/>
  <c r="S81" i="9"/>
  <c r="S84" i="9" s="1"/>
  <c r="S89" i="9" s="1"/>
  <c r="C93" i="9"/>
  <c r="C94" i="9" s="1"/>
  <c r="C96" i="9" s="1"/>
  <c r="D93" i="9"/>
  <c r="E93" i="9"/>
  <c r="E94" i="9" s="1"/>
  <c r="E95" i="9" s="1"/>
  <c r="F93" i="9"/>
  <c r="F94" i="9" s="1"/>
  <c r="G93" i="9"/>
  <c r="G94" i="9" s="1"/>
  <c r="G96" i="9" s="1"/>
  <c r="H93" i="9"/>
  <c r="H94" i="9" s="1"/>
  <c r="H96" i="9" s="1"/>
  <c r="I93" i="9"/>
  <c r="I94" i="9" s="1"/>
  <c r="I95" i="9" s="1"/>
  <c r="J93" i="9"/>
  <c r="J94" i="9" s="1"/>
  <c r="K93" i="9"/>
  <c r="K94" i="9" s="1"/>
  <c r="K95" i="9" s="1"/>
  <c r="L93" i="9"/>
  <c r="L94" i="9" s="1"/>
  <c r="L96" i="9" s="1"/>
  <c r="M93" i="9"/>
  <c r="M94" i="9" s="1"/>
  <c r="M96" i="9" s="1"/>
  <c r="N93" i="9"/>
  <c r="N94" i="9" s="1"/>
  <c r="O93" i="9"/>
  <c r="O94" i="9" s="1"/>
  <c r="O96" i="9" s="1"/>
  <c r="P93" i="9"/>
  <c r="P94" i="9" s="1"/>
  <c r="P96" i="9" s="1"/>
  <c r="Q93" i="9"/>
  <c r="Q94" i="9" s="1"/>
  <c r="Q96" i="9" s="1"/>
  <c r="R93" i="9"/>
  <c r="R94" i="9" s="1"/>
  <c r="S93" i="9"/>
  <c r="S94" i="9" s="1"/>
  <c r="S95" i="9" s="1"/>
  <c r="D94" i="9"/>
  <c r="D96" i="9" s="1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C99" i="9"/>
  <c r="C66" i="9" s="1"/>
  <c r="D99" i="9"/>
  <c r="D66" i="9" s="1"/>
  <c r="E99" i="9"/>
  <c r="E66" i="9" s="1"/>
  <c r="F99" i="9"/>
  <c r="F66" i="9" s="1"/>
  <c r="G99" i="9"/>
  <c r="G66" i="9" s="1"/>
  <c r="H99" i="9"/>
  <c r="H66" i="9" s="1"/>
  <c r="I99" i="9"/>
  <c r="I66" i="9" s="1"/>
  <c r="J99" i="9"/>
  <c r="J66" i="9" s="1"/>
  <c r="K99" i="9"/>
  <c r="K66" i="9" s="1"/>
  <c r="L99" i="9"/>
  <c r="L66" i="9" s="1"/>
  <c r="M99" i="9"/>
  <c r="M66" i="9" s="1"/>
  <c r="N99" i="9"/>
  <c r="N66" i="9" s="1"/>
  <c r="O99" i="9"/>
  <c r="O66" i="9" s="1"/>
  <c r="P99" i="9"/>
  <c r="P66" i="9" s="1"/>
  <c r="Q99" i="9"/>
  <c r="Q66" i="9" s="1"/>
  <c r="R99" i="9"/>
  <c r="R66" i="9" s="1"/>
  <c r="S99" i="9"/>
  <c r="S66" i="9" s="1"/>
  <c r="B98" i="9"/>
  <c r="B97" i="9"/>
  <c r="B93" i="9"/>
  <c r="B63" i="9"/>
  <c r="D12" i="17" s="1"/>
  <c r="B56" i="9"/>
  <c r="B55" i="9"/>
  <c r="B54" i="9"/>
  <c r="B51" i="9"/>
  <c r="B50" i="9"/>
  <c r="B49" i="9"/>
  <c r="B48" i="9"/>
  <c r="B47" i="9"/>
  <c r="B46" i="9"/>
  <c r="B42" i="9"/>
  <c r="B41" i="9"/>
  <c r="B40" i="9"/>
  <c r="B39" i="9"/>
  <c r="B38" i="9"/>
  <c r="O60" i="9" l="1"/>
  <c r="K83" i="9"/>
  <c r="K88" i="9" s="1"/>
  <c r="K90" i="9" s="1"/>
  <c r="K82" i="9"/>
  <c r="J57" i="9"/>
  <c r="J74" i="9" s="1"/>
  <c r="J75" i="9" s="1"/>
  <c r="J77" i="9" s="1"/>
  <c r="O84" i="9"/>
  <c r="O89" i="9" s="1"/>
  <c r="C83" i="9"/>
  <c r="C88" i="9" s="1"/>
  <c r="F57" i="9"/>
  <c r="F60" i="9" s="1"/>
  <c r="Q95" i="9"/>
  <c r="Q68" i="9" s="1"/>
  <c r="Q71" i="9" s="1"/>
  <c r="C84" i="9"/>
  <c r="C89" i="9" s="1"/>
  <c r="G74" i="9"/>
  <c r="G75" i="9" s="1"/>
  <c r="G77" i="9" s="1"/>
  <c r="G80" i="9" s="1"/>
  <c r="W16" i="13"/>
  <c r="W17" i="13"/>
  <c r="B67" i="9"/>
  <c r="G84" i="9"/>
  <c r="G89" i="9" s="1"/>
  <c r="G90" i="9" s="1"/>
  <c r="O83" i="9"/>
  <c r="O88" i="9" s="1"/>
  <c r="O90" i="9" s="1"/>
  <c r="S83" i="9"/>
  <c r="S88" i="9" s="1"/>
  <c r="S90" i="9" s="1"/>
  <c r="S82" i="9"/>
  <c r="G82" i="9"/>
  <c r="D74" i="9"/>
  <c r="D75" i="9" s="1"/>
  <c r="D77" i="9" s="1"/>
  <c r="D79" i="9" s="1"/>
  <c r="L57" i="9"/>
  <c r="L61" i="9" s="1"/>
  <c r="P67" i="9"/>
  <c r="L67" i="9"/>
  <c r="H67" i="9"/>
  <c r="D67" i="9"/>
  <c r="K96" i="9"/>
  <c r="K68" i="9" s="1"/>
  <c r="M95" i="9"/>
  <c r="M68" i="9" s="1"/>
  <c r="M71" i="9" s="1"/>
  <c r="D61" i="9"/>
  <c r="I57" i="9"/>
  <c r="I61" i="9" s="1"/>
  <c r="E57" i="9"/>
  <c r="E60" i="9" s="1"/>
  <c r="B64" i="9"/>
  <c r="R67" i="9"/>
  <c r="N67" i="9"/>
  <c r="J67" i="9"/>
  <c r="F67" i="9"/>
  <c r="S96" i="9"/>
  <c r="S68" i="9" s="1"/>
  <c r="S71" i="9" s="1"/>
  <c r="Q82" i="9"/>
  <c r="Q83" i="9"/>
  <c r="Q88" i="9" s="1"/>
  <c r="Q90" i="9" s="1"/>
  <c r="M83" i="9"/>
  <c r="M88" i="9" s="1"/>
  <c r="M84" i="9"/>
  <c r="M89" i="9" s="1"/>
  <c r="I82" i="9"/>
  <c r="I83" i="9"/>
  <c r="I88" i="9" s="1"/>
  <c r="I90" i="9" s="1"/>
  <c r="E83" i="9"/>
  <c r="E88" i="9" s="1"/>
  <c r="E84" i="9"/>
  <c r="E89" i="9" s="1"/>
  <c r="P74" i="9"/>
  <c r="P75" i="9" s="1"/>
  <c r="P77" i="9" s="1"/>
  <c r="P86" i="9" s="1"/>
  <c r="P87" i="9" s="1"/>
  <c r="P61" i="9"/>
  <c r="H57" i="9"/>
  <c r="D80" i="9"/>
  <c r="D86" i="9"/>
  <c r="D87" i="9" s="1"/>
  <c r="R95" i="9"/>
  <c r="N95" i="9"/>
  <c r="J95" i="9"/>
  <c r="F95" i="9"/>
  <c r="I96" i="9"/>
  <c r="I68" i="9" s="1"/>
  <c r="E96" i="9"/>
  <c r="E68" i="9" s="1"/>
  <c r="R82" i="9"/>
  <c r="R84" i="9"/>
  <c r="R89" i="9" s="1"/>
  <c r="R90" i="9" s="1"/>
  <c r="P82" i="9"/>
  <c r="P84" i="9"/>
  <c r="P89" i="9" s="1"/>
  <c r="P90" i="9" s="1"/>
  <c r="N82" i="9"/>
  <c r="N84" i="9"/>
  <c r="N89" i="9" s="1"/>
  <c r="N90" i="9" s="1"/>
  <c r="L82" i="9"/>
  <c r="L84" i="9"/>
  <c r="L89" i="9" s="1"/>
  <c r="L90" i="9" s="1"/>
  <c r="J82" i="9"/>
  <c r="J84" i="9"/>
  <c r="J89" i="9" s="1"/>
  <c r="J90" i="9" s="1"/>
  <c r="H82" i="9"/>
  <c r="H84" i="9"/>
  <c r="H89" i="9" s="1"/>
  <c r="H90" i="9" s="1"/>
  <c r="F82" i="9"/>
  <c r="F84" i="9"/>
  <c r="F89" i="9" s="1"/>
  <c r="F90" i="9" s="1"/>
  <c r="D82" i="9"/>
  <c r="D84" i="9"/>
  <c r="D89" i="9" s="1"/>
  <c r="D90" i="9" s="1"/>
  <c r="Q79" i="9"/>
  <c r="Q86" i="9"/>
  <c r="Q87" i="9" s="1"/>
  <c r="O79" i="9"/>
  <c r="O86" i="9"/>
  <c r="O87" i="9" s="1"/>
  <c r="R58" i="9"/>
  <c r="R60" i="9"/>
  <c r="R74" i="9"/>
  <c r="R75" i="9" s="1"/>
  <c r="R77" i="9" s="1"/>
  <c r="N58" i="9"/>
  <c r="N60" i="9"/>
  <c r="N74" i="9"/>
  <c r="N75" i="9" s="1"/>
  <c r="N77" i="9" s="1"/>
  <c r="J60" i="9"/>
  <c r="S61" i="9"/>
  <c r="S58" i="9"/>
  <c r="Q61" i="9"/>
  <c r="Q60" i="9"/>
  <c r="O61" i="9"/>
  <c r="O58" i="9"/>
  <c r="M61" i="9"/>
  <c r="M60" i="9"/>
  <c r="K61" i="9"/>
  <c r="K58" i="9"/>
  <c r="G61" i="9"/>
  <c r="G58" i="9"/>
  <c r="C61" i="9"/>
  <c r="C58" i="9"/>
  <c r="S67" i="9"/>
  <c r="Q67" i="9"/>
  <c r="O67" i="9"/>
  <c r="M67" i="9"/>
  <c r="K67" i="9"/>
  <c r="I67" i="9"/>
  <c r="G67" i="9"/>
  <c r="E67" i="9"/>
  <c r="C67" i="9"/>
  <c r="R96" i="9"/>
  <c r="N96" i="9"/>
  <c r="J96" i="9"/>
  <c r="F96" i="9"/>
  <c r="O95" i="9"/>
  <c r="O68" i="9" s="1"/>
  <c r="O71" i="9" s="1"/>
  <c r="G95" i="9"/>
  <c r="G68" i="9" s="1"/>
  <c r="C95" i="9"/>
  <c r="C68" i="9" s="1"/>
  <c r="P95" i="9"/>
  <c r="P68" i="9" s="1"/>
  <c r="L95" i="9"/>
  <c r="L68" i="9" s="1"/>
  <c r="H95" i="9"/>
  <c r="H68" i="9" s="1"/>
  <c r="D95" i="9"/>
  <c r="D68" i="9" s="1"/>
  <c r="Q80" i="9"/>
  <c r="Q76" i="9"/>
  <c r="Q78" i="9" s="1"/>
  <c r="S74" i="9"/>
  <c r="S75" i="9" s="1"/>
  <c r="S77" i="9" s="1"/>
  <c r="M74" i="9"/>
  <c r="M75" i="9" s="1"/>
  <c r="M77" i="9" s="1"/>
  <c r="K74" i="9"/>
  <c r="K75" i="9" s="1"/>
  <c r="K77" i="9" s="1"/>
  <c r="C74" i="9"/>
  <c r="C75" i="9" s="1"/>
  <c r="C77" i="9" s="1"/>
  <c r="R61" i="9"/>
  <c r="N61" i="9"/>
  <c r="S60" i="9"/>
  <c r="K60" i="9"/>
  <c r="C60" i="9"/>
  <c r="M58" i="9"/>
  <c r="P58" i="9"/>
  <c r="P60" i="9"/>
  <c r="H58" i="9"/>
  <c r="H60" i="9"/>
  <c r="D58" i="9"/>
  <c r="D60" i="9"/>
  <c r="L60" i="9" l="1"/>
  <c r="J58" i="9"/>
  <c r="F58" i="9"/>
  <c r="J61" i="9"/>
  <c r="C90" i="9"/>
  <c r="K71" i="9"/>
  <c r="F61" i="9"/>
  <c r="I60" i="9"/>
  <c r="F74" i="9"/>
  <c r="F75" i="9" s="1"/>
  <c r="F77" i="9" s="1"/>
  <c r="F79" i="9" s="1"/>
  <c r="L58" i="9"/>
  <c r="P72" i="9"/>
  <c r="F68" i="9"/>
  <c r="E61" i="9"/>
  <c r="M72" i="9"/>
  <c r="E74" i="9"/>
  <c r="E75" i="9" s="1"/>
  <c r="E77" i="9" s="1"/>
  <c r="E80" i="9" s="1"/>
  <c r="N68" i="9"/>
  <c r="N71" i="9" s="1"/>
  <c r="R68" i="9"/>
  <c r="R71" i="9" s="1"/>
  <c r="G86" i="9"/>
  <c r="G87" i="9" s="1"/>
  <c r="P80" i="9"/>
  <c r="E58" i="9"/>
  <c r="G79" i="9"/>
  <c r="J68" i="9"/>
  <c r="J71" i="9" s="1"/>
  <c r="S72" i="9"/>
  <c r="E71" i="9"/>
  <c r="P79" i="9"/>
  <c r="L74" i="9"/>
  <c r="L75" i="9" s="1"/>
  <c r="L77" i="9" s="1"/>
  <c r="L72" i="9"/>
  <c r="D72" i="9"/>
  <c r="C71" i="9"/>
  <c r="H72" i="9"/>
  <c r="C72" i="9"/>
  <c r="K72" i="9"/>
  <c r="B60" i="9"/>
  <c r="I71" i="9"/>
  <c r="I74" i="9"/>
  <c r="I75" i="9" s="1"/>
  <c r="I77" i="9" s="1"/>
  <c r="I58" i="9"/>
  <c r="G71" i="9"/>
  <c r="O72" i="9"/>
  <c r="E90" i="9"/>
  <c r="M90" i="9"/>
  <c r="H74" i="9"/>
  <c r="H75" i="9" s="1"/>
  <c r="H77" i="9" s="1"/>
  <c r="H61" i="9"/>
  <c r="D76" i="9"/>
  <c r="D78" i="9" s="1"/>
  <c r="D59" i="9"/>
  <c r="H76" i="9"/>
  <c r="H78" i="9" s="1"/>
  <c r="H59" i="9"/>
  <c r="P76" i="9"/>
  <c r="P78" i="9" s="1"/>
  <c r="P59" i="9"/>
  <c r="E76" i="9"/>
  <c r="E78" i="9" s="1"/>
  <c r="C79" i="9"/>
  <c r="C86" i="9"/>
  <c r="C87" i="9" s="1"/>
  <c r="C80" i="9"/>
  <c r="K79" i="9"/>
  <c r="K86" i="9"/>
  <c r="K87" i="9" s="1"/>
  <c r="K80" i="9"/>
  <c r="S79" i="9"/>
  <c r="S86" i="9"/>
  <c r="S87" i="9" s="1"/>
  <c r="S80" i="9"/>
  <c r="G72" i="9"/>
  <c r="C59" i="9"/>
  <c r="C76" i="9"/>
  <c r="C78" i="9" s="1"/>
  <c r="G59" i="9"/>
  <c r="G76" i="9"/>
  <c r="G78" i="9" s="1"/>
  <c r="K59" i="9"/>
  <c r="K76" i="9"/>
  <c r="K78" i="9" s="1"/>
  <c r="O59" i="9"/>
  <c r="O76" i="9"/>
  <c r="O78" i="9" s="1"/>
  <c r="S59" i="9"/>
  <c r="S76" i="9"/>
  <c r="S78" i="9" s="1"/>
  <c r="F80" i="9"/>
  <c r="F59" i="9"/>
  <c r="N80" i="9"/>
  <c r="N79" i="9"/>
  <c r="N86" i="9"/>
  <c r="N87" i="9" s="1"/>
  <c r="N59" i="9"/>
  <c r="N76" i="9"/>
  <c r="N78" i="9" s="1"/>
  <c r="H71" i="9"/>
  <c r="P71" i="9"/>
  <c r="M59" i="9"/>
  <c r="M76" i="9"/>
  <c r="M78" i="9" s="1"/>
  <c r="E86" i="9"/>
  <c r="E87" i="9" s="1"/>
  <c r="M79" i="9"/>
  <c r="M86" i="9"/>
  <c r="M87" i="9" s="1"/>
  <c r="M80" i="9"/>
  <c r="E72" i="9"/>
  <c r="I72" i="9"/>
  <c r="Q72" i="9"/>
  <c r="J80" i="9"/>
  <c r="J79" i="9"/>
  <c r="J86" i="9"/>
  <c r="J87" i="9" s="1"/>
  <c r="J59" i="9"/>
  <c r="J76" i="9"/>
  <c r="J78" i="9" s="1"/>
  <c r="R80" i="9"/>
  <c r="R79" i="9"/>
  <c r="R86" i="9"/>
  <c r="R87" i="9" s="1"/>
  <c r="R59" i="9"/>
  <c r="R76" i="9"/>
  <c r="R78" i="9" s="1"/>
  <c r="D71" i="9"/>
  <c r="L71" i="9"/>
  <c r="E79" i="9" l="1"/>
  <c r="F76" i="9"/>
  <c r="F78" i="9" s="1"/>
  <c r="F86" i="9"/>
  <c r="F87" i="9" s="1"/>
  <c r="L59" i="9"/>
  <c r="L76" i="9"/>
  <c r="L78" i="9" s="1"/>
  <c r="F72" i="9"/>
  <c r="E59" i="9"/>
  <c r="F71" i="9"/>
  <c r="N72" i="9"/>
  <c r="R72" i="9"/>
  <c r="J72" i="9"/>
  <c r="L80" i="9"/>
  <c r="L86" i="9"/>
  <c r="L87" i="9" s="1"/>
  <c r="L79" i="9"/>
  <c r="I80" i="9"/>
  <c r="I79" i="9"/>
  <c r="I86" i="9"/>
  <c r="I87" i="9" s="1"/>
  <c r="H86" i="9"/>
  <c r="H87" i="9" s="1"/>
  <c r="H79" i="9"/>
  <c r="H80" i="9"/>
  <c r="I59" i="9"/>
  <c r="I76" i="9"/>
  <c r="I78" i="9" s="1"/>
  <c r="E4" i="17"/>
  <c r="F4" i="17"/>
  <c r="G4" i="17"/>
  <c r="H4" i="17"/>
  <c r="I4" i="17"/>
  <c r="J4" i="17"/>
  <c r="K4" i="17"/>
  <c r="L4" i="17"/>
  <c r="M4" i="17"/>
  <c r="E5" i="17"/>
  <c r="F5" i="17"/>
  <c r="G5" i="17"/>
  <c r="H5" i="17"/>
  <c r="I5" i="17"/>
  <c r="J5" i="17"/>
  <c r="K5" i="17"/>
  <c r="L5" i="17"/>
  <c r="M5" i="17"/>
  <c r="E7" i="17"/>
  <c r="F7" i="17"/>
  <c r="G7" i="17"/>
  <c r="H7" i="17"/>
  <c r="I7" i="17"/>
  <c r="J7" i="17"/>
  <c r="K7" i="17"/>
  <c r="L7" i="17"/>
  <c r="M7" i="17"/>
  <c r="E9" i="17"/>
  <c r="F9" i="17"/>
  <c r="G9" i="17"/>
  <c r="H9" i="17"/>
  <c r="I9" i="17"/>
  <c r="J9" i="17"/>
  <c r="K9" i="17"/>
  <c r="L9" i="17"/>
  <c r="M9" i="17"/>
  <c r="E10" i="17"/>
  <c r="F10" i="17"/>
  <c r="H10" i="17"/>
  <c r="I10" i="17"/>
  <c r="J10" i="17"/>
  <c r="L10" i="17"/>
  <c r="M10" i="17"/>
  <c r="E11" i="17"/>
  <c r="F11" i="17"/>
  <c r="G11" i="17"/>
  <c r="H11" i="17"/>
  <c r="I11" i="17"/>
  <c r="J11" i="17"/>
  <c r="K11" i="17"/>
  <c r="L11" i="17"/>
  <c r="M11" i="17"/>
  <c r="E13" i="17"/>
  <c r="F13" i="17"/>
  <c r="G13" i="17"/>
  <c r="H13" i="17"/>
  <c r="I13" i="17"/>
  <c r="J13" i="17"/>
  <c r="K13" i="17"/>
  <c r="L13" i="17"/>
  <c r="M13" i="17"/>
  <c r="D13" i="17"/>
  <c r="D11" i="17"/>
  <c r="D5" i="17"/>
  <c r="D4" i="17"/>
  <c r="C6" i="9"/>
  <c r="D6" i="9"/>
  <c r="E6" i="9"/>
  <c r="F6" i="9"/>
  <c r="G6" i="9"/>
  <c r="H6" i="9"/>
  <c r="I6" i="9"/>
  <c r="J6" i="9"/>
  <c r="K6" i="9"/>
  <c r="L6" i="9"/>
  <c r="M6" i="9"/>
  <c r="N6" i="9"/>
  <c r="B99" i="9"/>
  <c r="B66" i="9" s="1"/>
  <c r="B94" i="9"/>
  <c r="G10" i="17" l="1"/>
  <c r="K10" i="17"/>
  <c r="D3" i="17"/>
  <c r="D47" i="17"/>
  <c r="D19" i="17"/>
  <c r="I3" i="17"/>
  <c r="I47" i="17"/>
  <c r="I19" i="17"/>
  <c r="E3" i="17"/>
  <c r="E47" i="17"/>
  <c r="E19" i="17"/>
  <c r="J3" i="17"/>
  <c r="J19" i="17"/>
  <c r="J47" i="17"/>
  <c r="L3" i="17"/>
  <c r="L47" i="17"/>
  <c r="L19" i="17"/>
  <c r="H3" i="17"/>
  <c r="H47" i="17"/>
  <c r="H19" i="17"/>
  <c r="M3" i="17"/>
  <c r="M47" i="17"/>
  <c r="M19" i="17"/>
  <c r="K3" i="17"/>
  <c r="K47" i="17"/>
  <c r="K19" i="17"/>
  <c r="G3" i="17"/>
  <c r="G47" i="17"/>
  <c r="G19" i="17"/>
  <c r="F3" i="17"/>
  <c r="F19" i="17"/>
  <c r="F47" i="17"/>
  <c r="S813" i="18"/>
  <c r="R813" i="18"/>
  <c r="S812" i="18"/>
  <c r="R812" i="18"/>
  <c r="S811" i="18"/>
  <c r="R811" i="18"/>
  <c r="S810" i="18"/>
  <c r="R810" i="18"/>
  <c r="S809" i="18"/>
  <c r="R809" i="18"/>
  <c r="S808" i="18"/>
  <c r="R808" i="18"/>
  <c r="S807" i="18"/>
  <c r="R807" i="18"/>
  <c r="S806" i="18"/>
  <c r="R806" i="18"/>
  <c r="S805" i="18"/>
  <c r="R805" i="18"/>
  <c r="S804" i="18"/>
  <c r="R804" i="18"/>
  <c r="S803" i="18"/>
  <c r="R803" i="18"/>
  <c r="S797" i="18"/>
  <c r="R797" i="18"/>
  <c r="S796" i="18"/>
  <c r="R796" i="18"/>
  <c r="S795" i="18"/>
  <c r="R795" i="18"/>
  <c r="S794" i="18"/>
  <c r="R794" i="18"/>
  <c r="S793" i="18"/>
  <c r="R793" i="18"/>
  <c r="S792" i="18"/>
  <c r="R792" i="18"/>
  <c r="S791" i="18"/>
  <c r="R791" i="18"/>
  <c r="S790" i="18"/>
  <c r="R790" i="18"/>
  <c r="S789" i="18"/>
  <c r="R789" i="18"/>
  <c r="S788" i="18"/>
  <c r="R788" i="18"/>
  <c r="S787" i="18"/>
  <c r="R787" i="18"/>
  <c r="S781" i="18"/>
  <c r="R781" i="18"/>
  <c r="S780" i="18"/>
  <c r="R780" i="18"/>
  <c r="S779" i="18"/>
  <c r="R779" i="18"/>
  <c r="S778" i="18"/>
  <c r="R778" i="18"/>
  <c r="S777" i="18"/>
  <c r="R777" i="18"/>
  <c r="S776" i="18"/>
  <c r="R776" i="18"/>
  <c r="S775" i="18"/>
  <c r="R775" i="18"/>
  <c r="S774" i="18"/>
  <c r="R774" i="18"/>
  <c r="S773" i="18"/>
  <c r="R773" i="18"/>
  <c r="S772" i="18"/>
  <c r="R772" i="18"/>
  <c r="S771" i="18"/>
  <c r="R771" i="18"/>
  <c r="S765" i="18"/>
  <c r="R765" i="18"/>
  <c r="S764" i="18"/>
  <c r="R764" i="18"/>
  <c r="S763" i="18"/>
  <c r="R763" i="18"/>
  <c r="S762" i="18"/>
  <c r="R762" i="18"/>
  <c r="S761" i="18"/>
  <c r="R761" i="18"/>
  <c r="S760" i="18"/>
  <c r="R760" i="18"/>
  <c r="S759" i="18"/>
  <c r="R759" i="18"/>
  <c r="S758" i="18"/>
  <c r="R758" i="18"/>
  <c r="S757" i="18"/>
  <c r="R757" i="18"/>
  <c r="S756" i="18"/>
  <c r="R756" i="18"/>
  <c r="S755" i="18"/>
  <c r="R755" i="18"/>
  <c r="S749" i="18"/>
  <c r="R749" i="18"/>
  <c r="S748" i="18"/>
  <c r="R748" i="18"/>
  <c r="S747" i="18"/>
  <c r="R747" i="18"/>
  <c r="S746" i="18"/>
  <c r="R746" i="18"/>
  <c r="S745" i="18"/>
  <c r="R745" i="18"/>
  <c r="S744" i="18"/>
  <c r="R744" i="18"/>
  <c r="S743" i="18"/>
  <c r="R743" i="18"/>
  <c r="S742" i="18"/>
  <c r="R742" i="18"/>
  <c r="S741" i="18"/>
  <c r="R741" i="18"/>
  <c r="S740" i="18"/>
  <c r="R740" i="18"/>
  <c r="S739" i="18"/>
  <c r="R739" i="18"/>
  <c r="S733" i="18"/>
  <c r="R733" i="18"/>
  <c r="S732" i="18"/>
  <c r="R732" i="18"/>
  <c r="S731" i="18"/>
  <c r="R731" i="18"/>
  <c r="S730" i="18"/>
  <c r="R730" i="18"/>
  <c r="S729" i="18"/>
  <c r="R729" i="18"/>
  <c r="S728" i="18"/>
  <c r="R728" i="18"/>
  <c r="S727" i="18"/>
  <c r="R727" i="18"/>
  <c r="S726" i="18"/>
  <c r="R726" i="18"/>
  <c r="S725" i="18"/>
  <c r="R725" i="18"/>
  <c r="S724" i="18"/>
  <c r="R724" i="18"/>
  <c r="S723" i="18"/>
  <c r="R723" i="18"/>
  <c r="S717" i="18"/>
  <c r="R717" i="18"/>
  <c r="S716" i="18"/>
  <c r="R716" i="18"/>
  <c r="S715" i="18"/>
  <c r="R715" i="18"/>
  <c r="S714" i="18"/>
  <c r="R714" i="18"/>
  <c r="S713" i="18"/>
  <c r="R713" i="18"/>
  <c r="S712" i="18"/>
  <c r="R712" i="18"/>
  <c r="S711" i="18"/>
  <c r="R711" i="18"/>
  <c r="S710" i="18"/>
  <c r="R710" i="18"/>
  <c r="S709" i="18"/>
  <c r="R709" i="18"/>
  <c r="S708" i="18"/>
  <c r="R708" i="18"/>
  <c r="S707" i="18"/>
  <c r="R707" i="18"/>
  <c r="S701" i="18"/>
  <c r="R701" i="18"/>
  <c r="S700" i="18"/>
  <c r="R700" i="18"/>
  <c r="S699" i="18"/>
  <c r="R699" i="18"/>
  <c r="S698" i="18"/>
  <c r="R698" i="18"/>
  <c r="S697" i="18"/>
  <c r="R697" i="18"/>
  <c r="S696" i="18"/>
  <c r="R696" i="18"/>
  <c r="S695" i="18"/>
  <c r="R695" i="18"/>
  <c r="S694" i="18"/>
  <c r="R694" i="18"/>
  <c r="S693" i="18"/>
  <c r="R693" i="18"/>
  <c r="S692" i="18"/>
  <c r="R692" i="18"/>
  <c r="S691" i="18"/>
  <c r="R691" i="18"/>
  <c r="S685" i="18"/>
  <c r="R685" i="18"/>
  <c r="S684" i="18"/>
  <c r="R684" i="18"/>
  <c r="S683" i="18"/>
  <c r="R683" i="18"/>
  <c r="S682" i="18"/>
  <c r="R682" i="18"/>
  <c r="S681" i="18"/>
  <c r="R681" i="18"/>
  <c r="S680" i="18"/>
  <c r="R680" i="18"/>
  <c r="S679" i="18"/>
  <c r="R679" i="18"/>
  <c r="S678" i="18"/>
  <c r="R678" i="18"/>
  <c r="S677" i="18"/>
  <c r="R677" i="18"/>
  <c r="S676" i="18"/>
  <c r="R676" i="18"/>
  <c r="S675" i="18"/>
  <c r="R675" i="18"/>
  <c r="S669" i="18"/>
  <c r="R669" i="18"/>
  <c r="S668" i="18"/>
  <c r="R668" i="18"/>
  <c r="S667" i="18"/>
  <c r="R667" i="18"/>
  <c r="S666" i="18"/>
  <c r="R666" i="18"/>
  <c r="S665" i="18"/>
  <c r="R665" i="18"/>
  <c r="S664" i="18"/>
  <c r="R664" i="18"/>
  <c r="S663" i="18"/>
  <c r="R663" i="18"/>
  <c r="S662" i="18"/>
  <c r="R662" i="18"/>
  <c r="S661" i="18"/>
  <c r="R661" i="18"/>
  <c r="S660" i="18"/>
  <c r="R660" i="18"/>
  <c r="S659" i="18"/>
  <c r="R659" i="18"/>
  <c r="S653" i="18"/>
  <c r="R653" i="18"/>
  <c r="S652" i="18"/>
  <c r="R652" i="18"/>
  <c r="S651" i="18"/>
  <c r="R651" i="18"/>
  <c r="S650" i="18"/>
  <c r="R650" i="18"/>
  <c r="S649" i="18"/>
  <c r="R649" i="18"/>
  <c r="S648" i="18"/>
  <c r="R648" i="18"/>
  <c r="S647" i="18"/>
  <c r="R647" i="18"/>
  <c r="S646" i="18"/>
  <c r="R646" i="18"/>
  <c r="S645" i="18"/>
  <c r="R645" i="18"/>
  <c r="S644" i="18"/>
  <c r="R644" i="18"/>
  <c r="S643" i="18"/>
  <c r="R643" i="18"/>
  <c r="S637" i="18"/>
  <c r="R637" i="18"/>
  <c r="S636" i="18"/>
  <c r="R636" i="18"/>
  <c r="S635" i="18"/>
  <c r="R635" i="18"/>
  <c r="S634" i="18"/>
  <c r="R634" i="18"/>
  <c r="S633" i="18"/>
  <c r="R633" i="18"/>
  <c r="S632" i="18"/>
  <c r="R632" i="18"/>
  <c r="S631" i="18"/>
  <c r="R631" i="18"/>
  <c r="S630" i="18"/>
  <c r="R630" i="18"/>
  <c r="S629" i="18"/>
  <c r="R629" i="18"/>
  <c r="S628" i="18"/>
  <c r="R628" i="18"/>
  <c r="S627" i="18"/>
  <c r="R627" i="18"/>
  <c r="S621" i="18"/>
  <c r="R621" i="18"/>
  <c r="S620" i="18"/>
  <c r="R620" i="18"/>
  <c r="S619" i="18"/>
  <c r="R619" i="18"/>
  <c r="S618" i="18"/>
  <c r="R618" i="18"/>
  <c r="S617" i="18"/>
  <c r="R617" i="18"/>
  <c r="S616" i="18"/>
  <c r="R616" i="18"/>
  <c r="S615" i="18"/>
  <c r="R615" i="18"/>
  <c r="S614" i="18"/>
  <c r="R614" i="18"/>
  <c r="S613" i="18"/>
  <c r="R613" i="18"/>
  <c r="S612" i="18"/>
  <c r="R612" i="18"/>
  <c r="S611" i="18"/>
  <c r="R611" i="18"/>
  <c r="S605" i="18"/>
  <c r="R605" i="18"/>
  <c r="S604" i="18"/>
  <c r="R604" i="18"/>
  <c r="S603" i="18"/>
  <c r="R603" i="18"/>
  <c r="S602" i="18"/>
  <c r="R602" i="18"/>
  <c r="S601" i="18"/>
  <c r="R601" i="18"/>
  <c r="S600" i="18"/>
  <c r="R600" i="18"/>
  <c r="S599" i="18"/>
  <c r="R599" i="18"/>
  <c r="S598" i="18"/>
  <c r="R598" i="18"/>
  <c r="S597" i="18"/>
  <c r="R597" i="18"/>
  <c r="S596" i="18"/>
  <c r="R596" i="18"/>
  <c r="S595" i="18"/>
  <c r="R595" i="18"/>
  <c r="S589" i="18"/>
  <c r="R589" i="18"/>
  <c r="S588" i="18"/>
  <c r="R588" i="18"/>
  <c r="S587" i="18"/>
  <c r="R587" i="18"/>
  <c r="S586" i="18"/>
  <c r="R586" i="18"/>
  <c r="S585" i="18"/>
  <c r="R585" i="18"/>
  <c r="S584" i="18"/>
  <c r="R584" i="18"/>
  <c r="S583" i="18"/>
  <c r="R583" i="18"/>
  <c r="S582" i="18"/>
  <c r="R582" i="18"/>
  <c r="S581" i="18"/>
  <c r="R581" i="18"/>
  <c r="S580" i="18"/>
  <c r="R580" i="18"/>
  <c r="S579" i="18"/>
  <c r="R579" i="18"/>
  <c r="S573" i="18"/>
  <c r="R573" i="18"/>
  <c r="S572" i="18"/>
  <c r="R572" i="18"/>
  <c r="S571" i="18"/>
  <c r="R571" i="18"/>
  <c r="S570" i="18"/>
  <c r="R570" i="18"/>
  <c r="S569" i="18"/>
  <c r="R569" i="18"/>
  <c r="S568" i="18"/>
  <c r="R568" i="18"/>
  <c r="S567" i="18"/>
  <c r="R567" i="18"/>
  <c r="S566" i="18"/>
  <c r="R566" i="18"/>
  <c r="S565" i="18"/>
  <c r="R565" i="18"/>
  <c r="S564" i="18"/>
  <c r="R564" i="18"/>
  <c r="S563" i="18"/>
  <c r="R563" i="18"/>
  <c r="S557" i="18"/>
  <c r="R557" i="18"/>
  <c r="S556" i="18"/>
  <c r="R556" i="18"/>
  <c r="S555" i="18"/>
  <c r="R555" i="18"/>
  <c r="S554" i="18"/>
  <c r="R554" i="18"/>
  <c r="S553" i="18"/>
  <c r="R553" i="18"/>
  <c r="S552" i="18"/>
  <c r="R552" i="18"/>
  <c r="S551" i="18"/>
  <c r="R551" i="18"/>
  <c r="S550" i="18"/>
  <c r="R550" i="18"/>
  <c r="S549" i="18"/>
  <c r="R549" i="18"/>
  <c r="S548" i="18"/>
  <c r="R548" i="18"/>
  <c r="S547" i="18"/>
  <c r="R547" i="18"/>
  <c r="S541" i="18"/>
  <c r="R541" i="18"/>
  <c r="S540" i="18"/>
  <c r="R540" i="18"/>
  <c r="S539" i="18"/>
  <c r="R539" i="18"/>
  <c r="S538" i="18"/>
  <c r="R538" i="18"/>
  <c r="S537" i="18"/>
  <c r="R537" i="18"/>
  <c r="S536" i="18"/>
  <c r="R536" i="18"/>
  <c r="S535" i="18"/>
  <c r="R535" i="18"/>
  <c r="S534" i="18"/>
  <c r="R534" i="18"/>
  <c r="S533" i="18"/>
  <c r="R533" i="18"/>
  <c r="S532" i="18"/>
  <c r="R532" i="18"/>
  <c r="S531" i="18"/>
  <c r="R531" i="18"/>
  <c r="S525" i="18"/>
  <c r="R525" i="18"/>
  <c r="S524" i="18"/>
  <c r="R524" i="18"/>
  <c r="S523" i="18"/>
  <c r="R523" i="18"/>
  <c r="S522" i="18"/>
  <c r="R522" i="18"/>
  <c r="S521" i="18"/>
  <c r="R521" i="18"/>
  <c r="S520" i="18"/>
  <c r="R520" i="18"/>
  <c r="S519" i="18"/>
  <c r="R519" i="18"/>
  <c r="S518" i="18"/>
  <c r="R518" i="18"/>
  <c r="S517" i="18"/>
  <c r="R517" i="18"/>
  <c r="S516" i="18"/>
  <c r="R516" i="18"/>
  <c r="S515" i="18"/>
  <c r="R515" i="18"/>
  <c r="S509" i="18"/>
  <c r="R509" i="18"/>
  <c r="S508" i="18"/>
  <c r="R508" i="18"/>
  <c r="S507" i="18"/>
  <c r="R507" i="18"/>
  <c r="S506" i="18"/>
  <c r="R506" i="18"/>
  <c r="S505" i="18"/>
  <c r="R505" i="18"/>
  <c r="S504" i="18"/>
  <c r="R504" i="18"/>
  <c r="S503" i="18"/>
  <c r="R503" i="18"/>
  <c r="S502" i="18"/>
  <c r="R502" i="18"/>
  <c r="S501" i="18"/>
  <c r="R501" i="18"/>
  <c r="S500" i="18"/>
  <c r="R500" i="18"/>
  <c r="S499" i="18"/>
  <c r="R499" i="18"/>
  <c r="S493" i="18"/>
  <c r="R493" i="18"/>
  <c r="S492" i="18"/>
  <c r="R492" i="18"/>
  <c r="S491" i="18"/>
  <c r="R491" i="18"/>
  <c r="S490" i="18"/>
  <c r="R490" i="18"/>
  <c r="S489" i="18"/>
  <c r="R489" i="18"/>
  <c r="S488" i="18"/>
  <c r="R488" i="18"/>
  <c r="S487" i="18"/>
  <c r="R487" i="18"/>
  <c r="S486" i="18"/>
  <c r="R486" i="18"/>
  <c r="S485" i="18"/>
  <c r="R485" i="18"/>
  <c r="S484" i="18"/>
  <c r="R484" i="18"/>
  <c r="S483" i="18"/>
  <c r="R483" i="18"/>
  <c r="S477" i="18"/>
  <c r="R477" i="18"/>
  <c r="S476" i="18"/>
  <c r="R476" i="18"/>
  <c r="S475" i="18"/>
  <c r="R475" i="18"/>
  <c r="S474" i="18"/>
  <c r="R474" i="18"/>
  <c r="S473" i="18"/>
  <c r="R473" i="18"/>
  <c r="S472" i="18"/>
  <c r="R472" i="18"/>
  <c r="S471" i="18"/>
  <c r="R471" i="18"/>
  <c r="S470" i="18"/>
  <c r="R470" i="18"/>
  <c r="S469" i="18"/>
  <c r="R469" i="18"/>
  <c r="S468" i="18"/>
  <c r="R468" i="18"/>
  <c r="S467" i="18"/>
  <c r="R467" i="18"/>
  <c r="S461" i="18"/>
  <c r="R461" i="18"/>
  <c r="S460" i="18"/>
  <c r="R460" i="18"/>
  <c r="S459" i="18"/>
  <c r="R459" i="18"/>
  <c r="S458" i="18"/>
  <c r="R458" i="18"/>
  <c r="S457" i="18"/>
  <c r="R457" i="18"/>
  <c r="S456" i="18"/>
  <c r="R456" i="18"/>
  <c r="S455" i="18"/>
  <c r="R455" i="18"/>
  <c r="S454" i="18"/>
  <c r="R454" i="18"/>
  <c r="S453" i="18"/>
  <c r="R453" i="18"/>
  <c r="S452" i="18"/>
  <c r="R452" i="18"/>
  <c r="S451" i="18"/>
  <c r="R451" i="18"/>
  <c r="S445" i="18"/>
  <c r="R445" i="18"/>
  <c r="S444" i="18"/>
  <c r="R444" i="18"/>
  <c r="S443" i="18"/>
  <c r="R443" i="18"/>
  <c r="S442" i="18"/>
  <c r="R442" i="18"/>
  <c r="S441" i="18"/>
  <c r="R441" i="18"/>
  <c r="S440" i="18"/>
  <c r="R440" i="18"/>
  <c r="S439" i="18"/>
  <c r="R439" i="18"/>
  <c r="S438" i="18"/>
  <c r="R438" i="18"/>
  <c r="S437" i="18"/>
  <c r="R437" i="18"/>
  <c r="S436" i="18"/>
  <c r="R436" i="18"/>
  <c r="S435" i="18"/>
  <c r="R435" i="18"/>
  <c r="S429" i="18"/>
  <c r="R429" i="18"/>
  <c r="S428" i="18"/>
  <c r="R428" i="18"/>
  <c r="S427" i="18"/>
  <c r="R427" i="18"/>
  <c r="S426" i="18"/>
  <c r="R426" i="18"/>
  <c r="S425" i="18"/>
  <c r="R425" i="18"/>
  <c r="S424" i="18"/>
  <c r="R424" i="18"/>
  <c r="S423" i="18"/>
  <c r="R423" i="18"/>
  <c r="S422" i="18"/>
  <c r="R422" i="18"/>
  <c r="S421" i="18"/>
  <c r="R421" i="18"/>
  <c r="S420" i="18"/>
  <c r="R420" i="18"/>
  <c r="S419" i="18"/>
  <c r="R419" i="18"/>
  <c r="S413" i="18"/>
  <c r="R413" i="18"/>
  <c r="S412" i="18"/>
  <c r="R412" i="18"/>
  <c r="S411" i="18"/>
  <c r="R411" i="18"/>
  <c r="S410" i="18"/>
  <c r="R410" i="18"/>
  <c r="S409" i="18"/>
  <c r="R409" i="18"/>
  <c r="S408" i="18"/>
  <c r="R408" i="18"/>
  <c r="S407" i="18"/>
  <c r="R407" i="18"/>
  <c r="S406" i="18"/>
  <c r="R406" i="18"/>
  <c r="S405" i="18"/>
  <c r="R405" i="18"/>
  <c r="S404" i="18"/>
  <c r="R404" i="18"/>
  <c r="S403" i="18"/>
  <c r="R403" i="18"/>
  <c r="S397" i="18"/>
  <c r="R397" i="18"/>
  <c r="S396" i="18"/>
  <c r="R396" i="18"/>
  <c r="S395" i="18"/>
  <c r="R395" i="18"/>
  <c r="S394" i="18"/>
  <c r="R394" i="18"/>
  <c r="S393" i="18"/>
  <c r="R393" i="18"/>
  <c r="S392" i="18"/>
  <c r="R392" i="18"/>
  <c r="S391" i="18"/>
  <c r="R391" i="18"/>
  <c r="S390" i="18"/>
  <c r="R390" i="18"/>
  <c r="S389" i="18"/>
  <c r="R389" i="18"/>
  <c r="S388" i="18"/>
  <c r="R388" i="18"/>
  <c r="S387" i="18"/>
  <c r="R387" i="18"/>
  <c r="S381" i="18"/>
  <c r="R381" i="18"/>
  <c r="S380" i="18"/>
  <c r="R380" i="18"/>
  <c r="S379" i="18"/>
  <c r="R379" i="18"/>
  <c r="S378" i="18"/>
  <c r="R378" i="18"/>
  <c r="S377" i="18"/>
  <c r="R377" i="18"/>
  <c r="S376" i="18"/>
  <c r="R376" i="18"/>
  <c r="S375" i="18"/>
  <c r="R375" i="18"/>
  <c r="S374" i="18"/>
  <c r="R374" i="18"/>
  <c r="S373" i="18"/>
  <c r="R373" i="18"/>
  <c r="S372" i="18"/>
  <c r="R372" i="18"/>
  <c r="S371" i="18"/>
  <c r="R371" i="18"/>
  <c r="S365" i="18"/>
  <c r="R365" i="18"/>
  <c r="S364" i="18"/>
  <c r="R364" i="18"/>
  <c r="S363" i="18"/>
  <c r="R363" i="18"/>
  <c r="S362" i="18"/>
  <c r="R362" i="18"/>
  <c r="S361" i="18"/>
  <c r="R361" i="18"/>
  <c r="S360" i="18"/>
  <c r="R360" i="18"/>
  <c r="S359" i="18"/>
  <c r="R359" i="18"/>
  <c r="S358" i="18"/>
  <c r="R358" i="18"/>
  <c r="S357" i="18"/>
  <c r="R357" i="18"/>
  <c r="S356" i="18"/>
  <c r="R356" i="18"/>
  <c r="S355" i="18"/>
  <c r="R355" i="18"/>
  <c r="S349" i="18"/>
  <c r="R349" i="18"/>
  <c r="S348" i="18"/>
  <c r="R348" i="18"/>
  <c r="S347" i="18"/>
  <c r="R347" i="18"/>
  <c r="S346" i="18"/>
  <c r="R346" i="18"/>
  <c r="S345" i="18"/>
  <c r="R345" i="18"/>
  <c r="S344" i="18"/>
  <c r="R344" i="18"/>
  <c r="S343" i="18"/>
  <c r="R343" i="18"/>
  <c r="S342" i="18"/>
  <c r="R342" i="18"/>
  <c r="S341" i="18"/>
  <c r="R341" i="18"/>
  <c r="S340" i="18"/>
  <c r="R340" i="18"/>
  <c r="S339" i="18"/>
  <c r="R339" i="18"/>
  <c r="S333" i="18"/>
  <c r="R333" i="18"/>
  <c r="S332" i="18"/>
  <c r="R332" i="18"/>
  <c r="S331" i="18"/>
  <c r="R331" i="18"/>
  <c r="S330" i="18"/>
  <c r="R330" i="18"/>
  <c r="S329" i="18"/>
  <c r="R329" i="18"/>
  <c r="S328" i="18"/>
  <c r="R328" i="18"/>
  <c r="S327" i="18"/>
  <c r="R327" i="18"/>
  <c r="S326" i="18"/>
  <c r="R326" i="18"/>
  <c r="S325" i="18"/>
  <c r="R325" i="18"/>
  <c r="S324" i="18"/>
  <c r="R324" i="18"/>
  <c r="S323" i="18"/>
  <c r="R323" i="18"/>
  <c r="S317" i="18"/>
  <c r="R317" i="18"/>
  <c r="S316" i="18"/>
  <c r="R316" i="18"/>
  <c r="S315" i="18"/>
  <c r="R315" i="18"/>
  <c r="S314" i="18"/>
  <c r="R314" i="18"/>
  <c r="S313" i="18"/>
  <c r="R313" i="18"/>
  <c r="S312" i="18"/>
  <c r="R312" i="18"/>
  <c r="S311" i="18"/>
  <c r="R311" i="18"/>
  <c r="S310" i="18"/>
  <c r="R310" i="18"/>
  <c r="S309" i="18"/>
  <c r="R309" i="18"/>
  <c r="S308" i="18"/>
  <c r="R308" i="18"/>
  <c r="S307" i="18"/>
  <c r="R307" i="18"/>
  <c r="S301" i="18"/>
  <c r="R301" i="18"/>
  <c r="S300" i="18"/>
  <c r="R300" i="18"/>
  <c r="S299" i="18"/>
  <c r="R299" i="18"/>
  <c r="S298" i="18"/>
  <c r="R298" i="18"/>
  <c r="S297" i="18"/>
  <c r="R297" i="18"/>
  <c r="S296" i="18"/>
  <c r="R296" i="18"/>
  <c r="S295" i="18"/>
  <c r="R295" i="18"/>
  <c r="S294" i="18"/>
  <c r="R294" i="18"/>
  <c r="S293" i="18"/>
  <c r="R293" i="18"/>
  <c r="S292" i="18"/>
  <c r="R292" i="18"/>
  <c r="S291" i="18"/>
  <c r="R291" i="18"/>
  <c r="S285" i="18"/>
  <c r="R285" i="18"/>
  <c r="S284" i="18"/>
  <c r="R284" i="18"/>
  <c r="S283" i="18"/>
  <c r="R283" i="18"/>
  <c r="S282" i="18"/>
  <c r="R282" i="18"/>
  <c r="S281" i="18"/>
  <c r="R281" i="18"/>
  <c r="S280" i="18"/>
  <c r="R280" i="18"/>
  <c r="S279" i="18"/>
  <c r="R279" i="18"/>
  <c r="S278" i="18"/>
  <c r="R278" i="18"/>
  <c r="S277" i="18"/>
  <c r="R277" i="18"/>
  <c r="S276" i="18"/>
  <c r="R276" i="18"/>
  <c r="S275" i="18"/>
  <c r="R275" i="18"/>
  <c r="S269" i="18"/>
  <c r="R269" i="18"/>
  <c r="S268" i="18"/>
  <c r="R268" i="18"/>
  <c r="S267" i="18"/>
  <c r="R267" i="18"/>
  <c r="S266" i="18"/>
  <c r="R266" i="18"/>
  <c r="S265" i="18"/>
  <c r="R265" i="18"/>
  <c r="S264" i="18"/>
  <c r="R264" i="18"/>
  <c r="S263" i="18"/>
  <c r="R263" i="18"/>
  <c r="S262" i="18"/>
  <c r="R262" i="18"/>
  <c r="S261" i="18"/>
  <c r="R261" i="18"/>
  <c r="S260" i="18"/>
  <c r="R260" i="18"/>
  <c r="S259" i="18"/>
  <c r="R259" i="18"/>
  <c r="S253" i="18"/>
  <c r="R253" i="18"/>
  <c r="S252" i="18"/>
  <c r="R252" i="18"/>
  <c r="S251" i="18"/>
  <c r="R251" i="18"/>
  <c r="S250" i="18"/>
  <c r="R250" i="18"/>
  <c r="S249" i="18"/>
  <c r="R249" i="18"/>
  <c r="S248" i="18"/>
  <c r="R248" i="18"/>
  <c r="S247" i="18"/>
  <c r="R247" i="18"/>
  <c r="S246" i="18"/>
  <c r="R246" i="18"/>
  <c r="S245" i="18"/>
  <c r="R245" i="18"/>
  <c r="S244" i="18"/>
  <c r="R244" i="18"/>
  <c r="S243" i="18"/>
  <c r="R243" i="18"/>
  <c r="S237" i="18"/>
  <c r="R237" i="18"/>
  <c r="S236" i="18"/>
  <c r="R236" i="18"/>
  <c r="S235" i="18"/>
  <c r="R235" i="18"/>
  <c r="S234" i="18"/>
  <c r="R234" i="18"/>
  <c r="S233" i="18"/>
  <c r="R233" i="18"/>
  <c r="S232" i="18"/>
  <c r="R232" i="18"/>
  <c r="S231" i="18"/>
  <c r="R231" i="18"/>
  <c r="S230" i="18"/>
  <c r="R230" i="18"/>
  <c r="S229" i="18"/>
  <c r="R229" i="18"/>
  <c r="S228" i="18"/>
  <c r="R228" i="18"/>
  <c r="S227" i="18"/>
  <c r="R227" i="18"/>
  <c r="S221" i="18"/>
  <c r="R221" i="18"/>
  <c r="S220" i="18"/>
  <c r="R220" i="18"/>
  <c r="S219" i="18"/>
  <c r="R219" i="18"/>
  <c r="S218" i="18"/>
  <c r="R218" i="18"/>
  <c r="S217" i="18"/>
  <c r="R217" i="18"/>
  <c r="S216" i="18"/>
  <c r="R216" i="18"/>
  <c r="S215" i="18"/>
  <c r="R215" i="18"/>
  <c r="S214" i="18"/>
  <c r="R214" i="18"/>
  <c r="S213" i="18"/>
  <c r="R213" i="18"/>
  <c r="S212" i="18"/>
  <c r="R212" i="18"/>
  <c r="S211" i="18"/>
  <c r="R211" i="18"/>
  <c r="S205" i="18"/>
  <c r="R205" i="18"/>
  <c r="S204" i="18"/>
  <c r="R204" i="18"/>
  <c r="S203" i="18"/>
  <c r="R203" i="18"/>
  <c r="S202" i="18"/>
  <c r="R202" i="18"/>
  <c r="S201" i="18"/>
  <c r="R201" i="18"/>
  <c r="S200" i="18"/>
  <c r="R200" i="18"/>
  <c r="S199" i="18"/>
  <c r="R199" i="18"/>
  <c r="S198" i="18"/>
  <c r="R198" i="18"/>
  <c r="S197" i="18"/>
  <c r="R197" i="18"/>
  <c r="S196" i="18"/>
  <c r="R196" i="18"/>
  <c r="S195" i="18"/>
  <c r="R195" i="18"/>
  <c r="S189" i="18"/>
  <c r="R189" i="18"/>
  <c r="S188" i="18"/>
  <c r="R188" i="18"/>
  <c r="S187" i="18"/>
  <c r="R187" i="18"/>
  <c r="S186" i="18"/>
  <c r="R186" i="18"/>
  <c r="S185" i="18"/>
  <c r="R185" i="18"/>
  <c r="S184" i="18"/>
  <c r="R184" i="18"/>
  <c r="S183" i="18"/>
  <c r="R183" i="18"/>
  <c r="S182" i="18"/>
  <c r="R182" i="18"/>
  <c r="S181" i="18"/>
  <c r="R181" i="18"/>
  <c r="S180" i="18"/>
  <c r="R180" i="18"/>
  <c r="S179" i="18"/>
  <c r="R179" i="18"/>
  <c r="S173" i="18"/>
  <c r="R173" i="18"/>
  <c r="S172" i="18"/>
  <c r="R172" i="18"/>
  <c r="S171" i="18"/>
  <c r="R171" i="18"/>
  <c r="S170" i="18"/>
  <c r="R170" i="18"/>
  <c r="S169" i="18"/>
  <c r="R169" i="18"/>
  <c r="S168" i="18"/>
  <c r="R168" i="18"/>
  <c r="S167" i="18"/>
  <c r="R167" i="18"/>
  <c r="S166" i="18"/>
  <c r="R166" i="18"/>
  <c r="S165" i="18"/>
  <c r="R165" i="18"/>
  <c r="S164" i="18"/>
  <c r="R164" i="18"/>
  <c r="S163" i="18"/>
  <c r="R163" i="18"/>
  <c r="S157" i="18"/>
  <c r="R157" i="18"/>
  <c r="S156" i="18"/>
  <c r="R156" i="18"/>
  <c r="S155" i="18"/>
  <c r="R155" i="18"/>
  <c r="S154" i="18"/>
  <c r="R154" i="18"/>
  <c r="S153" i="18"/>
  <c r="R153" i="18"/>
  <c r="S152" i="18"/>
  <c r="R152" i="18"/>
  <c r="S151" i="18"/>
  <c r="R151" i="18"/>
  <c r="S150" i="18"/>
  <c r="R150" i="18"/>
  <c r="S149" i="18"/>
  <c r="R149" i="18"/>
  <c r="S148" i="18"/>
  <c r="R148" i="18"/>
  <c r="S147" i="18"/>
  <c r="R147" i="18"/>
  <c r="S141" i="18"/>
  <c r="R141" i="18"/>
  <c r="S140" i="18"/>
  <c r="R140" i="18"/>
  <c r="S139" i="18"/>
  <c r="R139" i="18"/>
  <c r="S138" i="18"/>
  <c r="R138" i="18"/>
  <c r="S137" i="18"/>
  <c r="R137" i="18"/>
  <c r="S136" i="18"/>
  <c r="R136" i="18"/>
  <c r="S135" i="18"/>
  <c r="R135" i="18"/>
  <c r="S134" i="18"/>
  <c r="R134" i="18"/>
  <c r="S133" i="18"/>
  <c r="R133" i="18"/>
  <c r="S132" i="18"/>
  <c r="R132" i="18"/>
  <c r="S131" i="18"/>
  <c r="R131" i="18"/>
  <c r="S125" i="18"/>
  <c r="R125" i="18"/>
  <c r="S124" i="18"/>
  <c r="R124" i="18"/>
  <c r="S123" i="18"/>
  <c r="R123" i="18"/>
  <c r="S122" i="18"/>
  <c r="R122" i="18"/>
  <c r="S121" i="18"/>
  <c r="R121" i="18"/>
  <c r="S120" i="18"/>
  <c r="R120" i="18"/>
  <c r="S119" i="18"/>
  <c r="R119" i="18"/>
  <c r="S118" i="18"/>
  <c r="R118" i="18"/>
  <c r="S117" i="18"/>
  <c r="R117" i="18"/>
  <c r="S116" i="18"/>
  <c r="R116" i="18"/>
  <c r="S115" i="18"/>
  <c r="R115" i="18"/>
  <c r="S109" i="18"/>
  <c r="R109" i="18"/>
  <c r="S108" i="18"/>
  <c r="R108" i="18"/>
  <c r="S107" i="18"/>
  <c r="R107" i="18"/>
  <c r="S106" i="18"/>
  <c r="R106" i="18"/>
  <c r="S105" i="18"/>
  <c r="R105" i="18"/>
  <c r="S104" i="18"/>
  <c r="R104" i="18"/>
  <c r="S103" i="18"/>
  <c r="R103" i="18"/>
  <c r="S102" i="18"/>
  <c r="R102" i="18"/>
  <c r="S101" i="18"/>
  <c r="R101" i="18"/>
  <c r="S100" i="18"/>
  <c r="R100" i="18"/>
  <c r="S99" i="18"/>
  <c r="R99" i="18"/>
  <c r="S93" i="18"/>
  <c r="R93" i="18"/>
  <c r="S92" i="18"/>
  <c r="R92" i="18"/>
  <c r="S91" i="18"/>
  <c r="R91" i="18"/>
  <c r="S90" i="18"/>
  <c r="R90" i="18"/>
  <c r="S89" i="18"/>
  <c r="R89" i="18"/>
  <c r="S88" i="18"/>
  <c r="R88" i="18"/>
  <c r="S87" i="18"/>
  <c r="R87" i="18"/>
  <c r="S86" i="18"/>
  <c r="R86" i="18"/>
  <c r="S85" i="18"/>
  <c r="R85" i="18"/>
  <c r="S84" i="18"/>
  <c r="R84" i="18"/>
  <c r="S83" i="18"/>
  <c r="R83" i="18"/>
  <c r="S77" i="18"/>
  <c r="R77" i="18"/>
  <c r="S76" i="18"/>
  <c r="R76" i="18"/>
  <c r="S75" i="18"/>
  <c r="R75" i="18"/>
  <c r="S74" i="18"/>
  <c r="R74" i="18"/>
  <c r="S73" i="18"/>
  <c r="R73" i="18"/>
  <c r="S72" i="18"/>
  <c r="R72" i="18"/>
  <c r="S71" i="18"/>
  <c r="R71" i="18"/>
  <c r="S70" i="18"/>
  <c r="R70" i="18"/>
  <c r="S69" i="18"/>
  <c r="R69" i="18"/>
  <c r="S68" i="18"/>
  <c r="R68" i="18"/>
  <c r="S67" i="18"/>
  <c r="R67" i="18"/>
  <c r="S61" i="18"/>
  <c r="R61" i="18"/>
  <c r="S60" i="18"/>
  <c r="R60" i="18"/>
  <c r="S59" i="18"/>
  <c r="R59" i="18"/>
  <c r="S58" i="18"/>
  <c r="R58" i="18"/>
  <c r="S57" i="18"/>
  <c r="R57" i="18"/>
  <c r="S56" i="18"/>
  <c r="R56" i="18"/>
  <c r="S55" i="18"/>
  <c r="R55" i="18"/>
  <c r="S54" i="18"/>
  <c r="R54" i="18"/>
  <c r="S53" i="18"/>
  <c r="R53" i="18"/>
  <c r="S52" i="18"/>
  <c r="R52" i="18"/>
  <c r="S51" i="18"/>
  <c r="R51" i="18"/>
  <c r="S45" i="18"/>
  <c r="R45" i="18"/>
  <c r="S44" i="18"/>
  <c r="R44" i="18"/>
  <c r="S43" i="18"/>
  <c r="R43" i="18"/>
  <c r="S42" i="18"/>
  <c r="R42" i="18"/>
  <c r="S41" i="18"/>
  <c r="R41" i="18"/>
  <c r="S40" i="18"/>
  <c r="R40" i="18"/>
  <c r="S39" i="18"/>
  <c r="R39" i="18"/>
  <c r="S38" i="18"/>
  <c r="R38" i="18"/>
  <c r="S37" i="18"/>
  <c r="R37" i="18"/>
  <c r="S36" i="18"/>
  <c r="R36" i="18"/>
  <c r="S35" i="18"/>
  <c r="R35" i="18"/>
  <c r="S30" i="18"/>
  <c r="R30" i="18"/>
  <c r="S29" i="18"/>
  <c r="R29" i="18"/>
  <c r="S28" i="18"/>
  <c r="R28" i="18"/>
  <c r="S27" i="18"/>
  <c r="R27" i="18"/>
  <c r="S26" i="18"/>
  <c r="R26" i="18"/>
  <c r="S25" i="18"/>
  <c r="R25" i="18"/>
  <c r="S24" i="18"/>
  <c r="R24" i="18"/>
  <c r="S23" i="18"/>
  <c r="R23" i="18"/>
  <c r="S22" i="18"/>
  <c r="R22" i="18"/>
  <c r="S21" i="18"/>
  <c r="R21" i="18"/>
  <c r="S20" i="18"/>
  <c r="R20" i="18"/>
  <c r="S14" i="18"/>
  <c r="R14" i="18"/>
  <c r="S13" i="18"/>
  <c r="R13" i="18"/>
  <c r="S12" i="18"/>
  <c r="R12" i="18"/>
  <c r="S11" i="18"/>
  <c r="R11" i="18"/>
  <c r="S10" i="18"/>
  <c r="R10" i="18"/>
  <c r="S9" i="18"/>
  <c r="R9" i="18"/>
  <c r="S8" i="18"/>
  <c r="R8" i="18"/>
  <c r="S7" i="18"/>
  <c r="R7" i="18"/>
  <c r="S6" i="18"/>
  <c r="R6" i="18"/>
  <c r="S5" i="18"/>
  <c r="R5" i="18"/>
  <c r="S4" i="18"/>
  <c r="R4" i="18"/>
  <c r="I155" i="18"/>
  <c r="H155" i="18"/>
  <c r="I154" i="18"/>
  <c r="H154" i="18"/>
  <c r="I153" i="18"/>
  <c r="H153" i="18"/>
  <c r="I152" i="18"/>
  <c r="H152" i="18"/>
  <c r="I151" i="18"/>
  <c r="H151" i="18"/>
  <c r="I150" i="18"/>
  <c r="H150" i="18"/>
  <c r="I149" i="18"/>
  <c r="H149" i="18"/>
  <c r="I148" i="18"/>
  <c r="H148" i="18"/>
  <c r="I147" i="18"/>
  <c r="H147" i="18"/>
  <c r="I146" i="18"/>
  <c r="H146" i="18"/>
  <c r="I139" i="18"/>
  <c r="H139" i="18"/>
  <c r="I138" i="18"/>
  <c r="H138" i="18"/>
  <c r="I137" i="18"/>
  <c r="H137" i="18"/>
  <c r="I136" i="18"/>
  <c r="H136" i="18"/>
  <c r="I135" i="18"/>
  <c r="H135" i="18"/>
  <c r="I134" i="18"/>
  <c r="H134" i="18"/>
  <c r="I133" i="18"/>
  <c r="H133" i="18"/>
  <c r="I132" i="18"/>
  <c r="H132" i="18"/>
  <c r="I131" i="18"/>
  <c r="H131" i="18"/>
  <c r="I130" i="18"/>
  <c r="H130" i="18"/>
  <c r="I124" i="18"/>
  <c r="H124" i="18"/>
  <c r="I123" i="18"/>
  <c r="H123" i="18"/>
  <c r="I122" i="18"/>
  <c r="H122" i="18"/>
  <c r="I121" i="18"/>
  <c r="H121" i="18"/>
  <c r="I120" i="18"/>
  <c r="H120" i="18"/>
  <c r="I119" i="18"/>
  <c r="H119" i="18"/>
  <c r="I118" i="18"/>
  <c r="H118" i="18"/>
  <c r="I117" i="18"/>
  <c r="H117" i="18"/>
  <c r="I116" i="18"/>
  <c r="H116" i="18"/>
  <c r="I115" i="18"/>
  <c r="H115" i="18"/>
  <c r="I114" i="18"/>
  <c r="H114" i="18"/>
  <c r="I108" i="18"/>
  <c r="H108" i="18"/>
  <c r="I107" i="18"/>
  <c r="H107" i="18"/>
  <c r="I106" i="18"/>
  <c r="H106" i="18"/>
  <c r="I105" i="18"/>
  <c r="H105" i="18"/>
  <c r="I104" i="18"/>
  <c r="H104" i="18"/>
  <c r="I103" i="18"/>
  <c r="H103" i="18"/>
  <c r="I102" i="18"/>
  <c r="H102" i="18"/>
  <c r="I101" i="18"/>
  <c r="H101" i="18"/>
  <c r="I100" i="18"/>
  <c r="H100" i="18"/>
  <c r="I99" i="18"/>
  <c r="H99" i="18"/>
  <c r="I98" i="18"/>
  <c r="H98" i="18"/>
  <c r="I91" i="18"/>
  <c r="H91" i="18"/>
  <c r="I90" i="18"/>
  <c r="H90" i="18"/>
  <c r="I89" i="18"/>
  <c r="H89" i="18"/>
  <c r="I88" i="18"/>
  <c r="H88" i="18"/>
  <c r="I87" i="18"/>
  <c r="H87" i="18"/>
  <c r="I86" i="18"/>
  <c r="H86" i="18"/>
  <c r="I85" i="18"/>
  <c r="H85" i="18"/>
  <c r="I84" i="18"/>
  <c r="H84" i="18"/>
  <c r="I83" i="18"/>
  <c r="H83" i="18"/>
  <c r="I82" i="18"/>
  <c r="H82" i="18"/>
  <c r="I81" i="18"/>
  <c r="H81" i="18"/>
  <c r="I75" i="18"/>
  <c r="H75" i="18"/>
  <c r="I74" i="18"/>
  <c r="H74" i="18"/>
  <c r="I73" i="18"/>
  <c r="H73" i="18"/>
  <c r="I72" i="18"/>
  <c r="H72" i="18"/>
  <c r="I71" i="18"/>
  <c r="H71" i="18"/>
  <c r="I70" i="18"/>
  <c r="H70" i="18"/>
  <c r="I69" i="18"/>
  <c r="H69" i="18"/>
  <c r="I68" i="18"/>
  <c r="H68" i="18"/>
  <c r="I67" i="18"/>
  <c r="H67" i="18"/>
  <c r="I66" i="18"/>
  <c r="H66" i="18"/>
  <c r="I65" i="18"/>
  <c r="H65" i="18"/>
  <c r="I59" i="18"/>
  <c r="H59" i="18"/>
  <c r="I58" i="18"/>
  <c r="H58" i="18"/>
  <c r="I57" i="18"/>
  <c r="H57" i="18"/>
  <c r="I56" i="18"/>
  <c r="H56" i="18"/>
  <c r="I55" i="18"/>
  <c r="H55" i="18"/>
  <c r="I54" i="18"/>
  <c r="H54" i="18"/>
  <c r="I53" i="18"/>
  <c r="H53" i="18"/>
  <c r="I52" i="18"/>
  <c r="H52" i="18"/>
  <c r="I51" i="18"/>
  <c r="H51" i="18"/>
  <c r="I50" i="18"/>
  <c r="H50" i="18"/>
  <c r="I49" i="18"/>
  <c r="H49" i="18"/>
  <c r="I44" i="18"/>
  <c r="H44" i="18"/>
  <c r="I43" i="18"/>
  <c r="H43" i="18"/>
  <c r="I42" i="18"/>
  <c r="H42" i="18"/>
  <c r="I41" i="18"/>
  <c r="H41" i="18"/>
  <c r="I40" i="18"/>
  <c r="H40" i="18"/>
  <c r="I39" i="18"/>
  <c r="H39" i="18"/>
  <c r="I38" i="18"/>
  <c r="H38" i="18"/>
  <c r="I37" i="18"/>
  <c r="H37" i="18"/>
  <c r="I36" i="18"/>
  <c r="H36" i="18"/>
  <c r="I35" i="18"/>
  <c r="H35" i="18"/>
  <c r="I34" i="18"/>
  <c r="H34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H7" i="18"/>
  <c r="I6" i="18"/>
  <c r="H6" i="18"/>
  <c r="I5" i="18"/>
  <c r="H5" i="18"/>
  <c r="I4" i="18"/>
  <c r="H4" i="18"/>
  <c r="V34" i="13"/>
  <c r="V33" i="13"/>
  <c r="V32" i="13"/>
  <c r="V31" i="13"/>
  <c r="V30" i="13"/>
  <c r="V29" i="13"/>
  <c r="B95" i="9" l="1"/>
  <c r="B96" i="9" l="1"/>
  <c r="B68" i="9" s="1"/>
  <c r="B72" i="9" l="1"/>
  <c r="B71" i="9"/>
  <c r="I69" i="1"/>
  <c r="I70" i="1"/>
  <c r="I68" i="1"/>
  <c r="I67" i="1"/>
  <c r="I66" i="1"/>
  <c r="I65" i="1"/>
  <c r="I64" i="1"/>
  <c r="D61" i="1" l="1"/>
  <c r="K61" i="1"/>
  <c r="D55" i="13"/>
  <c r="E40" i="1" l="1"/>
  <c r="K39" i="1"/>
  <c r="K38" i="1"/>
  <c r="K37" i="1"/>
  <c r="K36" i="1"/>
  <c r="K35" i="1"/>
  <c r="K34" i="1"/>
  <c r="K40" i="1" l="1"/>
  <c r="K41" i="1" s="1"/>
  <c r="H22" i="13" s="1"/>
  <c r="C13" i="13"/>
  <c r="I39" i="13" s="1"/>
  <c r="B4" i="13"/>
  <c r="H3" i="13"/>
  <c r="D3" i="13"/>
  <c r="B3" i="13"/>
  <c r="H60" i="13"/>
  <c r="G60" i="13"/>
  <c r="H58" i="13"/>
  <c r="G58" i="13"/>
  <c r="F58" i="13"/>
  <c r="E58" i="13"/>
  <c r="D58" i="13"/>
  <c r="C58" i="13"/>
  <c r="H55" i="13"/>
  <c r="G55" i="13"/>
  <c r="F55" i="13"/>
  <c r="E55" i="13"/>
  <c r="C55" i="13"/>
  <c r="H53" i="13"/>
  <c r="G53" i="13"/>
  <c r="F53" i="13"/>
  <c r="E53" i="13"/>
  <c r="D53" i="13"/>
  <c r="C53" i="13"/>
  <c r="H51" i="13"/>
  <c r="G51" i="13"/>
  <c r="F51" i="13"/>
  <c r="E51" i="13"/>
  <c r="D51" i="13"/>
  <c r="C51" i="13"/>
  <c r="H50" i="13"/>
  <c r="G50" i="13"/>
  <c r="F50" i="13"/>
  <c r="E50" i="13"/>
  <c r="D50" i="13"/>
  <c r="C50" i="13"/>
  <c r="H49" i="13"/>
  <c r="G49" i="13"/>
  <c r="F49" i="13"/>
  <c r="E49" i="13"/>
  <c r="D49" i="13"/>
  <c r="C49" i="13"/>
  <c r="H48" i="13"/>
  <c r="H52" i="13" s="1"/>
  <c r="G48" i="13"/>
  <c r="F48" i="13"/>
  <c r="E48" i="13"/>
  <c r="D48" i="13"/>
  <c r="D52" i="13" s="1"/>
  <c r="C48" i="13"/>
  <c r="T54" i="13"/>
  <c r="S54" i="13"/>
  <c r="I37" i="13"/>
  <c r="F60" i="13" s="1"/>
  <c r="S52" i="13"/>
  <c r="T51" i="13"/>
  <c r="S51" i="13"/>
  <c r="T50" i="13"/>
  <c r="S50" i="13"/>
  <c r="T49" i="13"/>
  <c r="S49" i="13"/>
  <c r="T48" i="13"/>
  <c r="S48" i="13"/>
  <c r="U23" i="13"/>
  <c r="P23" i="13"/>
  <c r="R15" i="13"/>
  <c r="G15" i="13"/>
  <c r="C15" i="13"/>
  <c r="C17" i="13" s="1"/>
  <c r="G14" i="13"/>
  <c r="C14" i="13"/>
  <c r="G13" i="13"/>
  <c r="H9" i="13"/>
  <c r="H8" i="13"/>
  <c r="B81" i="9"/>
  <c r="B84" i="9" s="1"/>
  <c r="B89" i="9" s="1"/>
  <c r="C54" i="13" l="1"/>
  <c r="G54" i="13"/>
  <c r="E52" i="13"/>
  <c r="F52" i="13"/>
  <c r="E54" i="13"/>
  <c r="G52" i="13"/>
  <c r="C52" i="13"/>
  <c r="K35" i="13"/>
  <c r="K34" i="13"/>
  <c r="K33" i="13"/>
  <c r="I7" i="13"/>
  <c r="U21" i="13"/>
  <c r="U24" i="13" s="1"/>
  <c r="R13" i="13"/>
  <c r="R16" i="13" s="1"/>
  <c r="L13" i="13"/>
  <c r="L17" i="13" s="1"/>
  <c r="U22" i="13"/>
  <c r="U25" i="13" s="1"/>
  <c r="R14" i="13"/>
  <c r="R17" i="13" s="1"/>
  <c r="L14" i="13"/>
  <c r="L18" i="13" s="1"/>
  <c r="F9" i="13"/>
  <c r="I9" i="13" s="1"/>
  <c r="B9" i="13"/>
  <c r="F8" i="13"/>
  <c r="B8" i="13"/>
  <c r="B83" i="9"/>
  <c r="B88" i="9" s="1"/>
  <c r="B90" i="9" s="1"/>
  <c r="B82" i="9"/>
  <c r="D9" i="13"/>
  <c r="D8" i="13"/>
  <c r="C20" i="13"/>
  <c r="D54" i="13"/>
  <c r="F54" i="13"/>
  <c r="H54" i="13"/>
  <c r="C16" i="13"/>
  <c r="C19" i="13" s="1"/>
  <c r="C60" i="13" l="1"/>
  <c r="L33" i="13"/>
  <c r="L35" i="13"/>
  <c r="E60" i="13"/>
  <c r="L34" i="13"/>
  <c r="D60" i="13"/>
  <c r="B54" i="13"/>
  <c r="B56" i="13" s="1"/>
  <c r="B52" i="13"/>
  <c r="T53" i="13" l="1"/>
  <c r="D56" i="13"/>
  <c r="G56" i="13"/>
  <c r="G57" i="13" s="1"/>
  <c r="G59" i="13" s="1"/>
  <c r="G61" i="13" s="1"/>
  <c r="E56" i="13"/>
  <c r="E57" i="13" s="1"/>
  <c r="E59" i="13" s="1"/>
  <c r="E61" i="13" s="1"/>
  <c r="H56" i="13"/>
  <c r="H57" i="13" s="1"/>
  <c r="H59" i="13" s="1"/>
  <c r="H61" i="13" s="1"/>
  <c r="F56" i="13"/>
  <c r="F57" i="13" s="1"/>
  <c r="F59" i="13" s="1"/>
  <c r="F61" i="13" s="1"/>
  <c r="D57" i="13"/>
  <c r="C56" i="13"/>
  <c r="C57" i="13" s="1"/>
  <c r="C59" i="13" s="1"/>
  <c r="C61" i="13" s="1"/>
  <c r="B57" i="13" l="1"/>
  <c r="D59" i="13"/>
  <c r="D61" i="13" s="1"/>
  <c r="B61" i="9" l="1"/>
  <c r="B66" i="2"/>
  <c r="B65" i="2" s="1"/>
  <c r="E16" i="3" s="1"/>
  <c r="B63" i="2"/>
  <c r="C16" i="3" s="1"/>
  <c r="D62" i="8"/>
  <c r="F62" i="8"/>
  <c r="H62" i="8"/>
  <c r="B64" i="2"/>
  <c r="D16" i="3" s="1"/>
  <c r="I48" i="8"/>
  <c r="J48" i="8" s="1"/>
  <c r="I47" i="8"/>
  <c r="J47" i="8" s="1"/>
  <c r="I46" i="8"/>
  <c r="J46" i="8"/>
  <c r="I45" i="8"/>
  <c r="J45" i="8" s="1"/>
  <c r="G46" i="8"/>
  <c r="H46" i="8" s="1"/>
  <c r="G47" i="8"/>
  <c r="H47" i="8" s="1"/>
  <c r="G48" i="8"/>
  <c r="H48" i="8" s="1"/>
  <c r="G45" i="8"/>
  <c r="H45" i="8" s="1"/>
  <c r="C46" i="8"/>
  <c r="D46" i="8" s="1"/>
  <c r="C47" i="8"/>
  <c r="D47" i="8" s="1"/>
  <c r="C48" i="8"/>
  <c r="D48" i="8"/>
  <c r="C45" i="8"/>
  <c r="D45" i="8" s="1"/>
  <c r="E46" i="8"/>
  <c r="F46" i="8" s="1"/>
  <c r="E47" i="8"/>
  <c r="F47" i="8" s="1"/>
  <c r="E48" i="8"/>
  <c r="F48" i="8" s="1"/>
  <c r="E45" i="8"/>
  <c r="F45" i="8" s="1"/>
  <c r="E44" i="8"/>
  <c r="G44" i="8"/>
  <c r="I44" i="8"/>
  <c r="I43" i="8"/>
  <c r="G43" i="8"/>
  <c r="E43" i="8"/>
  <c r="C44" i="8"/>
  <c r="C43" i="8"/>
  <c r="I39" i="8"/>
  <c r="G39" i="8"/>
  <c r="E39" i="8"/>
  <c r="C39" i="8"/>
  <c r="I38" i="8"/>
  <c r="G38" i="8"/>
  <c r="E38" i="8"/>
  <c r="C38" i="8"/>
  <c r="I37" i="8"/>
  <c r="G37" i="8"/>
  <c r="E37" i="8"/>
  <c r="C37" i="8"/>
  <c r="G9" i="8"/>
  <c r="C9" i="8"/>
  <c r="B47" i="2"/>
  <c r="B48" i="2" s="1"/>
  <c r="B43" i="2"/>
  <c r="B42" i="2"/>
  <c r="B40" i="2"/>
  <c r="B41" i="2"/>
  <c r="B39" i="2"/>
  <c r="B50" i="2"/>
  <c r="B61" i="2"/>
  <c r="B55" i="2"/>
  <c r="C64" i="2"/>
  <c r="C66" i="2"/>
  <c r="C65" i="2" s="1"/>
  <c r="E17" i="3" s="1"/>
  <c r="M43" i="2"/>
  <c r="L43" i="2"/>
  <c r="K43" i="2"/>
  <c r="J43" i="2"/>
  <c r="I43" i="2"/>
  <c r="H43" i="2"/>
  <c r="G43" i="2"/>
  <c r="F43" i="2"/>
  <c r="E43" i="2"/>
  <c r="D43" i="2"/>
  <c r="C43" i="2"/>
  <c r="M42" i="2"/>
  <c r="L42" i="2"/>
  <c r="K42" i="2"/>
  <c r="J42" i="2"/>
  <c r="I42" i="2"/>
  <c r="H42" i="2"/>
  <c r="G42" i="2"/>
  <c r="F42" i="2"/>
  <c r="E42" i="2"/>
  <c r="D42" i="2"/>
  <c r="C42" i="2"/>
  <c r="M40" i="2"/>
  <c r="L40" i="2"/>
  <c r="K40" i="2"/>
  <c r="J40" i="2"/>
  <c r="I40" i="2"/>
  <c r="H40" i="2"/>
  <c r="G40" i="2"/>
  <c r="F40" i="2"/>
  <c r="E40" i="2"/>
  <c r="D40" i="2"/>
  <c r="C40" i="2"/>
  <c r="C41" i="2"/>
  <c r="M39" i="2"/>
  <c r="L39" i="2"/>
  <c r="K39" i="2"/>
  <c r="J39" i="2"/>
  <c r="I39" i="2"/>
  <c r="H39" i="2"/>
  <c r="G39" i="2"/>
  <c r="E39" i="2"/>
  <c r="F39" i="2"/>
  <c r="D39" i="2"/>
  <c r="C39" i="2"/>
  <c r="D41" i="2"/>
  <c r="C61" i="2"/>
  <c r="D61" i="2"/>
  <c r="E61" i="2"/>
  <c r="F61" i="2"/>
  <c r="G61" i="2"/>
  <c r="H61" i="2"/>
  <c r="I61" i="2"/>
  <c r="J61" i="2"/>
  <c r="K61" i="2"/>
  <c r="L61" i="2"/>
  <c r="M61" i="2"/>
  <c r="B54" i="2"/>
  <c r="C56" i="2"/>
  <c r="D56" i="2"/>
  <c r="E56" i="2"/>
  <c r="F56" i="2"/>
  <c r="G56" i="2"/>
  <c r="H56" i="2"/>
  <c r="I56" i="2"/>
  <c r="J56" i="2"/>
  <c r="K56" i="2"/>
  <c r="L56" i="2"/>
  <c r="M56" i="2"/>
  <c r="B56" i="2"/>
  <c r="C55" i="2"/>
  <c r="D55" i="2"/>
  <c r="E55" i="2"/>
  <c r="F55" i="2"/>
  <c r="G55" i="2"/>
  <c r="H55" i="2"/>
  <c r="I55" i="2"/>
  <c r="J55" i="2"/>
  <c r="K55" i="2"/>
  <c r="L55" i="2"/>
  <c r="M55" i="2"/>
  <c r="C54" i="2"/>
  <c r="D54" i="2"/>
  <c r="E54" i="2"/>
  <c r="F54" i="2"/>
  <c r="G54" i="2"/>
  <c r="H54" i="2"/>
  <c r="I54" i="2"/>
  <c r="J54" i="2"/>
  <c r="K54" i="2"/>
  <c r="L54" i="2"/>
  <c r="M54" i="2"/>
  <c r="B19" i="3"/>
  <c r="B18" i="3"/>
  <c r="B17" i="3"/>
  <c r="B16" i="3"/>
  <c r="B26" i="3"/>
  <c r="B25" i="3"/>
  <c r="B24" i="3"/>
  <c r="B23" i="3"/>
  <c r="B22" i="3"/>
  <c r="B21" i="3"/>
  <c r="B20" i="3"/>
  <c r="D17" i="3"/>
  <c r="D64" i="2"/>
  <c r="D18" i="3" s="1"/>
  <c r="E64" i="2"/>
  <c r="D19" i="3" s="1"/>
  <c r="F64" i="2"/>
  <c r="D20" i="3" s="1"/>
  <c r="G64" i="2"/>
  <c r="D21" i="3" s="1"/>
  <c r="H64" i="2"/>
  <c r="D23" i="3" s="1"/>
  <c r="I64" i="2"/>
  <c r="D24" i="3" s="1"/>
  <c r="J64" i="2"/>
  <c r="D25" i="3" s="1"/>
  <c r="K64" i="2"/>
  <c r="D26" i="3" s="1"/>
  <c r="L64" i="2"/>
  <c r="M64" i="2"/>
  <c r="D66" i="2"/>
  <c r="E66" i="2"/>
  <c r="E65" i="2" s="1"/>
  <c r="E20" i="3" s="1"/>
  <c r="F20" i="3" s="1"/>
  <c r="F66" i="2"/>
  <c r="F65" i="2" s="1"/>
  <c r="E21" i="3" s="1"/>
  <c r="G66" i="2"/>
  <c r="G65" i="2" s="1"/>
  <c r="E22" i="3" s="1"/>
  <c r="H66" i="2"/>
  <c r="H65" i="2" s="1"/>
  <c r="E23" i="3" s="1"/>
  <c r="I66" i="2"/>
  <c r="I65" i="2" s="1"/>
  <c r="E24" i="3" s="1"/>
  <c r="J66" i="2"/>
  <c r="J65" i="2" s="1"/>
  <c r="E25" i="3" s="1"/>
  <c r="F25" i="3" s="1"/>
  <c r="K66" i="2"/>
  <c r="K65" i="2"/>
  <c r="E26" i="3" s="1"/>
  <c r="L66" i="2"/>
  <c r="M66" i="2"/>
  <c r="M65" i="2" s="1"/>
  <c r="D65" i="2"/>
  <c r="E18" i="3" s="1"/>
  <c r="L65" i="2"/>
  <c r="C63" i="2"/>
  <c r="C17" i="3" s="1"/>
  <c r="D63" i="2"/>
  <c r="E63" i="2"/>
  <c r="C20" i="3" s="1"/>
  <c r="F63" i="2"/>
  <c r="C21" i="3" s="1"/>
  <c r="G63" i="2"/>
  <c r="C22" i="3" s="1"/>
  <c r="H63" i="2"/>
  <c r="C23" i="3" s="1"/>
  <c r="I63" i="2"/>
  <c r="C24" i="3" s="1"/>
  <c r="J63" i="2"/>
  <c r="C25" i="3" s="1"/>
  <c r="K63" i="2"/>
  <c r="C26" i="3" s="1"/>
  <c r="L63" i="2"/>
  <c r="M63" i="2"/>
  <c r="C53" i="2"/>
  <c r="D53" i="2"/>
  <c r="E53" i="2"/>
  <c r="F53" i="2"/>
  <c r="G53" i="2"/>
  <c r="H53" i="2"/>
  <c r="I53" i="2"/>
  <c r="J53" i="2"/>
  <c r="K53" i="2"/>
  <c r="L53" i="2"/>
  <c r="M53" i="2"/>
  <c r="B53" i="2"/>
  <c r="C52" i="2"/>
  <c r="D52" i="2"/>
  <c r="E52" i="2"/>
  <c r="F52" i="2"/>
  <c r="G52" i="2"/>
  <c r="H52" i="2"/>
  <c r="I52" i="2"/>
  <c r="J52" i="2"/>
  <c r="K52" i="2"/>
  <c r="L52" i="2"/>
  <c r="M52" i="2"/>
  <c r="B52" i="2"/>
  <c r="C51" i="2"/>
  <c r="D51" i="2"/>
  <c r="E51" i="2"/>
  <c r="F51" i="2"/>
  <c r="G51" i="2"/>
  <c r="H51" i="2"/>
  <c r="I51" i="2"/>
  <c r="J51" i="2"/>
  <c r="K51" i="2"/>
  <c r="L51" i="2"/>
  <c r="M51" i="2"/>
  <c r="B51" i="2"/>
  <c r="C50" i="2"/>
  <c r="D50" i="2"/>
  <c r="E50" i="2"/>
  <c r="F50" i="2"/>
  <c r="G50" i="2"/>
  <c r="H50" i="2"/>
  <c r="I50" i="2"/>
  <c r="J50" i="2"/>
  <c r="K50" i="2"/>
  <c r="L50" i="2"/>
  <c r="M50" i="2"/>
  <c r="C47" i="2"/>
  <c r="C48" i="2" s="1"/>
  <c r="D47" i="2"/>
  <c r="D48" i="2"/>
  <c r="D58" i="2" s="1"/>
  <c r="E47" i="2"/>
  <c r="E48" i="2" s="1"/>
  <c r="E59" i="2" s="1"/>
  <c r="F47" i="2"/>
  <c r="F48" i="2" s="1"/>
  <c r="G47" i="2"/>
  <c r="G48" i="2" s="1"/>
  <c r="G58" i="2" s="1"/>
  <c r="H47" i="2"/>
  <c r="H48" i="2"/>
  <c r="H49" i="2" s="1"/>
  <c r="I47" i="2"/>
  <c r="I48" i="2" s="1"/>
  <c r="J47" i="2"/>
  <c r="J48" i="2" s="1"/>
  <c r="K47" i="2"/>
  <c r="K48" i="2" s="1"/>
  <c r="L47" i="2"/>
  <c r="L48" i="2"/>
  <c r="L58" i="2" s="1"/>
  <c r="M47" i="2"/>
  <c r="M48" i="2" s="1"/>
  <c r="E41" i="2"/>
  <c r="F41" i="2"/>
  <c r="G41" i="2"/>
  <c r="H41" i="2"/>
  <c r="I41" i="2"/>
  <c r="J41" i="2"/>
  <c r="K41" i="2"/>
  <c r="L41" i="2"/>
  <c r="M41" i="2"/>
  <c r="H59" i="2"/>
  <c r="D49" i="2"/>
  <c r="C18" i="3"/>
  <c r="C19" i="3"/>
  <c r="J58" i="2" l="1"/>
  <c r="J49" i="2"/>
  <c r="J59" i="2"/>
  <c r="F58" i="2"/>
  <c r="F49" i="2"/>
  <c r="F59" i="2"/>
  <c r="L49" i="2"/>
  <c r="D59" i="2"/>
  <c r="I49" i="2"/>
  <c r="I59" i="2"/>
  <c r="M58" i="2"/>
  <c r="M49" i="2"/>
  <c r="K59" i="2"/>
  <c r="K49" i="2"/>
  <c r="C58" i="2"/>
  <c r="C59" i="2"/>
  <c r="C49" i="2"/>
  <c r="G20" i="3"/>
  <c r="D22" i="3"/>
  <c r="G22" i="3" s="1"/>
  <c r="F26" i="3"/>
  <c r="F22" i="3"/>
  <c r="E19" i="3"/>
  <c r="G19" i="3" s="1"/>
  <c r="L59" i="2"/>
  <c r="F21" i="3"/>
  <c r="F16" i="3"/>
  <c r="G26" i="3"/>
  <c r="G17" i="3"/>
  <c r="F17" i="3"/>
  <c r="G25" i="3"/>
  <c r="F24" i="3"/>
  <c r="G24" i="3"/>
  <c r="F23" i="3"/>
  <c r="G23" i="3"/>
  <c r="G16" i="3"/>
  <c r="B58" i="2"/>
  <c r="B49" i="2"/>
  <c r="B59" i="2"/>
  <c r="G21" i="3"/>
  <c r="F19" i="3"/>
  <c r="G49" i="2"/>
  <c r="I58" i="2"/>
  <c r="K58" i="2"/>
  <c r="H58" i="2"/>
  <c r="M59" i="2"/>
  <c r="G59" i="2"/>
  <c r="F18" i="3"/>
  <c r="E58" i="2"/>
  <c r="E49" i="2"/>
  <c r="G18" i="3"/>
  <c r="B58" i="9"/>
  <c r="B76" i="9" s="1"/>
  <c r="B78" i="9" s="1"/>
  <c r="B74" i="9"/>
  <c r="B75" i="9" s="1"/>
  <c r="B77" i="9" s="1"/>
  <c r="D9" i="17" l="1"/>
  <c r="B59" i="9"/>
  <c r="J4" i="13"/>
  <c r="B79" i="9"/>
  <c r="B86" i="9"/>
  <c r="B87" i="9" s="1"/>
  <c r="B80" i="9"/>
  <c r="P22" i="13" l="1"/>
  <c r="P25" i="13" s="1"/>
  <c r="D10" i="17"/>
  <c r="P21" i="13"/>
  <c r="P24" i="13" s="1"/>
</calcChain>
</file>

<file path=xl/sharedStrings.xml><?xml version="1.0" encoding="utf-8"?>
<sst xmlns="http://schemas.openxmlformats.org/spreadsheetml/2006/main" count="1717" uniqueCount="867">
  <si>
    <t>DATOS ANTROPOMETRICOS</t>
  </si>
  <si>
    <t>Peso (kg)</t>
  </si>
  <si>
    <t>BASICOS</t>
  </si>
  <si>
    <t>PLIEGUES CUTANEOS (mm)</t>
  </si>
  <si>
    <t xml:space="preserve">Tríceps </t>
  </si>
  <si>
    <t>Talla (cm)</t>
  </si>
  <si>
    <t>Subescapular</t>
  </si>
  <si>
    <t>Bíceps</t>
  </si>
  <si>
    <t>Cresta Iliaca</t>
  </si>
  <si>
    <t>Supraespinal</t>
  </si>
  <si>
    <t>Abdominal</t>
  </si>
  <si>
    <t>Muslo Frontal</t>
  </si>
  <si>
    <t>Pantorrilla Medial</t>
  </si>
  <si>
    <t>PERÍMETROS (cm)</t>
  </si>
  <si>
    <t>Brazo Relajado</t>
  </si>
  <si>
    <t>Brazo Flexionado</t>
  </si>
  <si>
    <t>Cintura</t>
  </si>
  <si>
    <t>Cadera Máxima o Gluteo Máximo</t>
  </si>
  <si>
    <t>Pantorrilla Máxima</t>
  </si>
  <si>
    <t xml:space="preserve">DIÁMETROS (cm) </t>
  </si>
  <si>
    <t>Humero</t>
  </si>
  <si>
    <t>Femur</t>
  </si>
  <si>
    <t>ESTIMACIÓN DE VARIABLES ANTROPOMETRICAS</t>
  </si>
  <si>
    <t>FEMENINO</t>
  </si>
  <si>
    <t>MASCULINO</t>
  </si>
  <si>
    <t>% Grasa Durnin ADULTOS</t>
  </si>
  <si>
    <t xml:space="preserve">% Grasa Carter-Yuhasz (Atletas) </t>
  </si>
  <si>
    <t>% Grasa Durning &amp; W. (adultos 17 años y mas)</t>
  </si>
  <si>
    <t>% Grasa Seleccionado</t>
  </si>
  <si>
    <t>Peso de la Grasa (pg)</t>
  </si>
  <si>
    <t>Peso Magro (pm)</t>
  </si>
  <si>
    <t>% Peso Magro (%pm)</t>
  </si>
  <si>
    <t>% Grasa Minimo Permitido</t>
  </si>
  <si>
    <t>% Grasa Maximo Permitido</t>
  </si>
  <si>
    <t>Peso Minimo Permitido</t>
  </si>
  <si>
    <t>Peso Maximo Permitido</t>
  </si>
  <si>
    <t>Indice de Masa Corporal (IMC)</t>
  </si>
  <si>
    <t>Relacion Cintura/Cadera (ICC)</t>
  </si>
  <si>
    <t>Adiposidad Relativa (AR)</t>
  </si>
  <si>
    <t>Peso Proporcional (PP)</t>
  </si>
  <si>
    <t>SOMATOTIPO</t>
  </si>
  <si>
    <t>Endomorfia</t>
  </si>
  <si>
    <t>Mesomorfia</t>
  </si>
  <si>
    <t>Ectomorfia</t>
  </si>
  <si>
    <t>HWR*</t>
  </si>
  <si>
    <t>ANÁLISIS ANTROPOMÉTRICO</t>
  </si>
  <si>
    <t xml:space="preserve">Ectomorfia </t>
  </si>
  <si>
    <t>Fecha</t>
  </si>
  <si>
    <t>FECHA DE EVALUACION</t>
  </si>
  <si>
    <t>Coodenada X</t>
  </si>
  <si>
    <t>Coordanda Y</t>
  </si>
  <si>
    <t>CHO</t>
  </si>
  <si>
    <t>%</t>
  </si>
  <si>
    <t>1- DATOS PERSONALES</t>
  </si>
  <si>
    <t>Nombre y Apellido</t>
  </si>
  <si>
    <t>Fecha de Nacimiento</t>
  </si>
  <si>
    <t>Café</t>
  </si>
  <si>
    <t>2-ANTECEDENTES PERSONALES</t>
  </si>
  <si>
    <t>3- ANTECEDENTES FAMILIARES</t>
  </si>
  <si>
    <t>Alcohol</t>
  </si>
  <si>
    <t>Tabaco</t>
  </si>
  <si>
    <t>Apetito/Ansiedad</t>
  </si>
  <si>
    <t>5- HÁBITOS Y CONDUCTAS ALIMENTARIAS</t>
  </si>
  <si>
    <t>Horas de mayor apetito</t>
  </si>
  <si>
    <t>6- DEPORTE/ACTIVIDAD FÍSICA</t>
  </si>
  <si>
    <t>Tipo de Actividad Física/Deporte</t>
  </si>
  <si>
    <t>Intensidad</t>
  </si>
  <si>
    <t>Leche Completa</t>
  </si>
  <si>
    <t>Leche Descremada</t>
  </si>
  <si>
    <t>DESAYUNO</t>
  </si>
  <si>
    <t>ALMUERZO</t>
  </si>
  <si>
    <t>HORA:</t>
  </si>
  <si>
    <t>MERIENDA MATUTINA</t>
  </si>
  <si>
    <t>MERIENDA VESPERTINA</t>
  </si>
  <si>
    <t>CENA</t>
  </si>
  <si>
    <t>MERIENDA NOCTURNA</t>
  </si>
  <si>
    <t>Sumatoria de 4 Pliegues</t>
  </si>
  <si>
    <t>Sumatoria de 6 Pliegues</t>
  </si>
  <si>
    <t>Sumatoria de 8 Pliegues</t>
  </si>
  <si>
    <t>Kg a Subir o Bajar</t>
  </si>
  <si>
    <t>Peso Objetivo</t>
  </si>
  <si>
    <t>PESO</t>
  </si>
  <si>
    <t>METODO TRADICIONAL</t>
  </si>
  <si>
    <t>Peso Utilizar</t>
  </si>
  <si>
    <t>Sexo</t>
  </si>
  <si>
    <t xml:space="preserve">Femenino </t>
  </si>
  <si>
    <t>Masculino</t>
  </si>
  <si>
    <t>Sedentario</t>
  </si>
  <si>
    <t>Intensa</t>
  </si>
  <si>
    <t>&lt; 25 kcal/kg Peso</t>
  </si>
  <si>
    <t>25-30 kcal/kg Peso</t>
  </si>
  <si>
    <t>&gt; 30 kcal/kg Peso</t>
  </si>
  <si>
    <t>HARRIS Y BENEDICT</t>
  </si>
  <si>
    <t>Factor de Actividad</t>
  </si>
  <si>
    <t>FORMÚLA DIETÉTICA</t>
  </si>
  <si>
    <t>ACTIVIDAD FÍSICA (AF)</t>
  </si>
  <si>
    <t>RCT a Utilizar</t>
  </si>
  <si>
    <t>Grasas</t>
  </si>
  <si>
    <t>kcal</t>
  </si>
  <si>
    <t>g</t>
  </si>
  <si>
    <t>g/kg Peso</t>
  </si>
  <si>
    <t>Fibra</t>
  </si>
  <si>
    <t>Sodio</t>
  </si>
  <si>
    <t>Colesterol</t>
  </si>
  <si>
    <t>Agua</t>
  </si>
  <si>
    <t>LISTA DE INTERCAMBIO</t>
  </si>
  <si>
    <t>Alimento</t>
  </si>
  <si>
    <t>Vegetales</t>
  </si>
  <si>
    <t>Frutas</t>
  </si>
  <si>
    <t>Int</t>
  </si>
  <si>
    <t xml:space="preserve">Grasas </t>
  </si>
  <si>
    <t xml:space="preserve">Colesterol </t>
  </si>
  <si>
    <t>Almidon</t>
  </si>
  <si>
    <t>Subtotal</t>
  </si>
  <si>
    <t>Total</t>
  </si>
  <si>
    <t>Requerimiento</t>
  </si>
  <si>
    <t>DISTRIBUCIÓN DE COMIDAS</t>
  </si>
  <si>
    <t>Comida</t>
  </si>
  <si>
    <t>Pre Desayuno</t>
  </si>
  <si>
    <t>Desayuno</t>
  </si>
  <si>
    <t>Merienda</t>
  </si>
  <si>
    <t>Almuerzo</t>
  </si>
  <si>
    <t>Cena</t>
  </si>
  <si>
    <t>Leche</t>
  </si>
  <si>
    <t>LABORATORIO</t>
  </si>
  <si>
    <t>ANALISÍS QUÍMICO Y HEMATOLÓGIO</t>
  </si>
  <si>
    <t>PARÁMETRO</t>
  </si>
  <si>
    <t>VALOR CONSULTA 1</t>
  </si>
  <si>
    <t>VALOR CONSULTA 2</t>
  </si>
  <si>
    <t>VALOR CONSULTA 3</t>
  </si>
  <si>
    <t>VALORES DE REFERENCIA</t>
  </si>
  <si>
    <t xml:space="preserve">Hemoglobina </t>
  </si>
  <si>
    <t xml:space="preserve">Hematocrito </t>
  </si>
  <si>
    <t>70 – 100 mg/dL</t>
  </si>
  <si>
    <t>Colesterol total</t>
  </si>
  <si>
    <t>Hasta 200 mg/dL</t>
  </si>
  <si>
    <t>Colesterol HDL</t>
  </si>
  <si>
    <t>Colesterol LDL</t>
  </si>
  <si>
    <t>Menor 130 mg/dL</t>
  </si>
  <si>
    <t>Triglicéridos</t>
  </si>
  <si>
    <t>Hasta 150 mg/dL</t>
  </si>
  <si>
    <t xml:space="preserve">Urea </t>
  </si>
  <si>
    <t>10 – 50 g/dL</t>
  </si>
  <si>
    <t xml:space="preserve">Creatinina </t>
  </si>
  <si>
    <t>Ácido úrico</t>
  </si>
  <si>
    <t>2.4 – 7.2 mg/dL</t>
  </si>
  <si>
    <t>BUN</t>
  </si>
  <si>
    <t>Proteínas totales</t>
  </si>
  <si>
    <t>5.5 – 8 g/dL</t>
  </si>
  <si>
    <t>Albúmina</t>
  </si>
  <si>
    <t>3.5 – 5.2 g/dL</t>
  </si>
  <si>
    <t>Globulina</t>
  </si>
  <si>
    <t>2 – 3 g/dL</t>
  </si>
  <si>
    <t>Amilasa</t>
  </si>
  <si>
    <t>53 – 123 U/L</t>
  </si>
  <si>
    <t>Lipasa</t>
  </si>
  <si>
    <t>10 – 140 U/L</t>
  </si>
  <si>
    <t>AST (asparto aminotransferasa)</t>
  </si>
  <si>
    <t>Hasta 40 U/L</t>
  </si>
  <si>
    <t>ALT (alanino aminotransferasa)</t>
  </si>
  <si>
    <t>LDH (lactato deshidrogenasa)</t>
  </si>
  <si>
    <t>100-190  U/L</t>
  </si>
  <si>
    <t xml:space="preserve">ALP  o  FA (fosfatasa alcalina) </t>
  </si>
  <si>
    <t>42 – 128 U/L</t>
  </si>
  <si>
    <t>Ácido láctico</t>
  </si>
  <si>
    <t>0.5 – 2.2 mmol/L</t>
  </si>
  <si>
    <t>Bilirrubina total</t>
  </si>
  <si>
    <t>0 – 1 mg/dL</t>
  </si>
  <si>
    <t>Bilirrubina directa</t>
  </si>
  <si>
    <t>0 – 0.4 mg/dL</t>
  </si>
  <si>
    <t>Linfocitos</t>
  </si>
  <si>
    <t>25 – 40 %</t>
  </si>
  <si>
    <t xml:space="preserve">Neutrófilos </t>
  </si>
  <si>
    <t>50 – 70 %</t>
  </si>
  <si>
    <t xml:space="preserve">Neutrófilos no segmentados </t>
  </si>
  <si>
    <t>0.2 – 6 %</t>
  </si>
  <si>
    <t>Eosinófilos</t>
  </si>
  <si>
    <t>1 – 4 %</t>
  </si>
  <si>
    <t>Monocitos</t>
  </si>
  <si>
    <t>2 – 8 %</t>
  </si>
  <si>
    <t>Basófilos</t>
  </si>
  <si>
    <t>0 – 1.2 %</t>
  </si>
  <si>
    <t>Plaquetas</t>
  </si>
  <si>
    <t>135 – 145 mmol/L</t>
  </si>
  <si>
    <t>Potasio</t>
  </si>
  <si>
    <t>3.5 – 5 mmol/L</t>
  </si>
  <si>
    <t xml:space="preserve">Cloro </t>
  </si>
  <si>
    <t>98-108 mmol/L</t>
  </si>
  <si>
    <t>Calcio (sérico)</t>
  </si>
  <si>
    <t>8 – 10.5 mg/dL</t>
  </si>
  <si>
    <t>0 – 300 mg en 24h</t>
  </si>
  <si>
    <t>Fósforo</t>
  </si>
  <si>
    <t>2.7 – 4.8 mg/dL</t>
  </si>
  <si>
    <t>Magnesio</t>
  </si>
  <si>
    <t>1.9 – 2.5 mg/dL</t>
  </si>
  <si>
    <t>Péptido C</t>
  </si>
  <si>
    <t>0.5 – 2 ng/mL</t>
  </si>
  <si>
    <t>Insulina</t>
  </si>
  <si>
    <t>Deporte</t>
  </si>
  <si>
    <t>Tricep</t>
  </si>
  <si>
    <t>Muslo Medio</t>
  </si>
  <si>
    <t>Pantorrilla</t>
  </si>
  <si>
    <t>Bícep</t>
  </si>
  <si>
    <t>Cresta Ilíaca</t>
  </si>
  <si>
    <t>Brazo relajado</t>
  </si>
  <si>
    <t>Brazo flexionado en tensión</t>
  </si>
  <si>
    <t>Cintura (Mínimo)</t>
  </si>
  <si>
    <t>Cadera (Máximo)</t>
  </si>
  <si>
    <t>Muslo máximo</t>
  </si>
  <si>
    <t>Muslo medio</t>
  </si>
  <si>
    <t>Peso/Edad</t>
  </si>
  <si>
    <t>Talla/Edad</t>
  </si>
  <si>
    <t>Peso/Talla</t>
  </si>
  <si>
    <t>IMC/Edad</t>
  </si>
  <si>
    <t>INFORME NUTRICIONAL ANTROPOMÉTRICO</t>
  </si>
  <si>
    <t>2 COMPONENTES</t>
  </si>
  <si>
    <t>DATOS PERSONALES</t>
  </si>
  <si>
    <t>MEDICIONES CORPORALES</t>
  </si>
  <si>
    <t>Numero de Evaluacion</t>
  </si>
  <si>
    <t>Fecha de Evaluacion</t>
  </si>
  <si>
    <t>BASICAS</t>
  </si>
  <si>
    <t>PLIEGUES CUTÁNEOS (mm)</t>
  </si>
  <si>
    <t>CIRCUNFERENCIAS (cm)</t>
  </si>
  <si>
    <t>Brazo flexionado</t>
  </si>
  <si>
    <t>RESULTADOS DE COMPOSICIÓN CORPORAL - METODO DE 2 COMPONENTES</t>
  </si>
  <si>
    <t>Indicadores</t>
  </si>
  <si>
    <t>% Peso Magro</t>
  </si>
  <si>
    <t>Valor</t>
  </si>
  <si>
    <t>Categoria</t>
  </si>
  <si>
    <t>% Grasa Brook (1-11 años)</t>
  </si>
  <si>
    <t>% Grasa Durnin (12-16 años)</t>
  </si>
  <si>
    <t>Sum de 8 pliegues (mm)</t>
  </si>
  <si>
    <t>DAGNOSTICO NUTRICIONAL ANTROPOMÉTRICO</t>
  </si>
  <si>
    <t>Talla adulta</t>
  </si>
  <si>
    <t>PGP</t>
  </si>
  <si>
    <t>DIAGNOSTICO</t>
  </si>
  <si>
    <t>SOMATOTIPO (HEATH - CARTER, 1990)</t>
  </si>
  <si>
    <r>
      <t xml:space="preserve">El somatotipo describe numéricamente tus características físicas, qué aspecto tienes como atleta y qué tanto te asemejas a un futbolista promedio. Esto se hace a través de tres números, cada uno representa tu forma física: la gordura o adiposidad </t>
    </r>
    <r>
      <rPr>
        <b/>
        <sz val="10"/>
        <color theme="1"/>
        <rFont val="Calibri"/>
        <family val="2"/>
        <scheme val="minor"/>
      </rPr>
      <t>(endomorfia)</t>
    </r>
    <r>
      <rPr>
        <sz val="10"/>
        <color theme="1"/>
        <rFont val="Calibri"/>
        <family val="2"/>
        <scheme val="minor"/>
      </rPr>
      <t xml:space="preserve">, la robustez músculo-esquelética </t>
    </r>
    <r>
      <rPr>
        <b/>
        <sz val="10"/>
        <color theme="1"/>
        <rFont val="Calibri"/>
        <family val="2"/>
        <scheme val="minor"/>
      </rPr>
      <t xml:space="preserve">(mesomorfia) </t>
    </r>
    <r>
      <rPr>
        <sz val="10"/>
        <color theme="1"/>
        <rFont val="Calibri"/>
        <family val="2"/>
        <scheme val="minor"/>
      </rPr>
      <t xml:space="preserve">y la delgadez </t>
    </r>
    <r>
      <rPr>
        <b/>
        <sz val="10"/>
        <color theme="1"/>
        <rFont val="Calibri"/>
        <family val="2"/>
        <scheme val="minor"/>
      </rPr>
      <t>(ectomorfia)</t>
    </r>
    <r>
      <rPr>
        <sz val="10"/>
        <color theme="1"/>
        <rFont val="Calibri"/>
        <family val="2"/>
        <scheme val="minor"/>
      </rPr>
      <t>. Dependiendo del deporte que estes realizando y la posición de la misma dichos valores pueden variar de un sujeto a otro. En tu evaluación, los valores obtenidos fueron:</t>
    </r>
  </si>
  <si>
    <t>Resultados sujeto evaluado</t>
  </si>
  <si>
    <t>CONCLUSIONES Y RECOMENDACIONES</t>
  </si>
  <si>
    <t>EDAD</t>
  </si>
  <si>
    <t>Clasificacion</t>
  </si>
  <si>
    <t>Protocolo de medición: ISAK. Instrumentos empleados: Balanza (precisión 100 g), Calibrador de pliegues cutáneos Slim Guide (0,5 mm), Cinta métrica Luftkin (0,1 mm), Vernier Rosscraft (0,1 mm).</t>
  </si>
  <si>
    <t>Teléfono</t>
  </si>
  <si>
    <t>-1</t>
  </si>
  <si>
    <t xml:space="preserve">Edad </t>
  </si>
  <si>
    <t>Cédula</t>
  </si>
  <si>
    <t>4- HÁBITOS (PSICOBIOLÓGICO Y FUNCIONALES)</t>
  </si>
  <si>
    <t>Tratamiento médico</t>
  </si>
  <si>
    <t xml:space="preserve">7- SUPLEMENTOS NUTRICIONALES </t>
  </si>
  <si>
    <t>Dirección</t>
  </si>
  <si>
    <t>Heces</t>
  </si>
  <si>
    <t>Orina</t>
  </si>
  <si>
    <t>Ocupación</t>
  </si>
  <si>
    <t>Peso a utilizar</t>
  </si>
  <si>
    <t>Peso mínimo</t>
  </si>
  <si>
    <t>Peso máximo</t>
  </si>
  <si>
    <t>Peso actual</t>
  </si>
  <si>
    <t>REQUERIMIENTOS Y LISTA DE INTERCAMBIO</t>
  </si>
  <si>
    <t>PESO TEÓRICO</t>
  </si>
  <si>
    <t>WEST</t>
  </si>
  <si>
    <t>Hombres</t>
  </si>
  <si>
    <t>Mujeres</t>
  </si>
  <si>
    <t>Talla</t>
  </si>
  <si>
    <t>Derivada del IMC</t>
  </si>
  <si>
    <t>Porcentaje de cambio de peso</t>
  </si>
  <si>
    <t>Femenino</t>
  </si>
  <si>
    <t>RCB (Masculino)</t>
  </si>
  <si>
    <t>RCB (Femenino)</t>
  </si>
  <si>
    <t>ETA (Masculino)</t>
  </si>
  <si>
    <t>ETA (Femenino)</t>
  </si>
  <si>
    <t>RCT (Masculino)</t>
  </si>
  <si>
    <t>RCT (Femenino)</t>
  </si>
  <si>
    <t>Muy Leve</t>
  </si>
  <si>
    <t>Leve</t>
  </si>
  <si>
    <t>Moderada</t>
  </si>
  <si>
    <t>Factor de estrés</t>
  </si>
  <si>
    <t>H: 13 – 18 g/dL                                                                        M: 12 -14 G/dL</t>
  </si>
  <si>
    <t>H: 37 – 49 g/dL                                        M: 36 -46 d/dL</t>
  </si>
  <si>
    <t>Glucosa</t>
  </si>
  <si>
    <t>H: mayor a 40 mg/dL           M: mayor a 50 mg/dL</t>
  </si>
  <si>
    <t>0.8 – 1.2 mg/dL</t>
  </si>
  <si>
    <t>8 – 20 mg/dL</t>
  </si>
  <si>
    <t xml:space="preserve">H: 7 - 30  U/L                            M: 10 - 55 U/L </t>
  </si>
  <si>
    <t>Calcio (en orina)</t>
  </si>
  <si>
    <t>&lt;9 µg/mL</t>
  </si>
  <si>
    <t>Comidas fuera de casa</t>
  </si>
  <si>
    <t>Alergias alimentarias</t>
  </si>
  <si>
    <t>Intolerancias alimentarias</t>
  </si>
  <si>
    <t>Duración/Hora</t>
  </si>
  <si>
    <t>CALORIAS APRÓXIMADAS CONSUMIDAS</t>
  </si>
  <si>
    <t>PAVB APRÓXIMADAS CONSUMIDAS</t>
  </si>
  <si>
    <t>Estado civil</t>
  </si>
  <si>
    <t>Fecha de nacimiento</t>
  </si>
  <si>
    <t>Motivo de consulta</t>
  </si>
  <si>
    <t>Correo electrónico</t>
  </si>
  <si>
    <t>Enfermedad(es) importante(s) diagnosticada(s)</t>
  </si>
  <si>
    <t>Operación(es) realizada(s)</t>
  </si>
  <si>
    <t>Consumo de drogas</t>
  </si>
  <si>
    <t>Horas de sueño</t>
  </si>
  <si>
    <t>Hábitos  miccionales</t>
  </si>
  <si>
    <t>Acidez/Pirosis/Náuseas</t>
  </si>
  <si>
    <t>Rechazos alimentarios</t>
  </si>
  <si>
    <t>Suplemento(s) nutricional(es) actual(es)</t>
  </si>
  <si>
    <t>Número de evaluación</t>
  </si>
  <si>
    <t>Actividad Física</t>
  </si>
  <si>
    <t>MÉTODO DIRECTO</t>
  </si>
  <si>
    <t>Hipocalórica</t>
  </si>
  <si>
    <t>Normocalórica</t>
  </si>
  <si>
    <t>Hipercalórica</t>
  </si>
  <si>
    <t>Proteínas</t>
  </si>
  <si>
    <t>Adecuación</t>
  </si>
  <si>
    <t>Peso usual</t>
  </si>
  <si>
    <t>Talla (m)</t>
  </si>
  <si>
    <t>Índice cintura/cadera</t>
  </si>
  <si>
    <t>Porcentaje a Utilizar</t>
  </si>
  <si>
    <t>Kg. Masa magra</t>
  </si>
  <si>
    <t>Kg. Grasa</t>
  </si>
  <si>
    <t>% Grasa Objetivo</t>
  </si>
  <si>
    <t>Kg. a bajar o subir</t>
  </si>
  <si>
    <r>
      <t>IMC (kg/m</t>
    </r>
    <r>
      <rPr>
        <b/>
        <vertAlign val="superscript"/>
        <sz val="10"/>
        <rFont val="Gill Sans MT"/>
        <family val="2"/>
      </rPr>
      <t>2)</t>
    </r>
  </si>
  <si>
    <r>
      <t>A. Grasa Brazo (cm</t>
    </r>
    <r>
      <rPr>
        <b/>
        <vertAlign val="superscript"/>
        <sz val="10"/>
        <rFont val="Gill Sans MT"/>
        <family val="2"/>
      </rPr>
      <t>2)</t>
    </r>
  </si>
  <si>
    <r>
      <t>A. Magra Brazo (cm</t>
    </r>
    <r>
      <rPr>
        <b/>
        <vertAlign val="superscript"/>
        <sz val="10"/>
        <rFont val="Gill Sans MT"/>
        <family val="2"/>
      </rPr>
      <t>2)</t>
    </r>
  </si>
  <si>
    <r>
      <t>Área Magra del Muslo cm</t>
    </r>
    <r>
      <rPr>
        <b/>
        <vertAlign val="superscript"/>
        <sz val="10"/>
        <rFont val="Gill Sans MT"/>
        <family val="2"/>
      </rPr>
      <t>2</t>
    </r>
  </si>
  <si>
    <r>
      <t>Área Grasa del Muslo cm</t>
    </r>
    <r>
      <rPr>
        <b/>
        <vertAlign val="superscript"/>
        <sz val="10"/>
        <rFont val="Gill Sans MT"/>
        <family val="2"/>
      </rPr>
      <t>2</t>
    </r>
  </si>
  <si>
    <r>
      <t>Área Magra de la Pantorrilla cm</t>
    </r>
    <r>
      <rPr>
        <b/>
        <vertAlign val="superscript"/>
        <sz val="10"/>
        <rFont val="Gill Sans MT"/>
        <family val="2"/>
      </rPr>
      <t>2</t>
    </r>
  </si>
  <si>
    <r>
      <t>Área Grasa de la Pantorrilla cm</t>
    </r>
    <r>
      <rPr>
        <b/>
        <vertAlign val="superscript"/>
        <sz val="10"/>
        <rFont val="Gill Sans MT"/>
        <family val="2"/>
      </rPr>
      <t>2</t>
    </r>
  </si>
  <si>
    <t>Peso actual (kg)</t>
  </si>
  <si>
    <r>
      <t>150.000 – 450.000 cel/mm</t>
    </r>
    <r>
      <rPr>
        <vertAlign val="superscript"/>
        <sz val="11"/>
        <color theme="1"/>
        <rFont val="Gill Sans MT"/>
        <family val="2"/>
      </rPr>
      <t>3</t>
    </r>
  </si>
  <si>
    <t>HISTORIA CLÍNICA-NUTRICIONAL</t>
  </si>
  <si>
    <t>Talla sentada (cm)</t>
  </si>
  <si>
    <t xml:space="preserve"> Suplementos</t>
  </si>
  <si>
    <t>Fecha de evaluación</t>
  </si>
  <si>
    <t>Beisbol</t>
  </si>
  <si>
    <t>Baloncesto</t>
  </si>
  <si>
    <t>Culturismo</t>
  </si>
  <si>
    <t>Ciclismo</t>
  </si>
  <si>
    <t>Gimnasia</t>
  </si>
  <si>
    <t>Fútbol</t>
  </si>
  <si>
    <t>Natación</t>
  </si>
  <si>
    <t>Tenis</t>
  </si>
  <si>
    <t>Crossfit</t>
  </si>
  <si>
    <t>Lean Body Mass</t>
  </si>
  <si>
    <t>Fat mass</t>
  </si>
  <si>
    <t>Adultos</t>
  </si>
  <si>
    <t>Pérdida de grasa requerida (%)</t>
  </si>
  <si>
    <t>Pérdida de grasa requerida (Kg)</t>
  </si>
  <si>
    <t>g de grasa a bajar</t>
  </si>
  <si>
    <t>Pérdida de M.M aceptable (g)</t>
  </si>
  <si>
    <t>Pérdida de peso Requerida</t>
  </si>
  <si>
    <t>Pérdida de peso esperada p/ semana (g)</t>
  </si>
  <si>
    <t>Pérdida de peso esperada p/ mes (g)</t>
  </si>
  <si>
    <t>Pérdida de grasa semanal (g)</t>
  </si>
  <si>
    <t>Pérdida de musculo semanal (g)</t>
  </si>
  <si>
    <t>Duración del decít (semanas)</t>
  </si>
  <si>
    <t>Duración del decít (meses)</t>
  </si>
  <si>
    <t>Kcal por Kg de Grasa</t>
  </si>
  <si>
    <t>Kcal por Kg de Masa Magra</t>
  </si>
  <si>
    <t>DEFICÍT (Kcal/día)</t>
  </si>
  <si>
    <t>Peso Magro</t>
  </si>
  <si>
    <t>% de cambio de peso</t>
  </si>
  <si>
    <t>Tiempo</t>
  </si>
  <si>
    <t>Significativo</t>
  </si>
  <si>
    <t>Severo</t>
  </si>
  <si>
    <t>1 semana</t>
  </si>
  <si>
    <t>1 – 2 %</t>
  </si>
  <si>
    <t>&gt; 2 %</t>
  </si>
  <si>
    <t>Hamwi</t>
  </si>
  <si>
    <t>1 mes</t>
  </si>
  <si>
    <t>3 – 5 %</t>
  </si>
  <si>
    <t>&gt; 5 %</t>
  </si>
  <si>
    <t>Peso ajustado (Obesidad)</t>
  </si>
  <si>
    <t>3 meses</t>
  </si>
  <si>
    <t>6 – 8 %</t>
  </si>
  <si>
    <t>&gt; 8 %</t>
  </si>
  <si>
    <t>6 meses</t>
  </si>
  <si>
    <t>9 – 10%</t>
  </si>
  <si>
    <t>&gt; 10 %</t>
  </si>
  <si>
    <t>HARRIS Y BENEDICT (ROZA)</t>
  </si>
  <si>
    <t>1.2 - Sedentary:</t>
  </si>
  <si>
    <t>You work a desk job and don’t exercise</t>
  </si>
  <si>
    <t>1.375 - Light Activity:</t>
  </si>
  <si>
    <t>You work a desk job but do a bit of regular exercise. Or you don’t exercise but you work at a</t>
  </si>
  <si>
    <t>job that’s pretty active (a nurse, teacher, etc.) where you’re on your for feet most of the day.</t>
  </si>
  <si>
    <t>MÉTODO HOLLIDAY</t>
  </si>
  <si>
    <t>1.55 - Moderate Activity:</t>
  </si>
  <si>
    <t>0-10 Kg</t>
  </si>
  <si>
    <t>100 Kcal/Kg/día</t>
  </si>
  <si>
    <t>Most of you will probably fall into this category. Maybe you work a sedentary job, but you</t>
  </si>
  <si>
    <t>10,1-20 Kg</t>
  </si>
  <si>
    <t>1000 Kcal + 50 Kcal por cada Kg por encima</t>
  </si>
  <si>
    <t>train like a madman. Or maybe you train moderately, but you also have a job where you</t>
  </si>
  <si>
    <t>&gt;20 Kg</t>
  </si>
  <si>
    <t>FACTOR DE ACTIVIDAD FÍSICA</t>
  </si>
  <si>
    <t>MULLER EQUATION</t>
  </si>
  <si>
    <t>MIFFLIN - ST.JEOR</t>
  </si>
  <si>
    <t>stand on your feet all the time. Someone who doesn’t train but works a hard labor job</t>
  </si>
  <si>
    <t xml:space="preserve">RCB: </t>
  </si>
  <si>
    <t>Sedentary</t>
  </si>
  <si>
    <t>would also fall into this category.</t>
  </si>
  <si>
    <t xml:space="preserve">ENERGÍA DE ACTIVIDAD: </t>
  </si>
  <si>
    <t>Light Activity</t>
  </si>
  <si>
    <t>1.725 - Very Active:</t>
  </si>
  <si>
    <t xml:space="preserve">ETA: 10% </t>
  </si>
  <si>
    <t>Moderate Activity</t>
  </si>
  <si>
    <t>You train hard most days of the week, and you also work a job where you’re on your feet</t>
  </si>
  <si>
    <t>REQUERIMIENTO CALÓRICO TOTAL</t>
  </si>
  <si>
    <t>Very Active</t>
  </si>
  <si>
    <t>quite a bit. Overall, you’re active most of the day.</t>
  </si>
  <si>
    <t>Extra Active</t>
  </si>
  <si>
    <t>1.9 - Extra Active:</t>
  </si>
  <si>
    <t>You train hard and work a job that is physically intense in nature. As an example, you’re a</t>
  </si>
  <si>
    <t>roofer who also goes to the gym five days a week.</t>
  </si>
  <si>
    <t>Restricción</t>
  </si>
  <si>
    <t>Valor (Kcal)</t>
  </si>
  <si>
    <t>Aporte de Macros</t>
  </si>
  <si>
    <t>Intervalos de edad.</t>
  </si>
  <si>
    <t xml:space="preserve">Rangos óptimos de proteína: </t>
  </si>
  <si>
    <t>0-30</t>
  </si>
  <si>
    <t>31-40</t>
  </si>
  <si>
    <t>41-50</t>
  </si>
  <si>
    <t>51-60</t>
  </si>
  <si>
    <t>61-70</t>
  </si>
  <si>
    <t>No caloric Deficit</t>
  </si>
  <si>
    <t>1,8-2,0</t>
  </si>
  <si>
    <t>2,0-2,3</t>
  </si>
  <si>
    <t>2,3-2,6</t>
  </si>
  <si>
    <t>2,6-2,9</t>
  </si>
  <si>
    <t>2,9-3,2</t>
  </si>
  <si>
    <t>Kg de masa magra</t>
  </si>
  <si>
    <t>Deficit Calorico</t>
  </si>
  <si>
    <t>2,2-2,4</t>
  </si>
  <si>
    <t>2,4-2,8</t>
  </si>
  <si>
    <t>2,8-3,1</t>
  </si>
  <si>
    <t>3,1-3,5</t>
  </si>
  <si>
    <t>3,5-3,8</t>
  </si>
  <si>
    <t>1000 Kcal + 20 Kcal por cada Kg por encima de 20 Kg</t>
  </si>
  <si>
    <t>1era evaluación</t>
  </si>
  <si>
    <t>Evaluación</t>
  </si>
  <si>
    <t>Kg de Masa Magra</t>
  </si>
  <si>
    <t>Kg de Grasa</t>
  </si>
  <si>
    <t>6- DEPORTE/ACTIVIDAD FÍSICA/ENERGÍA DE ACTIVIDAD</t>
  </si>
  <si>
    <t xml:space="preserve">Tipo de Actividad </t>
  </si>
  <si>
    <t>Horas/Día</t>
  </si>
  <si>
    <t>Coeficiente</t>
  </si>
  <si>
    <t>Coeficiente x hora</t>
  </si>
  <si>
    <t>Tv -Lectura</t>
  </si>
  <si>
    <t>Juegos Pasivos</t>
  </si>
  <si>
    <t>Juegos Activos</t>
  </si>
  <si>
    <t>Escolar</t>
  </si>
  <si>
    <t>Descanso</t>
  </si>
  <si>
    <t>TOTAL</t>
  </si>
  <si>
    <t xml:space="preserve">Calorías aproximadas: </t>
  </si>
  <si>
    <t>Carnes magras</t>
  </si>
  <si>
    <t>Carnes semimagras</t>
  </si>
  <si>
    <t xml:space="preserve"> Desayuno</t>
  </si>
  <si>
    <t>Carnes semi</t>
  </si>
  <si>
    <t>Brazo relajado (cm)</t>
  </si>
  <si>
    <t>Antebrazo máximo (cm)</t>
  </si>
  <si>
    <t>Muslo máximo (cm)</t>
  </si>
  <si>
    <t>Muslo medial (cm)</t>
  </si>
  <si>
    <t>Brazo Flexionado en Tensón (cm)</t>
  </si>
  <si>
    <t>Tórax (Mesoesternal) (cm)</t>
  </si>
  <si>
    <t>Cadera máximo (cm)</t>
  </si>
  <si>
    <t>Cintura mínimo (cm)</t>
  </si>
  <si>
    <t>Pantorrilla máximo (cm)</t>
  </si>
  <si>
    <t>Bíceps (mm)</t>
  </si>
  <si>
    <t>Tríceps (mm)</t>
  </si>
  <si>
    <t>Subescapular (mm)</t>
  </si>
  <si>
    <t>Abdominal (mm)</t>
  </si>
  <si>
    <t>Muslo frontal (mm)</t>
  </si>
  <si>
    <t>Pantorrilla (mm)</t>
  </si>
  <si>
    <t>Supra-espinal (mm)</t>
  </si>
  <si>
    <t>Ileo-crestal (mm)</t>
  </si>
  <si>
    <t>Circunferencias(cm)</t>
  </si>
  <si>
    <t>Pliegues (mm)</t>
  </si>
  <si>
    <t>VALORES ANTROPOMÉTRICOS</t>
  </si>
  <si>
    <t>Circunferencias corregidas por pliegues (cm)</t>
  </si>
  <si>
    <t>Caja torácica (cm)</t>
  </si>
  <si>
    <t>Cintura (cm)</t>
  </si>
  <si>
    <t>Diametros óseos (cm)</t>
  </si>
  <si>
    <t>Biacromial (cm)</t>
  </si>
  <si>
    <t>Toráx Tranverso (cm)</t>
  </si>
  <si>
    <t>Toráx Anteroposterior (cm)</t>
  </si>
  <si>
    <t>Biilocrestídio (cm)</t>
  </si>
  <si>
    <t>Humeral (Biepicondilar)</t>
  </si>
  <si>
    <t>Femoral (Biepicondilar)</t>
  </si>
  <si>
    <t xml:space="preserve"> % Grasa (Carter 1986)</t>
  </si>
  <si>
    <t>% Grasa (Durnin y W. 1974)</t>
  </si>
  <si>
    <t>INDICADORES (2 componentes)</t>
  </si>
  <si>
    <t>Ganancia de peso esperada (g)</t>
  </si>
  <si>
    <t>Juveniles</t>
  </si>
  <si>
    <t>10_12</t>
  </si>
  <si>
    <t>Contextura</t>
  </si>
  <si>
    <t>Indicadores absolutos (Corregidos por pliegues)</t>
  </si>
  <si>
    <t>Masa Adiposa (Kg)</t>
  </si>
  <si>
    <t>Masa Muscular (Kg)</t>
  </si>
  <si>
    <t xml:space="preserve">SOMATOTIPO </t>
  </si>
  <si>
    <t>Valoración del Somatotipo (Decimal)</t>
  </si>
  <si>
    <t>OTRAS SUMATORIAS</t>
  </si>
  <si>
    <t>Sumatoria de 3 pliegues</t>
  </si>
  <si>
    <t>Sumatoria de 3 pliegues (Corregida)</t>
  </si>
  <si>
    <t>Sumatoria de 3 pliegues (Corregida) (2)</t>
  </si>
  <si>
    <t>Sumatoria de 3 pliegues (Corregida) (3)</t>
  </si>
  <si>
    <t>Biceps Corregido</t>
  </si>
  <si>
    <t>Pantorrilla Corregida</t>
  </si>
  <si>
    <t>Altura/Peso (1/3)</t>
  </si>
  <si>
    <t xml:space="preserve">Alguna otra información relevante: </t>
  </si>
  <si>
    <t>9- RECORDATORIO DE INGESTA USUAL</t>
  </si>
  <si>
    <t>Ubicación en la somatocarta</t>
  </si>
  <si>
    <t>Eje X</t>
  </si>
  <si>
    <t>Eje Y</t>
  </si>
  <si>
    <t>% DE GRASA (CARTER 1986)</t>
  </si>
  <si>
    <t>Riesgo</t>
  </si>
  <si>
    <t>Edad</t>
  </si>
  <si>
    <t>Bajo</t>
  </si>
  <si>
    <t>Moderado</t>
  </si>
  <si>
    <t>Alto</t>
  </si>
  <si>
    <t>Muy alto</t>
  </si>
  <si>
    <t>20-29</t>
  </si>
  <si>
    <t>&lt;0.83</t>
  </si>
  <si>
    <t>0.83-0.88</t>
  </si>
  <si>
    <t>0.89-0.94</t>
  </si>
  <si>
    <t>&gt;0.94</t>
  </si>
  <si>
    <t>30-39</t>
  </si>
  <si>
    <t>&lt;0.84</t>
  </si>
  <si>
    <t>0.84-0.91</t>
  </si>
  <si>
    <t>0.92-0.96</t>
  </si>
  <si>
    <t>&gt;0.96</t>
  </si>
  <si>
    <t>40-49</t>
  </si>
  <si>
    <t>&lt;0.88</t>
  </si>
  <si>
    <t>0.88-0.95</t>
  </si>
  <si>
    <t>0.96-1.00</t>
  </si>
  <si>
    <t>&gt;1.00</t>
  </si>
  <si>
    <t>50-59</t>
  </si>
  <si>
    <t>&lt;0.90</t>
  </si>
  <si>
    <t>0.90-0.96</t>
  </si>
  <si>
    <t>0.97-1.02</t>
  </si>
  <si>
    <t>&gt;1.02</t>
  </si>
  <si>
    <t>60-69</t>
  </si>
  <si>
    <t>&lt;0.91</t>
  </si>
  <si>
    <t>0.91-0.98</t>
  </si>
  <si>
    <t>0.99-1.03</t>
  </si>
  <si>
    <t>&gt;1.03</t>
  </si>
  <si>
    <t>&lt;0.71</t>
  </si>
  <si>
    <t>0.71-0.77</t>
  </si>
  <si>
    <t>0.78-0.82</t>
  </si>
  <si>
    <t>&gt;0.82</t>
  </si>
  <si>
    <t>&lt;0.72</t>
  </si>
  <si>
    <t>0.72-0.78</t>
  </si>
  <si>
    <t>0.79-0.84</t>
  </si>
  <si>
    <t>&gt;0.84</t>
  </si>
  <si>
    <t>&lt;0.73</t>
  </si>
  <si>
    <t>0.73-0.79</t>
  </si>
  <si>
    <t>0.80-0.87</t>
  </si>
  <si>
    <t>&gt;0.87</t>
  </si>
  <si>
    <t>&lt;0.74</t>
  </si>
  <si>
    <t>0.74-0.81</t>
  </si>
  <si>
    <t>0.82-0.88</t>
  </si>
  <si>
    <t>&gt;0.88</t>
  </si>
  <si>
    <t>&lt;0.76</t>
  </si>
  <si>
    <t>0.76-0.83</t>
  </si>
  <si>
    <t>0.84-0.90</t>
  </si>
  <si>
    <t>&gt;0.90</t>
  </si>
  <si>
    <t>INDICE CINTURA CADERA</t>
  </si>
  <si>
    <t>DEPORTE</t>
  </si>
  <si>
    <t>ENDO</t>
  </si>
  <si>
    <t>MESO</t>
  </si>
  <si>
    <t>ECTO</t>
  </si>
  <si>
    <t xml:space="preserve">ATLETISMO Fondo </t>
  </si>
  <si>
    <t>ATLETISMO Fondo 10.000 m,</t>
  </si>
  <si>
    <t>ATLETISMO Maratón</t>
  </si>
  <si>
    <t>ATLETISMO Fondo 3.000 m. Obstáculos</t>
  </si>
  <si>
    <t xml:space="preserve">ATLETISMO Medio Fondo </t>
  </si>
  <si>
    <t>ATLETISMO Fondo 5.000 m.</t>
  </si>
  <si>
    <t>ATLETISMO Pruebas Combinadas</t>
  </si>
  <si>
    <t>ATLETISMO Lanzamiento Martillo</t>
  </si>
  <si>
    <t>ATLETISMO Salto Altura</t>
  </si>
  <si>
    <t>ATLETISMO Salto Longitud y Triple Salto</t>
  </si>
  <si>
    <t>ATLETISMO Medio Fondo 1.500 m.</t>
  </si>
  <si>
    <t>ATLETISMO Velocidad</t>
  </si>
  <si>
    <t>ATLETISMO Medio Fondo 800 m.</t>
  </si>
  <si>
    <t>Baminton</t>
  </si>
  <si>
    <t>Cricket</t>
  </si>
  <si>
    <t>ATLETISMO Salto de Pértiga</t>
  </si>
  <si>
    <t>ESGRIMA</t>
  </si>
  <si>
    <t>ATLETISMO Velocidad: 400 m.</t>
  </si>
  <si>
    <t>GIMNASIA ARTÍSTICA</t>
  </si>
  <si>
    <t>ATLETISMO Velocidad: 60 - 200 m.</t>
  </si>
  <si>
    <t>GIMNASIA RÍTMICA</t>
  </si>
  <si>
    <t>BALONCESTO Ala-pivot / Pivot</t>
  </si>
  <si>
    <t>Hockey</t>
  </si>
  <si>
    <t>BALONCESTO Alero</t>
  </si>
  <si>
    <t>JUDO &lt;  66-72 Kg.</t>
  </si>
  <si>
    <t>BALONCESTO Base</t>
  </si>
  <si>
    <t>JUDO &lt; 48-52 Kg.</t>
  </si>
  <si>
    <t>BALONCESTO Escolta</t>
  </si>
  <si>
    <t>JUDO &lt; 56-61 Kg.</t>
  </si>
  <si>
    <t>CICLISMO</t>
  </si>
  <si>
    <t>Lacrosse</t>
  </si>
  <si>
    <t>Futbol australiano</t>
  </si>
  <si>
    <t>NATACIÓN</t>
  </si>
  <si>
    <t>FÚTBOL Defensa</t>
  </si>
  <si>
    <t>NATACIÓN Espalda 200 m</t>
  </si>
  <si>
    <t>FÚTBOL Delantero</t>
  </si>
  <si>
    <t>NATACIÓN Espalda 50+100 m</t>
  </si>
  <si>
    <t>FÚTBOL Medio</t>
  </si>
  <si>
    <t>NATACIÓN Freestyle 200+400 m</t>
  </si>
  <si>
    <t>FÚTBOL Portero</t>
  </si>
  <si>
    <t>NATACIÓN Freestyle 50+100 m</t>
  </si>
  <si>
    <t>Gimnasia deportiva</t>
  </si>
  <si>
    <t>NATACIÓN Freestyle 800 m</t>
  </si>
  <si>
    <t>Hockey sobre césped</t>
  </si>
  <si>
    <t>NATACIÓN Mariposa 200 m</t>
  </si>
  <si>
    <t>JUDO 60-65 Kg.</t>
  </si>
  <si>
    <t>NATACIÓN Mariposa 50+100 m</t>
  </si>
  <si>
    <t>JUDO 71-78 Kg.</t>
  </si>
  <si>
    <t>NATACIÓN Medley 200+400 m</t>
  </si>
  <si>
    <t>JUDO 86-95 Kg.</t>
  </si>
  <si>
    <t>NATACIÓN Pecho 200 m</t>
  </si>
  <si>
    <t>Levantamiento de potencia</t>
  </si>
  <si>
    <t>NATACIÓN Pecho 50+100 m</t>
  </si>
  <si>
    <t>Lucha greco romana</t>
  </si>
  <si>
    <t>NATACIÓNLarga distancia</t>
  </si>
  <si>
    <t>Lucha libre</t>
  </si>
  <si>
    <t>Netball</t>
  </si>
  <si>
    <t>Ninguno</t>
  </si>
  <si>
    <t>PIRAGÜISMO</t>
  </si>
  <si>
    <t>Softbol</t>
  </si>
  <si>
    <t>NATACIÓN larga distancia</t>
  </si>
  <si>
    <t>Squash</t>
  </si>
  <si>
    <t>NATACIÓN Libre 1500 m</t>
  </si>
  <si>
    <t>TIRO OLÍMPICO</t>
  </si>
  <si>
    <t>NATACIÓN Libre 200+400 m</t>
  </si>
  <si>
    <t>TRIATLÓN</t>
  </si>
  <si>
    <t>NATACIÓN Libre 50+100 m</t>
  </si>
  <si>
    <t>Voleibol</t>
  </si>
  <si>
    <t>NATACIÓNPecho 50+100 m</t>
  </si>
  <si>
    <t>REMO</t>
  </si>
  <si>
    <t>Remo categoría abierto</t>
  </si>
  <si>
    <t>Rugby Super 12 backs</t>
  </si>
  <si>
    <t>Rugby Super 12 front forwards</t>
  </si>
  <si>
    <t>Rugby Super 12 remaining forwards</t>
  </si>
  <si>
    <t>VOLEIBOL</t>
  </si>
  <si>
    <t>Posición</t>
  </si>
  <si>
    <t>Deporte/Actividad</t>
  </si>
  <si>
    <t>Fecha:</t>
  </si>
  <si>
    <t>Perfil/Dominio</t>
  </si>
  <si>
    <t xml:space="preserve">PESO (kg) </t>
  </si>
  <si>
    <t>n</t>
  </si>
  <si>
    <t>Media</t>
  </si>
  <si>
    <t>Mediana</t>
  </si>
  <si>
    <t>Desv. Est.</t>
  </si>
  <si>
    <t>Máximo</t>
  </si>
  <si>
    <t>Mínimo</t>
  </si>
  <si>
    <t>IC95%sup</t>
  </si>
  <si>
    <t>IC95%inf</t>
  </si>
  <si>
    <t>,</t>
  </si>
  <si>
    <t>TALLA (cm)</t>
  </si>
  <si>
    <t>TALLA SENTADO (cm)</t>
  </si>
  <si>
    <t>ENVERGADURA (cm)</t>
  </si>
  <si>
    <t>LONGITUD ACROMIAL-RADIAL (cm)</t>
  </si>
  <si>
    <t>LONGITUD RADIAL-ESTILOIDEA (cm)</t>
  </si>
  <si>
    <t>LONGITUD ESTILOIDEA-DACTILAR (cm)</t>
  </si>
  <si>
    <t>ALTURA ILEOESPINAL (cm)</t>
  </si>
  <si>
    <t>ALTURA TROCANTEREA (cm)</t>
  </si>
  <si>
    <t>LONGITUD TROCANTER-TIBIAL LATERAL (cm)</t>
  </si>
  <si>
    <t>ALTURA TIBIAL LATERAL (cm)</t>
  </si>
  <si>
    <t>LONGITUD TIBIAL MEDIAL-MALEOLAR MEDIAL (cm)</t>
  </si>
  <si>
    <t>LONGITUD DEL PIE (cm)</t>
  </si>
  <si>
    <t>DIÁMETRO BIACROMIAL (cm)</t>
  </si>
  <si>
    <t>DIÁMETRO TÓRAX TRANSVERSO (cm)</t>
  </si>
  <si>
    <t>DIÁMETRO TÓRAX ANTERO-POSTERIOR (cm)</t>
  </si>
  <si>
    <t>DIÁMTRO BI-ILIOCRESTÍDEO (cm)</t>
  </si>
  <si>
    <t>DIÁMETRO HUMERAL (cm)</t>
  </si>
  <si>
    <t>DIÁMETRO FEMORAL (cm)</t>
  </si>
  <si>
    <t>DIÁMETRO BI-ESTILOIDEO DE MUÑECA (cm)</t>
  </si>
  <si>
    <t>DIÁMETRO BI-MALEOLAR DE TOBILLO (cm)</t>
  </si>
  <si>
    <t>PERIMETRO DE CABEZA (cm)</t>
  </si>
  <si>
    <t>PERIMETRO DE BRAZO RELAJADO (cm)</t>
  </si>
  <si>
    <t>PERIMETRO DE BRAZO FLEXIONADO Y TENSO (cm)</t>
  </si>
  <si>
    <t>PERIMETRO DE ANTEBRAZO (cm)</t>
  </si>
  <si>
    <t>PERIMETRO DE MUÑECA (cm)</t>
  </si>
  <si>
    <t>PERIMETRO DE TÓRAX MESO-ESTERNAL (cm)</t>
  </si>
  <si>
    <t>PERIMETRO DE CINTURA MÍNIMA (cm)</t>
  </si>
  <si>
    <t>PERIMETRO DE CADERAS (cm)</t>
  </si>
  <si>
    <t>PERIMETRO DE MUSLO SUPERIOR (cm)</t>
  </si>
  <si>
    <t>PERIMETRO DE MUSLO MEDIO (cm)</t>
  </si>
  <si>
    <t>PERIMETRO DE PANTORRILLA (cm)</t>
  </si>
  <si>
    <t>PERIMETRO DE TOBILLO (cm)</t>
  </si>
  <si>
    <t>PLIEGUE TRÍCEPS (mm)</t>
  </si>
  <si>
    <t>PLIEGUE SUBESCAPULAR (cm)</t>
  </si>
  <si>
    <t>PLIEGUE SUPRAESPINAL (mm)</t>
  </si>
  <si>
    <t>PLIEGUE ABDOMINAL (mm)</t>
  </si>
  <si>
    <t>PLIEGUE MUSLO ANTERIOR (mm)</t>
  </si>
  <si>
    <t>PLIEGUE PANTORRILLA MEDIAL (mm)</t>
  </si>
  <si>
    <t>SUMATORIA DE 6 PLIEGUES (mm)</t>
  </si>
  <si>
    <t>PUNTUACIÓN Z PHANTOM ADIPOSA</t>
  </si>
  <si>
    <t>PUNTUACIÓN Z PHANTOM MUSCULAR</t>
  </si>
  <si>
    <t>PUNTUACIÓN Z PHANTOM RESIDUAL</t>
  </si>
  <si>
    <t>PUNTUACIÓN Z PHANTOM ÓSEA</t>
  </si>
  <si>
    <t>DIFERENCIA ENTRE PESO BALANZA Y PESO ESTRUCTURADO (kg)</t>
  </si>
  <si>
    <t>ERROR DE PESO ESTRUCTURADO (%)</t>
  </si>
  <si>
    <t>MASA ADIPOSA (%)</t>
  </si>
  <si>
    <t>MASA MUSCULAR (%)</t>
  </si>
  <si>
    <t>MASA RESIDUAL (%)</t>
  </si>
  <si>
    <t>MASA ÓSEA (kg)</t>
  </si>
  <si>
    <t>MASA DE LA PIEL (%)</t>
  </si>
  <si>
    <t>ÍNDICE MÚSCULO-ÓSEO</t>
  </si>
  <si>
    <t>MASA ADIPOSA (kg)</t>
  </si>
  <si>
    <t>MASA MUSCULAR (kg)</t>
  </si>
  <si>
    <t>MASA RESIDUAL (kg)</t>
  </si>
  <si>
    <t>MASA DE LA PIEL (kg)</t>
  </si>
  <si>
    <r>
      <t>ÍNDICE DE MASA CORPORAL (kg*m</t>
    </r>
    <r>
      <rPr>
        <vertAlign val="superscript"/>
        <sz val="9"/>
        <rFont val="Arial"/>
        <family val="2"/>
      </rPr>
      <t>-2</t>
    </r>
    <r>
      <rPr>
        <sz val="9"/>
        <rFont val="Arial"/>
        <family val="2"/>
      </rPr>
      <t>)</t>
    </r>
  </si>
  <si>
    <t>ÍNDICE CÓRMICO (%)</t>
  </si>
  <si>
    <t>LONGITUD DE PIERNAS (cm)</t>
  </si>
  <si>
    <t>ÍNDICE DE MADURACIÓN (años distancia de velocidad pico de crecimiento)</t>
  </si>
  <si>
    <t>8 a 15</t>
  </si>
  <si>
    <t>Control 7°</t>
  </si>
  <si>
    <t>Control 8°</t>
  </si>
  <si>
    <t>Control 9°</t>
  </si>
  <si>
    <t>Talla parada (cm)</t>
  </si>
  <si>
    <t>Sumatoria de 6 pliegues</t>
  </si>
  <si>
    <t>Somatotipo</t>
  </si>
  <si>
    <t>Control 1°</t>
  </si>
  <si>
    <t>Control 2°</t>
  </si>
  <si>
    <t>Control 3°</t>
  </si>
  <si>
    <t>Control 4°</t>
  </si>
  <si>
    <t>Control 5°</t>
  </si>
  <si>
    <t>Control 6°</t>
  </si>
  <si>
    <t>Peso Actual (Kg)</t>
  </si>
  <si>
    <t>CUNNINGHAM (1980)</t>
  </si>
  <si>
    <t>LBM</t>
  </si>
  <si>
    <t xml:space="preserve">DATOS DEL INFORME </t>
  </si>
  <si>
    <t xml:space="preserve">INDICADORES DEL INFORME </t>
  </si>
  <si>
    <t>VALOR CONSULTA 4</t>
  </si>
  <si>
    <t>Azúcar</t>
  </si>
  <si>
    <t>Ciclo menstrual</t>
  </si>
  <si>
    <t xml:space="preserve">Frecuencia </t>
  </si>
  <si>
    <t>Horario de entrenamiento</t>
  </si>
  <si>
    <t>Brazo Flexionado en Tensión (cm)</t>
  </si>
  <si>
    <t>Cumplimiento 1/10</t>
  </si>
  <si>
    <t xml:space="preserve">Observaciones: </t>
  </si>
  <si>
    <t>HORA: 3-4 pm</t>
  </si>
  <si>
    <t>HORA:7:30-8:00 pm</t>
  </si>
  <si>
    <t>Evacuaciones</t>
  </si>
  <si>
    <t>HORA: 6:30-7:00 am</t>
  </si>
  <si>
    <t>HORA: 8 am</t>
  </si>
  <si>
    <t>HORA: 1:00 pm</t>
  </si>
  <si>
    <t>Nombre y apellido</t>
  </si>
  <si>
    <t>Edad (años)</t>
  </si>
  <si>
    <t>Mediciones básicas</t>
  </si>
  <si>
    <t>Talla parado (cm)</t>
  </si>
  <si>
    <t>Talla sentado corregida (cm)</t>
  </si>
  <si>
    <t>Talla sentado (cm)</t>
  </si>
  <si>
    <t>Pliegues cutáneos (mm)</t>
  </si>
  <si>
    <t>Tríceps</t>
  </si>
  <si>
    <t>Muslo frontal</t>
  </si>
  <si>
    <t>Circunferencias (cm)</t>
  </si>
  <si>
    <t>Cabeza</t>
  </si>
  <si>
    <t>Cuello</t>
  </si>
  <si>
    <t>Antebrazo máximo</t>
  </si>
  <si>
    <t>Muñeca</t>
  </si>
  <si>
    <t>Tórax (Mesoesternal)</t>
  </si>
  <si>
    <t>Tobillo</t>
  </si>
  <si>
    <t>Diámetros óseos (mm)</t>
  </si>
  <si>
    <t>Biacromial</t>
  </si>
  <si>
    <t>Tórax transverso</t>
  </si>
  <si>
    <t>Tórax anteroposterior</t>
  </si>
  <si>
    <t>Biiliocrestídeo</t>
  </si>
  <si>
    <t>Muñeca (Biestiloidea)</t>
  </si>
  <si>
    <t>Circunferencias corregidas (mm)</t>
  </si>
  <si>
    <t>Brazo relajado corregido</t>
  </si>
  <si>
    <t>Caja torácica corregida</t>
  </si>
  <si>
    <t>Muslo máximo corregido</t>
  </si>
  <si>
    <t>Pantorrilla corregida</t>
  </si>
  <si>
    <t>Cintura corregida</t>
  </si>
  <si>
    <t>Composición corporal absoluta (5 componentes)</t>
  </si>
  <si>
    <t>Masa de la piel (Kg)</t>
  </si>
  <si>
    <t>Masa ósea total (Kg)</t>
  </si>
  <si>
    <t>Masa adiposa (Kg)</t>
  </si>
  <si>
    <t>Masa muscular (Kg)</t>
  </si>
  <si>
    <t>Masa residual (Kg)</t>
  </si>
  <si>
    <t>Peso estructurado (Kg)</t>
  </si>
  <si>
    <t>Diferencia con peso bruto (Kg)</t>
  </si>
  <si>
    <t>Diferencia con peso bruto (%)</t>
  </si>
  <si>
    <t xml:space="preserve"> </t>
  </si>
  <si>
    <t>Composición corporal porcentual (5 componentes)</t>
  </si>
  <si>
    <t>Masa de la piel (%)</t>
  </si>
  <si>
    <t>Masa ósea total (%)</t>
  </si>
  <si>
    <t>Masa adiposa (%)</t>
  </si>
  <si>
    <t>Masa muscular (%)</t>
  </si>
  <si>
    <t>Masa residual (%)</t>
  </si>
  <si>
    <t>Masa total (%)</t>
  </si>
  <si>
    <t>Composición corporal absoluta corregida (5 componentes)</t>
  </si>
  <si>
    <t>Masa total (Kg)</t>
  </si>
  <si>
    <t>Sumatoria de 6 pliegues (mm)</t>
  </si>
  <si>
    <t>Cociente muscular/óseo</t>
  </si>
  <si>
    <t>Composición corporal (2 componentes)</t>
  </si>
  <si>
    <r>
      <t>IMC (Kg/m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</si>
  <si>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índice Cintura/Cadera</t>
  </si>
  <si>
    <r>
      <t>Área grasa del brazo (cm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</si>
  <si>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Área magra del brazo (cm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</si>
  <si>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Sumatoria de 4 pliegues (mm)</t>
  </si>
  <si>
    <t>Sumatoria de 8 pliegues (mm)</t>
  </si>
  <si>
    <t>% Grasa (Durnin y W., 1974)</t>
  </si>
  <si>
    <t>Porcentaje a utilizar</t>
  </si>
  <si>
    <t>Masa magra (Kg)</t>
  </si>
  <si>
    <t>Masa grasa (Kg)</t>
  </si>
  <si>
    <t>% Grasa objetivo mínimo</t>
  </si>
  <si>
    <t>% Grasa objetivo máximo</t>
  </si>
  <si>
    <t>Peso objetivo mínimo (Kg)</t>
  </si>
  <si>
    <t>Peso objetivo máximo (Kg)</t>
  </si>
  <si>
    <t>Pérdida de grasa objetivo (Kg)</t>
  </si>
  <si>
    <t>Índice de sustancia activa (AKS)</t>
  </si>
  <si>
    <t>DATOS BÁSICOS</t>
  </si>
  <si>
    <t>Estatura (cm)</t>
  </si>
  <si>
    <t>Peso (Kg)</t>
  </si>
  <si>
    <t>Altura/peso^1/3:</t>
  </si>
  <si>
    <t>PLIEGUES (mm)</t>
  </si>
  <si>
    <t>Pantorrilla media</t>
  </si>
  <si>
    <t>Bíceps flexionado</t>
  </si>
  <si>
    <t>Pantorrilla máxima</t>
  </si>
  <si>
    <t>DIÁMETROS (mm)</t>
  </si>
  <si>
    <t>HUMERO-biepicondylar</t>
  </si>
  <si>
    <t>FEMUR-biepicondylar</t>
  </si>
  <si>
    <t>SUMATORIAS</t>
  </si>
  <si>
    <t>Sum 3 skinfolds</t>
  </si>
  <si>
    <t>Sum 3 (ht-corrected)</t>
  </si>
  <si>
    <t>Sum 3 squared</t>
  </si>
  <si>
    <t>Sum 3 cubed</t>
  </si>
  <si>
    <t>OTROS</t>
  </si>
  <si>
    <t>Corrected Biceps G</t>
  </si>
  <si>
    <t>Corrected Calf G</t>
  </si>
  <si>
    <t>VALORACIÓN DEL SOMATOTIPO (decimal)</t>
  </si>
  <si>
    <t>ENDOMORFIA</t>
  </si>
  <si>
    <t>MESOMORFIA</t>
  </si>
  <si>
    <t>ECTOMORFIA</t>
  </si>
  <si>
    <t>Mesomorfo</t>
  </si>
  <si>
    <t>IF HWR&lt;40.75&amp;&gt;38.25, then Ectomorphy = 0.463*HWR-17.63</t>
  </si>
  <si>
    <t>If HWR=&lt;38.25, then Ectomorphy = 0.1(or recorded as 1/2)</t>
  </si>
  <si>
    <t>X,Y coordinates:</t>
  </si>
  <si>
    <t>X-coordinate:</t>
  </si>
  <si>
    <t>Y-coordinate:</t>
  </si>
  <si>
    <t>% Grasa (Carter, 1986) Mujeres</t>
  </si>
  <si>
    <t>Edad Mínima (Col H)</t>
  </si>
  <si>
    <t>Constante c (Col I)</t>
  </si>
  <si>
    <t>Constante m (Col J)</t>
  </si>
  <si>
    <t>Interpretación</t>
  </si>
  <si>
    <t>Edad Mín.</t>
  </si>
  <si>
    <t>Excelente</t>
  </si>
  <si>
    <t>Promedio/Saludable</t>
  </si>
  <si>
    <t>Sobrepeso</t>
  </si>
  <si>
    <t>Obesidad</t>
  </si>
  <si>
    <t>&lt; 21%</t>
  </si>
  <si>
    <t>21% - 33%</t>
  </si>
  <si>
    <t>33% - 39%</t>
  </si>
  <si>
    <t>&gt; 39%</t>
  </si>
  <si>
    <t>&lt; 23%</t>
  </si>
  <si>
    <t>23% - 34%</t>
  </si>
  <si>
    <t>34% - 40%</t>
  </si>
  <si>
    <t>&gt; 40%</t>
  </si>
  <si>
    <t>&lt; 24%</t>
  </si>
  <si>
    <t>24% - 36%</t>
  </si>
  <si>
    <t>36% - 42%</t>
  </si>
  <si>
    <t>&gt; 42%</t>
  </si>
  <si>
    <t>Nivel de actividad en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</si>
</sst>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([$€-2]\ * #,##0.00_);_([$€-2]\ * \(#,##0.00\);_([$€-2]\ * &quot;-&quot;??_)"/>
    <numFmt numFmtId="166" formatCode="0.000"/>
    <numFmt numFmtId="167" formatCode="0.0%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Gill Sans MT"/>
      <family val="2"/>
    </font>
    <font>
      <b/>
      <i/>
      <sz val="10"/>
      <name val="Gill Sans MT"/>
      <family val="2"/>
    </font>
    <font>
      <b/>
      <vertAlign val="superscript"/>
      <sz val="10"/>
      <name val="Gill Sans MT"/>
      <family val="2"/>
    </font>
    <font>
      <sz val="9"/>
      <name val="Gill Sans MT"/>
      <family val="2"/>
    </font>
    <font>
      <b/>
      <sz val="12"/>
      <color theme="1"/>
      <name val="Gill Sans MT"/>
      <family val="2"/>
    </font>
    <font>
      <sz val="11"/>
      <name val="Gill Sans MT"/>
      <family val="2"/>
    </font>
    <font>
      <b/>
      <i/>
      <sz val="11"/>
      <name val="Gill Sans MT"/>
      <family val="2"/>
    </font>
    <font>
      <b/>
      <sz val="11"/>
      <color theme="0"/>
      <name val="Gill Sans MT"/>
      <family val="2"/>
    </font>
    <font>
      <b/>
      <sz val="11"/>
      <color theme="1"/>
      <name val="Gill Sans MT"/>
      <family val="2"/>
    </font>
    <font>
      <sz val="11"/>
      <color theme="1"/>
      <name val="Gill Sans MT"/>
      <family val="2"/>
    </font>
    <font>
      <vertAlign val="superscript"/>
      <sz val="11"/>
      <color theme="1"/>
      <name val="Gill Sans MT"/>
      <family val="2"/>
    </font>
    <font>
      <b/>
      <sz val="11"/>
      <name val="Gill Sans MT"/>
      <family val="2"/>
    </font>
    <font>
      <u/>
      <sz val="11"/>
      <color theme="10"/>
      <name val="Calibri"/>
      <family val="2"/>
      <scheme val="minor"/>
    </font>
    <font>
      <b/>
      <i/>
      <sz val="11"/>
      <color theme="0"/>
      <name val="Gill Sans MT"/>
      <family val="2"/>
    </font>
    <font>
      <sz val="10"/>
      <name val="Gill Sans MT"/>
      <family val="2"/>
    </font>
    <font>
      <b/>
      <sz val="9"/>
      <name val="Gill Sans MT"/>
      <family val="2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b/>
      <sz val="12"/>
      <name val="Gill Sans MT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Gill Sans MT"/>
      <family val="2"/>
    </font>
    <font>
      <sz val="22"/>
      <color theme="0"/>
      <name val="Arial Black"/>
      <family val="2"/>
    </font>
    <font>
      <b/>
      <sz val="10"/>
      <color theme="0"/>
      <name val="Gill Sans MT"/>
      <family val="2"/>
    </font>
    <font>
      <sz val="9"/>
      <color theme="0"/>
      <name val="Gill Sans MT"/>
      <family val="2"/>
    </font>
    <font>
      <sz val="14"/>
      <color theme="0"/>
      <name val="Gill Sans MT"/>
      <family val="2"/>
    </font>
    <font>
      <sz val="10"/>
      <name val="Garamond"/>
      <family val="1"/>
    </font>
    <font>
      <b/>
      <sz val="10"/>
      <name val="Garamond"/>
      <family val="1"/>
    </font>
    <font>
      <sz val="14"/>
      <name val="Gill Sans MT"/>
      <family val="2"/>
    </font>
    <font>
      <b/>
      <sz val="12"/>
      <color theme="0"/>
      <name val="Gill Sans MT"/>
      <family val="2"/>
    </font>
    <font>
      <b/>
      <sz val="9"/>
      <color theme="1"/>
      <name val="Gill Sans MT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vertAlign val="superscript"/>
      <sz val="9"/>
      <name val="Arial"/>
      <family val="2"/>
    </font>
    <font>
      <b/>
      <sz val="22"/>
      <name val="Arial Black"/>
      <family val="2"/>
    </font>
    <font>
      <sz val="24"/>
      <name val="Arial Black"/>
      <family val="2"/>
    </font>
    <font>
      <b/>
      <sz val="22"/>
      <name val="Arial Rounded MT Bold"/>
      <family val="2"/>
    </font>
    <font>
      <b/>
      <sz val="11"/>
      <name val="Arial"/>
      <family val="2"/>
    </font>
    <font>
      <b/>
      <sz val="20"/>
      <color theme="0"/>
      <name val="Calibri"/>
      <family val="2"/>
      <scheme val="minor"/>
    </font>
    <font>
      <b/>
      <i/>
      <sz val="10"/>
      <color theme="0"/>
      <name val="Gill Sans MT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vertAlign val="superscript"/>
      <sz val="10"/>
      <color theme="1"/>
      <name val="Arial"/>
      <family val="2"/>
    </font>
    <font>
      <sz val="11"/>
      <color rgb="FF1F1F1F"/>
      <name val="Arial"/>
      <family val="2"/>
    </font>
    <font>
      <b/>
      <sz val="8"/>
      <color rgb="FF1F1F1F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2D2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3438D"/>
        <bgColor indexed="64"/>
      </patternFill>
    </fill>
    <fill>
      <patternFill patternType="solid">
        <fgColor theme="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3D4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347"/>
        <bgColor indexed="64"/>
      </patternFill>
    </fill>
    <fill>
      <patternFill patternType="solid">
        <fgColor rgb="FF93FF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3FF8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57D3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BFF"/>
        <bgColor indexed="64"/>
      </patternFill>
    </fill>
  </fills>
  <borders count="1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theme="5" tint="0.39997558519241921"/>
      </bottom>
      <diagonal/>
    </border>
    <border>
      <left style="medium">
        <color theme="5" tint="0.39997558519241921"/>
      </left>
      <right/>
      <top/>
      <bottom/>
      <diagonal/>
    </border>
    <border>
      <left style="medium">
        <color theme="5" tint="0.39997558519241921"/>
      </left>
      <right style="medium">
        <color indexed="64"/>
      </right>
      <top style="medium">
        <color theme="5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5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theme="5" tint="0.39997558519241921"/>
      </right>
      <top style="medium">
        <color theme="5" tint="0.39997558519241921"/>
      </top>
      <bottom style="medium">
        <color indexed="64"/>
      </bottom>
      <diagonal/>
    </border>
    <border>
      <left style="medium">
        <color theme="5" tint="0.39997558519241921"/>
      </left>
      <right style="medium">
        <color indexed="64"/>
      </right>
      <top style="medium">
        <color indexed="64"/>
      </top>
      <bottom style="medium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5" tint="0.39997558519241921"/>
      </bottom>
      <diagonal/>
    </border>
    <border>
      <left style="medium">
        <color indexed="64"/>
      </left>
      <right style="medium">
        <color theme="5" tint="0.39997558519241921"/>
      </right>
      <top style="medium">
        <color indexed="64"/>
      </top>
      <bottom style="medium">
        <color theme="5" tint="0.39997558519241921"/>
      </bottom>
      <diagonal/>
    </border>
    <border>
      <left style="medium">
        <color theme="5" tint="0.39997558519241921"/>
      </left>
      <right style="medium">
        <color indexed="64"/>
      </right>
      <top style="medium">
        <color indexed="64"/>
      </top>
      <bottom/>
      <diagonal/>
    </border>
    <border>
      <left style="medium">
        <color theme="5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5" tint="0.39997558519241921"/>
      </right>
      <top style="medium">
        <color indexed="64"/>
      </top>
      <bottom/>
      <diagonal/>
    </border>
    <border>
      <left/>
      <right style="medium">
        <color theme="5" tint="0.39997558519241921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7" fillId="14" borderId="0" applyNumberFormat="0" applyBorder="0" applyAlignment="0" applyProtection="0"/>
    <xf numFmtId="0" fontId="16" fillId="0" borderId="0"/>
    <xf numFmtId="0" fontId="17" fillId="0" borderId="0">
      <protection locked="0"/>
    </xf>
    <xf numFmtId="0" fontId="30" fillId="0" borderId="0" applyNumberFormat="0" applyFill="0" applyBorder="0" applyAlignment="0" applyProtection="0"/>
    <xf numFmtId="9" fontId="51" fillId="0" borderId="0" applyFont="0" applyFill="0" applyBorder="0" applyAlignment="0" applyProtection="0"/>
    <xf numFmtId="43" fontId="51" fillId="0" borderId="0" applyFont="0" applyFill="0" applyBorder="0" applyAlignment="0" applyProtection="0"/>
  </cellStyleXfs>
  <cellXfs count="952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164" fontId="1" fillId="0" borderId="2" xfId="0" applyNumberFormat="1" applyFont="1" applyBorder="1"/>
    <xf numFmtId="14" fontId="1" fillId="0" borderId="2" xfId="0" applyNumberFormat="1" applyFont="1" applyBorder="1"/>
    <xf numFmtId="14" fontId="1" fillId="0" borderId="1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12" borderId="0" xfId="0" applyFont="1" applyFill="1"/>
    <xf numFmtId="0" fontId="0" fillId="12" borderId="0" xfId="0" applyFill="1"/>
    <xf numFmtId="0" fontId="0" fillId="12" borderId="23" xfId="0" applyFill="1" applyBorder="1"/>
    <xf numFmtId="0" fontId="0" fillId="12" borderId="28" xfId="0" applyFill="1" applyBorder="1"/>
    <xf numFmtId="0" fontId="0" fillId="0" borderId="22" xfId="0" applyBorder="1"/>
    <xf numFmtId="0" fontId="0" fillId="0" borderId="13" xfId="0" applyBorder="1"/>
    <xf numFmtId="0" fontId="2" fillId="2" borderId="3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9" borderId="13" xfId="0" applyFont="1" applyFill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9" borderId="3" xfId="0" applyFont="1" applyFill="1" applyBorder="1" applyAlignment="1">
      <alignment horizontal="center" wrapText="1"/>
    </xf>
    <xf numFmtId="164" fontId="1" fillId="0" borderId="40" xfId="0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30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1" fontId="1" fillId="0" borderId="38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6" fillId="12" borderId="0" xfId="0" applyFont="1" applyFill="1"/>
    <xf numFmtId="0" fontId="5" fillId="12" borderId="0" xfId="0" applyFont="1" applyFill="1"/>
    <xf numFmtId="0" fontId="2" fillId="7" borderId="23" xfId="0" applyFont="1" applyFill="1" applyBorder="1"/>
    <xf numFmtId="0" fontId="2" fillId="7" borderId="13" xfId="0" applyFont="1" applyFill="1" applyBorder="1"/>
    <xf numFmtId="0" fontId="2" fillId="7" borderId="20" xfId="0" applyFont="1" applyFill="1" applyBorder="1"/>
    <xf numFmtId="0" fontId="2" fillId="7" borderId="18" xfId="0" applyFont="1" applyFill="1" applyBorder="1"/>
    <xf numFmtId="0" fontId="0" fillId="12" borderId="22" xfId="0" applyFill="1" applyBorder="1"/>
    <xf numFmtId="0" fontId="8" fillId="12" borderId="0" xfId="0" applyFont="1" applyFill="1"/>
    <xf numFmtId="0" fontId="8" fillId="12" borderId="63" xfId="0" applyFont="1" applyFill="1" applyBorder="1"/>
    <xf numFmtId="0" fontId="8" fillId="12" borderId="66" xfId="0" applyFont="1" applyFill="1" applyBorder="1"/>
    <xf numFmtId="0" fontId="0" fillId="12" borderId="65" xfId="0" applyFill="1" applyBorder="1"/>
    <xf numFmtId="0" fontId="0" fillId="12" borderId="63" xfId="0" applyFill="1" applyBorder="1"/>
    <xf numFmtId="0" fontId="0" fillId="12" borderId="64" xfId="0" applyFill="1" applyBorder="1"/>
    <xf numFmtId="0" fontId="9" fillId="12" borderId="0" xfId="0" applyFont="1" applyFill="1"/>
    <xf numFmtId="0" fontId="8" fillId="12" borderId="62" xfId="0" applyFont="1" applyFill="1" applyBorder="1"/>
    <xf numFmtId="0" fontId="8" fillId="12" borderId="0" xfId="0" applyFont="1" applyFill="1" applyAlignment="1">
      <alignment horizontal="center"/>
    </xf>
    <xf numFmtId="0" fontId="8" fillId="12" borderId="58" xfId="0" applyFont="1" applyFill="1" applyBorder="1" applyAlignment="1">
      <alignment horizontal="center"/>
    </xf>
    <xf numFmtId="0" fontId="8" fillId="12" borderId="68" xfId="0" applyFont="1" applyFill="1" applyBorder="1" applyAlignment="1">
      <alignment horizontal="center"/>
    </xf>
    <xf numFmtId="0" fontId="8" fillId="12" borderId="70" xfId="0" applyFont="1" applyFill="1" applyBorder="1" applyAlignment="1">
      <alignment horizontal="center"/>
    </xf>
    <xf numFmtId="0" fontId="8" fillId="12" borderId="60" xfId="0" applyFont="1" applyFill="1" applyBorder="1"/>
    <xf numFmtId="0" fontId="8" fillId="12" borderId="64" xfId="0" applyFont="1" applyFill="1" applyBorder="1"/>
    <xf numFmtId="0" fontId="8" fillId="12" borderId="65" xfId="0" applyFont="1" applyFill="1" applyBorder="1"/>
    <xf numFmtId="0" fontId="8" fillId="12" borderId="67" xfId="0" applyFont="1" applyFill="1" applyBorder="1"/>
    <xf numFmtId="164" fontId="8" fillId="12" borderId="58" xfId="0" applyNumberFormat="1" applyFont="1" applyFill="1" applyBorder="1"/>
    <xf numFmtId="0" fontId="8" fillId="12" borderId="58" xfId="0" applyFont="1" applyFill="1" applyBorder="1"/>
    <xf numFmtId="0" fontId="9" fillId="12" borderId="58" xfId="0" applyFont="1" applyFill="1" applyBorder="1" applyAlignment="1">
      <alignment horizontal="center"/>
    </xf>
    <xf numFmtId="49" fontId="8" fillId="12" borderId="58" xfId="0" applyNumberFormat="1" applyFont="1" applyFill="1" applyBorder="1" applyAlignment="1">
      <alignment horizontal="center"/>
    </xf>
    <xf numFmtId="0" fontId="13" fillId="12" borderId="58" xfId="0" applyFont="1" applyFill="1" applyBorder="1" applyAlignment="1">
      <alignment horizontal="center"/>
    </xf>
    <xf numFmtId="0" fontId="0" fillId="12" borderId="60" xfId="0" applyFill="1" applyBorder="1"/>
    <xf numFmtId="0" fontId="8" fillId="12" borderId="65" xfId="0" applyFont="1" applyFill="1" applyBorder="1" applyAlignment="1">
      <alignment vertical="top" wrapText="1"/>
    </xf>
    <xf numFmtId="0" fontId="0" fillId="12" borderId="61" xfId="0" applyFill="1" applyBorder="1"/>
    <xf numFmtId="0" fontId="0" fillId="12" borderId="62" xfId="0" applyFill="1" applyBorder="1"/>
    <xf numFmtId="0" fontId="9" fillId="12" borderId="59" xfId="0" applyFont="1" applyFill="1" applyBorder="1" applyAlignment="1">
      <alignment horizontal="center"/>
    </xf>
    <xf numFmtId="0" fontId="9" fillId="16" borderId="58" xfId="0" applyFont="1" applyFill="1" applyBorder="1" applyAlignment="1">
      <alignment horizontal="center"/>
    </xf>
    <xf numFmtId="0" fontId="0" fillId="12" borderId="68" xfId="0" applyFill="1" applyBorder="1"/>
    <xf numFmtId="0" fontId="0" fillId="12" borderId="20" xfId="0" applyFill="1" applyBorder="1"/>
    <xf numFmtId="0" fontId="19" fillId="23" borderId="1" xfId="2" applyFont="1" applyFill="1" applyBorder="1" applyAlignment="1">
      <alignment horizontal="center" vertical="center"/>
    </xf>
    <xf numFmtId="0" fontId="18" fillId="24" borderId="1" xfId="2" applyFont="1" applyFill="1" applyBorder="1" applyAlignment="1">
      <alignment horizontal="center" vertical="center"/>
    </xf>
    <xf numFmtId="165" fontId="18" fillId="25" borderId="1" xfId="3" applyNumberFormat="1" applyFont="1" applyFill="1" applyBorder="1" applyAlignment="1" applyProtection="1">
      <alignment horizontal="center" vertical="center"/>
    </xf>
    <xf numFmtId="165" fontId="18" fillId="24" borderId="1" xfId="3" applyNumberFormat="1" applyFont="1" applyFill="1" applyBorder="1" applyAlignment="1" applyProtection="1">
      <alignment horizontal="center" vertical="center"/>
    </xf>
    <xf numFmtId="0" fontId="18" fillId="21" borderId="1" xfId="2" applyFont="1" applyFill="1" applyBorder="1" applyAlignment="1">
      <alignment horizontal="center" vertical="center"/>
    </xf>
    <xf numFmtId="164" fontId="21" fillId="0" borderId="1" xfId="2" applyNumberFormat="1" applyFont="1" applyBorder="1" applyAlignment="1">
      <alignment horizontal="center" vertical="center"/>
    </xf>
    <xf numFmtId="166" fontId="21" fillId="0" borderId="1" xfId="2" applyNumberFormat="1" applyFont="1" applyBorder="1" applyAlignment="1">
      <alignment horizontal="center" vertical="center"/>
    </xf>
    <xf numFmtId="2" fontId="21" fillId="25" borderId="1" xfId="2" applyNumberFormat="1" applyFont="1" applyFill="1" applyBorder="1" applyAlignment="1">
      <alignment horizontal="center" vertical="center"/>
    </xf>
    <xf numFmtId="164" fontId="21" fillId="22" borderId="1" xfId="2" applyNumberFormat="1" applyFont="1" applyFill="1" applyBorder="1" applyAlignment="1">
      <alignment horizontal="center" vertical="center"/>
    </xf>
    <xf numFmtId="2" fontId="21" fillId="22" borderId="1" xfId="2" applyNumberFormat="1" applyFont="1" applyFill="1" applyBorder="1" applyAlignment="1">
      <alignment horizontal="center" vertical="center"/>
    </xf>
    <xf numFmtId="2" fontId="21" fillId="21" borderId="1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27" fillId="12" borderId="0" xfId="0" applyFont="1" applyFill="1"/>
    <xf numFmtId="0" fontId="27" fillId="0" borderId="16" xfId="0" applyFont="1" applyBorder="1" applyAlignment="1">
      <alignment horizontal="center" vertical="center" wrapText="1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7" fillId="0" borderId="25" xfId="0" applyFont="1" applyBorder="1"/>
    <xf numFmtId="0" fontId="27" fillId="0" borderId="72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27" fillId="0" borderId="4" xfId="0" applyFont="1" applyBorder="1"/>
    <xf numFmtId="0" fontId="27" fillId="0" borderId="71" xfId="0" applyFont="1" applyBorder="1" applyAlignment="1">
      <alignment horizontal="left" vertical="center" wrapText="1"/>
    </xf>
    <xf numFmtId="0" fontId="27" fillId="0" borderId="71" xfId="0" applyFont="1" applyBorder="1" applyAlignment="1">
      <alignment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47" xfId="0" applyFont="1" applyBorder="1" applyAlignment="1" applyProtection="1">
      <alignment horizontal="center" vertical="center" wrapText="1"/>
      <protection locked="0"/>
    </xf>
    <xf numFmtId="0" fontId="27" fillId="0" borderId="49" xfId="0" applyFont="1" applyBorder="1"/>
    <xf numFmtId="0" fontId="27" fillId="12" borderId="73" xfId="0" applyFont="1" applyFill="1" applyBorder="1"/>
    <xf numFmtId="0" fontId="27" fillId="12" borderId="1" xfId="0" applyFont="1" applyFill="1" applyBorder="1"/>
    <xf numFmtId="0" fontId="27" fillId="12" borderId="74" xfId="0" applyFont="1" applyFill="1" applyBorder="1"/>
    <xf numFmtId="0" fontId="26" fillId="27" borderId="13" xfId="0" applyFont="1" applyFill="1" applyBorder="1" applyAlignment="1">
      <alignment horizontal="left" vertical="center" wrapText="1"/>
    </xf>
    <xf numFmtId="0" fontId="26" fillId="27" borderId="3" xfId="0" applyFont="1" applyFill="1" applyBorder="1" applyAlignment="1">
      <alignment horizontal="left" vertical="center" wrapText="1"/>
    </xf>
    <xf numFmtId="0" fontId="29" fillId="27" borderId="3" xfId="0" applyFont="1" applyFill="1" applyBorder="1" applyAlignment="1">
      <alignment horizontal="left" vertical="center" wrapText="1"/>
    </xf>
    <xf numFmtId="0" fontId="27" fillId="27" borderId="0" xfId="0" applyFont="1" applyFill="1"/>
    <xf numFmtId="0" fontId="26" fillId="27" borderId="27" xfId="0" applyFont="1" applyFill="1" applyBorder="1"/>
    <xf numFmtId="0" fontId="26" fillId="27" borderId="75" xfId="0" applyFont="1" applyFill="1" applyBorder="1"/>
    <xf numFmtId="0" fontId="27" fillId="0" borderId="1" xfId="0" applyFont="1" applyBorder="1" applyAlignment="1">
      <alignment horizontal="center"/>
    </xf>
    <xf numFmtId="1" fontId="27" fillId="12" borderId="3" xfId="0" applyNumberFormat="1" applyFont="1" applyFill="1" applyBorder="1" applyAlignment="1">
      <alignment horizontal="center"/>
    </xf>
    <xf numFmtId="1" fontId="27" fillId="12" borderId="7" xfId="0" applyNumberFormat="1" applyFont="1" applyFill="1" applyBorder="1" applyAlignment="1">
      <alignment horizontal="center"/>
    </xf>
    <xf numFmtId="0" fontId="26" fillId="12" borderId="0" xfId="0" applyFont="1" applyFill="1" applyAlignment="1">
      <alignment horizontal="center"/>
    </xf>
    <xf numFmtId="1" fontId="27" fillId="12" borderId="0" xfId="0" applyNumberFormat="1" applyFont="1" applyFill="1" applyAlignment="1">
      <alignment horizontal="center"/>
    </xf>
    <xf numFmtId="0" fontId="26" fillId="12" borderId="0" xfId="0" applyFont="1" applyFill="1" applyAlignment="1">
      <alignment horizontal="center" wrapText="1"/>
    </xf>
    <xf numFmtId="0" fontId="26" fillId="12" borderId="1" xfId="0" applyFont="1" applyFill="1" applyBorder="1" applyAlignment="1">
      <alignment horizontal="center"/>
    </xf>
    <xf numFmtId="0" fontId="26" fillId="12" borderId="2" xfId="0" applyFont="1" applyFill="1" applyBorder="1" applyAlignment="1">
      <alignment horizontal="center"/>
    </xf>
    <xf numFmtId="1" fontId="27" fillId="12" borderId="2" xfId="0" applyNumberFormat="1" applyFont="1" applyFill="1" applyBorder="1" applyAlignment="1">
      <alignment horizontal="center"/>
    </xf>
    <xf numFmtId="1" fontId="27" fillId="12" borderId="1" xfId="0" applyNumberFormat="1" applyFont="1" applyFill="1" applyBorder="1" applyAlignment="1">
      <alignment horizontal="center"/>
    </xf>
    <xf numFmtId="0" fontId="25" fillId="12" borderId="0" xfId="0" applyFont="1" applyFill="1"/>
    <xf numFmtId="0" fontId="27" fillId="12" borderId="3" xfId="0" applyFont="1" applyFill="1" applyBorder="1"/>
    <xf numFmtId="0" fontId="27" fillId="12" borderId="16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/>
    </xf>
    <xf numFmtId="0" fontId="27" fillId="12" borderId="16" xfId="0" applyFont="1" applyFill="1" applyBorder="1"/>
    <xf numFmtId="0" fontId="27" fillId="12" borderId="30" xfId="0" applyFont="1" applyFill="1" applyBorder="1" applyAlignment="1">
      <alignment horizontal="center"/>
    </xf>
    <xf numFmtId="0" fontId="27" fillId="12" borderId="40" xfId="0" applyFont="1" applyFill="1" applyBorder="1"/>
    <xf numFmtId="0" fontId="27" fillId="12" borderId="30" xfId="0" applyFont="1" applyFill="1" applyBorder="1"/>
    <xf numFmtId="0" fontId="27" fillId="0" borderId="0" xfId="0" applyFont="1"/>
    <xf numFmtId="0" fontId="27" fillId="12" borderId="86" xfId="0" applyFont="1" applyFill="1" applyBorder="1" applyAlignment="1">
      <alignment horizontal="center"/>
    </xf>
    <xf numFmtId="0" fontId="27" fillId="12" borderId="87" xfId="0" applyFont="1" applyFill="1" applyBorder="1" applyAlignment="1">
      <alignment horizontal="center"/>
    </xf>
    <xf numFmtId="0" fontId="27" fillId="12" borderId="40" xfId="0" applyFont="1" applyFill="1" applyBorder="1" applyAlignment="1">
      <alignment horizontal="center"/>
    </xf>
    <xf numFmtId="2" fontId="27" fillId="12" borderId="2" xfId="0" applyNumberFormat="1" applyFont="1" applyFill="1" applyBorder="1" applyAlignment="1">
      <alignment horizontal="center"/>
    </xf>
    <xf numFmtId="1" fontId="27" fillId="12" borderId="16" xfId="0" applyNumberFormat="1" applyFont="1" applyFill="1" applyBorder="1" applyAlignment="1">
      <alignment horizontal="center"/>
    </xf>
    <xf numFmtId="164" fontId="27" fillId="12" borderId="25" xfId="0" applyNumberFormat="1" applyFont="1" applyFill="1" applyBorder="1" applyAlignment="1">
      <alignment horizontal="center"/>
    </xf>
    <xf numFmtId="2" fontId="27" fillId="12" borderId="1" xfId="0" applyNumberFormat="1" applyFont="1" applyFill="1" applyBorder="1" applyAlignment="1">
      <alignment horizontal="center"/>
    </xf>
    <xf numFmtId="164" fontId="27" fillId="12" borderId="1" xfId="0" applyNumberFormat="1" applyFont="1" applyFill="1" applyBorder="1" applyAlignment="1">
      <alignment horizontal="center"/>
    </xf>
    <xf numFmtId="164" fontId="27" fillId="12" borderId="6" xfId="0" applyNumberFormat="1" applyFont="1" applyFill="1" applyBorder="1" applyAlignment="1">
      <alignment horizontal="center"/>
    </xf>
    <xf numFmtId="0" fontId="27" fillId="12" borderId="71" xfId="0" applyFont="1" applyFill="1" applyBorder="1" applyAlignment="1">
      <alignment horizontal="center"/>
    </xf>
    <xf numFmtId="0" fontId="27" fillId="12" borderId="65" xfId="0" applyFont="1" applyFill="1" applyBorder="1" applyAlignment="1">
      <alignment horizontal="center"/>
    </xf>
    <xf numFmtId="0" fontId="27" fillId="12" borderId="84" xfId="0" applyFont="1" applyFill="1" applyBorder="1" applyAlignment="1">
      <alignment horizontal="center"/>
    </xf>
    <xf numFmtId="0" fontId="27" fillId="12" borderId="2" xfId="0" applyFont="1" applyFill="1" applyBorder="1"/>
    <xf numFmtId="0" fontId="27" fillId="12" borderId="25" xfId="0" applyFont="1" applyFill="1" applyBorder="1"/>
    <xf numFmtId="0" fontId="27" fillId="12" borderId="28" xfId="0" applyFont="1" applyFill="1" applyBorder="1"/>
    <xf numFmtId="0" fontId="27" fillId="12" borderId="45" xfId="0" applyFont="1" applyFill="1" applyBorder="1"/>
    <xf numFmtId="0" fontId="27" fillId="12" borderId="14" xfId="0" applyFont="1" applyFill="1" applyBorder="1"/>
    <xf numFmtId="0" fontId="27" fillId="12" borderId="6" xfId="0" applyFont="1" applyFill="1" applyBorder="1"/>
    <xf numFmtId="0" fontId="27" fillId="12" borderId="46" xfId="0" applyFont="1" applyFill="1" applyBorder="1"/>
    <xf numFmtId="164" fontId="27" fillId="12" borderId="39" xfId="0" applyNumberFormat="1" applyFont="1" applyFill="1" applyBorder="1" applyAlignment="1">
      <alignment horizontal="center"/>
    </xf>
    <xf numFmtId="0" fontId="26" fillId="10" borderId="3" xfId="0" applyFont="1" applyFill="1" applyBorder="1" applyAlignment="1">
      <alignment horizontal="center" wrapText="1"/>
    </xf>
    <xf numFmtId="0" fontId="26" fillId="10" borderId="58" xfId="0" applyFont="1" applyFill="1" applyBorder="1"/>
    <xf numFmtId="0" fontId="26" fillId="2" borderId="3" xfId="0" applyFont="1" applyFill="1" applyBorder="1"/>
    <xf numFmtId="0" fontId="27" fillId="2" borderId="3" xfId="0" applyFont="1" applyFill="1" applyBorder="1"/>
    <xf numFmtId="0" fontId="26" fillId="31" borderId="3" xfId="0" applyFont="1" applyFill="1" applyBorder="1"/>
    <xf numFmtId="164" fontId="27" fillId="31" borderId="38" xfId="0" applyNumberFormat="1" applyFont="1" applyFill="1" applyBorder="1"/>
    <xf numFmtId="0" fontId="27" fillId="31" borderId="1" xfId="0" applyFont="1" applyFill="1" applyBorder="1"/>
    <xf numFmtId="0" fontId="27" fillId="31" borderId="45" xfId="0" applyFont="1" applyFill="1" applyBorder="1"/>
    <xf numFmtId="0" fontId="27" fillId="31" borderId="3" xfId="0" applyFont="1" applyFill="1" applyBorder="1"/>
    <xf numFmtId="164" fontId="26" fillId="31" borderId="3" xfId="0" applyNumberFormat="1" applyFont="1" applyFill="1" applyBorder="1"/>
    <xf numFmtId="0" fontId="26" fillId="5" borderId="3" xfId="0" applyFont="1" applyFill="1" applyBorder="1"/>
    <xf numFmtId="0" fontId="27" fillId="5" borderId="3" xfId="0" applyFont="1" applyFill="1" applyBorder="1"/>
    <xf numFmtId="164" fontId="26" fillId="5" borderId="3" xfId="0" applyNumberFormat="1" applyFont="1" applyFill="1" applyBorder="1"/>
    <xf numFmtId="164" fontId="21" fillId="32" borderId="1" xfId="2" applyNumberFormat="1" applyFont="1" applyFill="1" applyBorder="1" applyAlignment="1">
      <alignment horizontal="center" vertical="center"/>
    </xf>
    <xf numFmtId="0" fontId="19" fillId="34" borderId="1" xfId="2" applyFont="1" applyFill="1" applyBorder="1" applyAlignment="1">
      <alignment horizontal="center" vertical="center"/>
    </xf>
    <xf numFmtId="0" fontId="27" fillId="34" borderId="0" xfId="0" applyFont="1" applyFill="1"/>
    <xf numFmtId="0" fontId="26" fillId="10" borderId="3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26" fillId="10" borderId="68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0" fontId="26" fillId="10" borderId="23" xfId="0" applyFont="1" applyFill="1" applyBorder="1" applyAlignment="1">
      <alignment horizontal="center"/>
    </xf>
    <xf numFmtId="0" fontId="27" fillId="12" borderId="0" xfId="0" applyFont="1" applyFill="1" applyAlignment="1">
      <alignment horizontal="center"/>
    </xf>
    <xf numFmtId="0" fontId="27" fillId="12" borderId="3" xfId="0" applyFont="1" applyFill="1" applyBorder="1" applyAlignment="1">
      <alignment horizontal="center"/>
    </xf>
    <xf numFmtId="0" fontId="25" fillId="30" borderId="3" xfId="0" applyFont="1" applyFill="1" applyBorder="1" applyAlignment="1">
      <alignment horizontal="center"/>
    </xf>
    <xf numFmtId="0" fontId="25" fillId="30" borderId="12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1" fillId="22" borderId="0" xfId="2" applyFont="1" applyFill="1" applyAlignment="1">
      <alignment horizontal="center" vertical="center"/>
    </xf>
    <xf numFmtId="0" fontId="22" fillId="12" borderId="0" xfId="2" applyFont="1" applyFill="1" applyAlignment="1">
      <alignment vertical="center"/>
    </xf>
    <xf numFmtId="0" fontId="23" fillId="12" borderId="0" xfId="2" applyFont="1" applyFill="1" applyAlignment="1">
      <alignment horizontal="left" vertical="center"/>
    </xf>
    <xf numFmtId="0" fontId="18" fillId="24" borderId="6" xfId="2" applyFont="1" applyFill="1" applyBorder="1" applyAlignment="1">
      <alignment horizontal="center" vertical="center"/>
    </xf>
    <xf numFmtId="0" fontId="29" fillId="35" borderId="58" xfId="2" applyFont="1" applyFill="1" applyBorder="1" applyAlignment="1">
      <alignment horizontal="center" vertical="center"/>
    </xf>
    <xf numFmtId="17" fontId="0" fillId="35" borderId="58" xfId="0" applyNumberFormat="1" applyFill="1" applyBorder="1" applyAlignment="1">
      <alignment horizontal="center"/>
    </xf>
    <xf numFmtId="0" fontId="29" fillId="34" borderId="58" xfId="2" applyFont="1" applyFill="1" applyBorder="1" applyAlignment="1">
      <alignment horizontal="center" vertical="center"/>
    </xf>
    <xf numFmtId="0" fontId="0" fillId="34" borderId="58" xfId="0" applyFill="1" applyBorder="1" applyAlignment="1">
      <alignment horizontal="center"/>
    </xf>
    <xf numFmtId="0" fontId="0" fillId="35" borderId="58" xfId="0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17" fontId="0" fillId="0" borderId="58" xfId="0" applyNumberFormat="1" applyBorder="1" applyAlignment="1">
      <alignment horizontal="center"/>
    </xf>
    <xf numFmtId="0" fontId="6" fillId="35" borderId="58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2" fontId="21" fillId="12" borderId="1" xfId="2" applyNumberFormat="1" applyFont="1" applyFill="1" applyBorder="1" applyAlignment="1">
      <alignment horizontal="center" vertical="center"/>
    </xf>
    <xf numFmtId="0" fontId="18" fillId="39" borderId="1" xfId="2" applyFont="1" applyFill="1" applyBorder="1" applyAlignment="1">
      <alignment horizontal="center" vertical="center"/>
    </xf>
    <xf numFmtId="0" fontId="18" fillId="7" borderId="1" xfId="2" applyFont="1" applyFill="1" applyBorder="1" applyAlignment="1">
      <alignment horizontal="center" vertical="center"/>
    </xf>
    <xf numFmtId="0" fontId="18" fillId="28" borderId="1" xfId="2" applyFont="1" applyFill="1" applyBorder="1" applyAlignment="1">
      <alignment horizontal="center" vertical="center"/>
    </xf>
    <xf numFmtId="2" fontId="21" fillId="0" borderId="1" xfId="2" applyNumberFormat="1" applyFont="1" applyBorder="1" applyAlignment="1">
      <alignment horizontal="center" vertical="center"/>
    </xf>
    <xf numFmtId="0" fontId="18" fillId="40" borderId="1" xfId="2" applyFont="1" applyFill="1" applyBorder="1" applyAlignment="1">
      <alignment horizontal="center" vertical="center"/>
    </xf>
    <xf numFmtId="0" fontId="33" fillId="27" borderId="1" xfId="2" applyFont="1" applyFill="1" applyBorder="1" applyAlignment="1">
      <alignment horizontal="center" vertical="center"/>
    </xf>
    <xf numFmtId="0" fontId="34" fillId="41" borderId="1" xfId="2" applyFont="1" applyFill="1" applyBorder="1" applyAlignment="1">
      <alignment horizontal="center" vertical="center"/>
    </xf>
    <xf numFmtId="0" fontId="18" fillId="42" borderId="1" xfId="2" applyFont="1" applyFill="1" applyBorder="1" applyAlignment="1">
      <alignment horizontal="center" vertical="center" wrapText="1"/>
    </xf>
    <xf numFmtId="0" fontId="6" fillId="37" borderId="1" xfId="0" applyFont="1" applyFill="1" applyBorder="1" applyAlignment="1">
      <alignment horizontal="center"/>
    </xf>
    <xf numFmtId="0" fontId="0" fillId="0" borderId="1" xfId="0" applyBorder="1"/>
    <xf numFmtId="0" fontId="18" fillId="43" borderId="1" xfId="2" applyFont="1" applyFill="1" applyBorder="1" applyAlignment="1">
      <alignment horizontal="center" vertical="center"/>
    </xf>
    <xf numFmtId="2" fontId="21" fillId="43" borderId="1" xfId="2" applyNumberFormat="1" applyFont="1" applyFill="1" applyBorder="1" applyAlignment="1">
      <alignment horizontal="center" vertical="center"/>
    </xf>
    <xf numFmtId="2" fontId="27" fillId="12" borderId="59" xfId="0" applyNumberFormat="1" applyFont="1" applyFill="1" applyBorder="1"/>
    <xf numFmtId="0" fontId="26" fillId="10" borderId="68" xfId="0" applyFont="1" applyFill="1" applyBorder="1"/>
    <xf numFmtId="2" fontId="27" fillId="12" borderId="4" xfId="0" applyNumberFormat="1" applyFont="1" applyFill="1" applyBorder="1"/>
    <xf numFmtId="0" fontId="37" fillId="36" borderId="94" xfId="0" applyFont="1" applyFill="1" applyBorder="1" applyAlignment="1">
      <alignment horizontal="center" vertical="center" wrapText="1"/>
    </xf>
    <xf numFmtId="0" fontId="37" fillId="36" borderId="67" xfId="0" applyFont="1" applyFill="1" applyBorder="1" applyAlignment="1">
      <alignment horizontal="center" vertical="center"/>
    </xf>
    <xf numFmtId="0" fontId="37" fillId="36" borderId="67" xfId="0" applyFont="1" applyFill="1" applyBorder="1" applyAlignment="1">
      <alignment horizontal="center" vertical="center" wrapText="1"/>
    </xf>
    <xf numFmtId="0" fontId="38" fillId="0" borderId="94" xfId="0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 vertical="center" wrapText="1"/>
    </xf>
    <xf numFmtId="2" fontId="27" fillId="12" borderId="3" xfId="0" applyNumberFormat="1" applyFont="1" applyFill="1" applyBorder="1"/>
    <xf numFmtId="0" fontId="0" fillId="0" borderId="102" xfId="0" applyBorder="1"/>
    <xf numFmtId="0" fontId="27" fillId="12" borderId="109" xfId="0" applyFont="1" applyFill="1" applyBorder="1"/>
    <xf numFmtId="0" fontId="29" fillId="46" borderId="0" xfId="0" applyFont="1" applyFill="1" applyAlignment="1">
      <alignment horizontal="center"/>
    </xf>
    <xf numFmtId="0" fontId="6" fillId="47" borderId="20" xfId="0" applyFont="1" applyFill="1" applyBorder="1" applyAlignment="1">
      <alignment horizontal="center"/>
    </xf>
    <xf numFmtId="3" fontId="27" fillId="12" borderId="90" xfId="0" applyNumberFormat="1" applyFont="1" applyFill="1" applyBorder="1" applyAlignment="1">
      <alignment horizontal="center"/>
    </xf>
    <xf numFmtId="0" fontId="0" fillId="0" borderId="37" xfId="0" applyBorder="1"/>
    <xf numFmtId="0" fontId="29" fillId="10" borderId="12" xfId="0" applyFont="1" applyFill="1" applyBorder="1" applyAlignment="1">
      <alignment horizontal="center"/>
    </xf>
    <xf numFmtId="0" fontId="29" fillId="10" borderId="3" xfId="0" applyFont="1" applyFill="1" applyBorder="1" applyAlignment="1">
      <alignment horizontal="center"/>
    </xf>
    <xf numFmtId="0" fontId="40" fillId="46" borderId="0" xfId="0" applyFont="1" applyFill="1" applyAlignment="1">
      <alignment horizontal="center"/>
    </xf>
    <xf numFmtId="0" fontId="15" fillId="48" borderId="1" xfId="0" applyFont="1" applyFill="1" applyBorder="1" applyAlignment="1">
      <alignment horizontal="center"/>
    </xf>
    <xf numFmtId="164" fontId="0" fillId="12" borderId="1" xfId="0" applyNumberFormat="1" applyFill="1" applyBorder="1"/>
    <xf numFmtId="0" fontId="36" fillId="48" borderId="58" xfId="0" applyFont="1" applyFill="1" applyBorder="1" applyAlignment="1">
      <alignment horizontal="center"/>
    </xf>
    <xf numFmtId="0" fontId="27" fillId="27" borderId="58" xfId="0" applyFont="1" applyFill="1" applyBorder="1" applyAlignment="1">
      <alignment horizontal="center"/>
    </xf>
    <xf numFmtId="0" fontId="25" fillId="30" borderId="58" xfId="0" applyFont="1" applyFill="1" applyBorder="1" applyAlignment="1">
      <alignment horizontal="center"/>
    </xf>
    <xf numFmtId="164" fontId="27" fillId="12" borderId="8" xfId="0" applyNumberFormat="1" applyFont="1" applyFill="1" applyBorder="1" applyAlignment="1">
      <alignment horizontal="center"/>
    </xf>
    <xf numFmtId="164" fontId="27" fillId="12" borderId="118" xfId="0" applyNumberFormat="1" applyFont="1" applyFill="1" applyBorder="1" applyAlignment="1">
      <alignment horizontal="center"/>
    </xf>
    <xf numFmtId="0" fontId="23" fillId="48" borderId="58" xfId="0" applyFont="1" applyFill="1" applyBorder="1" applyAlignment="1">
      <alignment horizontal="center"/>
    </xf>
    <xf numFmtId="164" fontId="27" fillId="12" borderId="40" xfId="0" applyNumberFormat="1" applyFont="1" applyFill="1" applyBorder="1" applyAlignment="1">
      <alignment horizontal="center"/>
    </xf>
    <xf numFmtId="0" fontId="26" fillId="12" borderId="0" xfId="0" applyFont="1" applyFill="1"/>
    <xf numFmtId="0" fontId="26" fillId="19" borderId="1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wrapText="1"/>
    </xf>
    <xf numFmtId="2" fontId="35" fillId="0" borderId="1" xfId="0" applyNumberFormat="1" applyFont="1" applyBorder="1" applyAlignment="1">
      <alignment horizontal="center"/>
    </xf>
    <xf numFmtId="164" fontId="35" fillId="0" borderId="1" xfId="0" applyNumberFormat="1" applyFont="1" applyBorder="1" applyAlignment="1">
      <alignment horizontal="center"/>
    </xf>
    <xf numFmtId="2" fontId="21" fillId="48" borderId="1" xfId="2" applyNumberFormat="1" applyFont="1" applyFill="1" applyBorder="1" applyAlignment="1">
      <alignment horizontal="center" vertical="center"/>
    </xf>
    <xf numFmtId="2" fontId="21" fillId="48" borderId="6" xfId="2" applyNumberFormat="1" applyFont="1" applyFill="1" applyBorder="1" applyAlignment="1">
      <alignment horizontal="center" vertical="center"/>
    </xf>
    <xf numFmtId="0" fontId="27" fillId="12" borderId="59" xfId="0" applyFont="1" applyFill="1" applyBorder="1" applyAlignment="1">
      <alignment horizontal="center"/>
    </xf>
    <xf numFmtId="2" fontId="0" fillId="0" borderId="1" xfId="0" applyNumberFormat="1" applyBorder="1"/>
    <xf numFmtId="0" fontId="25" fillId="30" borderId="1" xfId="0" applyFont="1" applyFill="1" applyBorder="1" applyAlignment="1">
      <alignment horizontal="center"/>
    </xf>
    <xf numFmtId="0" fontId="26" fillId="2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7" fillId="12" borderId="3" xfId="0" applyNumberFormat="1" applyFont="1" applyFill="1" applyBorder="1"/>
    <xf numFmtId="0" fontId="26" fillId="29" borderId="12" xfId="0" applyFont="1" applyFill="1" applyBorder="1" applyAlignment="1">
      <alignment horizontal="center"/>
    </xf>
    <xf numFmtId="2" fontId="27" fillId="12" borderId="16" xfId="0" applyNumberFormat="1" applyFont="1" applyFill="1" applyBorder="1" applyAlignment="1">
      <alignment horizontal="center"/>
    </xf>
    <xf numFmtId="2" fontId="27" fillId="12" borderId="30" xfId="0" applyNumberFormat="1" applyFont="1" applyFill="1" applyBorder="1" applyAlignment="1">
      <alignment horizontal="center"/>
    </xf>
    <xf numFmtId="0" fontId="26" fillId="29" borderId="3" xfId="0" applyFont="1" applyFill="1" applyBorder="1" applyAlignment="1">
      <alignment horizontal="center"/>
    </xf>
    <xf numFmtId="0" fontId="27" fillId="51" borderId="0" xfId="0" applyFont="1" applyFill="1"/>
    <xf numFmtId="0" fontId="26" fillId="27" borderId="13" xfId="1" applyFont="1" applyFill="1" applyBorder="1" applyAlignment="1">
      <alignment horizontal="center" vertical="center" wrapText="1"/>
    </xf>
    <xf numFmtId="0" fontId="26" fillId="28" borderId="13" xfId="1" applyFont="1" applyFill="1" applyBorder="1" applyAlignment="1">
      <alignment horizontal="center" vertical="center" wrapText="1"/>
    </xf>
    <xf numFmtId="0" fontId="26" fillId="28" borderId="23" xfId="1" applyFont="1" applyFill="1" applyBorder="1" applyAlignment="1">
      <alignment horizontal="center" vertical="center" wrapText="1"/>
    </xf>
    <xf numFmtId="0" fontId="25" fillId="8" borderId="0" xfId="1" applyFont="1" applyFill="1" applyBorder="1" applyAlignment="1">
      <alignment horizontal="center" vertical="center" wrapText="1"/>
    </xf>
    <xf numFmtId="0" fontId="19" fillId="23" borderId="1" xfId="2" applyFont="1" applyFill="1" applyBorder="1" applyAlignment="1">
      <alignment horizontal="left" vertical="center"/>
    </xf>
    <xf numFmtId="0" fontId="42" fillId="52" borderId="2" xfId="2" applyFont="1" applyFill="1" applyBorder="1" applyAlignment="1">
      <alignment horizontal="center" vertical="center"/>
    </xf>
    <xf numFmtId="0" fontId="31" fillId="52" borderId="1" xfId="2" applyFont="1" applyFill="1" applyBorder="1" applyAlignment="1">
      <alignment horizontal="center" vertical="center"/>
    </xf>
    <xf numFmtId="0" fontId="5" fillId="52" borderId="58" xfId="0" applyFont="1" applyFill="1" applyBorder="1" applyAlignment="1">
      <alignment horizontal="center" wrapText="1"/>
    </xf>
    <xf numFmtId="165" fontId="18" fillId="53" borderId="1" xfId="3" applyNumberFormat="1" applyFont="1" applyFill="1" applyBorder="1" applyAlignment="1" applyProtection="1">
      <alignment horizontal="center" vertical="center"/>
    </xf>
    <xf numFmtId="2" fontId="21" fillId="53" borderId="1" xfId="2" applyNumberFormat="1" applyFont="1" applyFill="1" applyBorder="1" applyAlignment="1">
      <alignment horizontal="center" vertical="center"/>
    </xf>
    <xf numFmtId="0" fontId="31" fillId="8" borderId="1" xfId="2" applyFont="1" applyFill="1" applyBorder="1" applyAlignment="1">
      <alignment horizontal="center" vertical="center"/>
    </xf>
    <xf numFmtId="164" fontId="43" fillId="8" borderId="1" xfId="2" applyNumberFormat="1" applyFont="1" applyFill="1" applyBorder="1" applyAlignment="1">
      <alignment horizontal="center" vertical="center"/>
    </xf>
    <xf numFmtId="0" fontId="7" fillId="8" borderId="1" xfId="0" applyFont="1" applyFill="1" applyBorder="1"/>
    <xf numFmtId="0" fontId="18" fillId="54" borderId="1" xfId="2" applyFont="1" applyFill="1" applyBorder="1" applyAlignment="1">
      <alignment horizontal="center" vertical="center"/>
    </xf>
    <xf numFmtId="164" fontId="21" fillId="54" borderId="1" xfId="2" applyNumberFormat="1" applyFont="1" applyFill="1" applyBorder="1" applyAlignment="1">
      <alignment horizontal="center" vertical="center"/>
    </xf>
    <xf numFmtId="0" fontId="18" fillId="48" borderId="1" xfId="2" applyFont="1" applyFill="1" applyBorder="1" applyAlignment="1">
      <alignment horizontal="center" vertical="center"/>
    </xf>
    <xf numFmtId="164" fontId="21" fillId="48" borderId="1" xfId="2" applyNumberFormat="1" applyFont="1" applyFill="1" applyBorder="1" applyAlignment="1">
      <alignment horizontal="center" vertical="center"/>
    </xf>
    <xf numFmtId="0" fontId="18" fillId="55" borderId="1" xfId="2" applyFont="1" applyFill="1" applyBorder="1" applyAlignment="1">
      <alignment horizontal="center" vertical="center"/>
    </xf>
    <xf numFmtId="0" fontId="18" fillId="12" borderId="1" xfId="2" applyFont="1" applyFill="1" applyBorder="1" applyAlignment="1">
      <alignment horizontal="center" vertical="center"/>
    </xf>
    <xf numFmtId="0" fontId="42" fillId="8" borderId="1" xfId="2" applyFont="1" applyFill="1" applyBorder="1" applyAlignment="1">
      <alignment horizontal="center" vertical="center"/>
    </xf>
    <xf numFmtId="2" fontId="43" fillId="8" borderId="1" xfId="2" applyNumberFormat="1" applyFont="1" applyFill="1" applyBorder="1" applyAlignment="1">
      <alignment horizontal="center" vertical="center"/>
    </xf>
    <xf numFmtId="0" fontId="18" fillId="37" borderId="1" xfId="2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3" fillId="22" borderId="1" xfId="2" applyFont="1" applyFill="1" applyBorder="1" applyAlignment="1">
      <alignment horizontal="center" vertical="center"/>
    </xf>
    <xf numFmtId="164" fontId="21" fillId="12" borderId="1" xfId="2" applyNumberFormat="1" applyFont="1" applyFill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2" fontId="33" fillId="12" borderId="1" xfId="2" applyNumberFormat="1" applyFont="1" applyFill="1" applyBorder="1" applyAlignment="1">
      <alignment horizontal="center" vertical="center"/>
    </xf>
    <xf numFmtId="0" fontId="42" fillId="56" borderId="1" xfId="2" applyFont="1" applyFill="1" applyBorder="1" applyAlignment="1">
      <alignment horizontal="center" vertical="center"/>
    </xf>
    <xf numFmtId="0" fontId="42" fillId="8" borderId="6" xfId="2" applyFont="1" applyFill="1" applyBorder="1" applyAlignment="1">
      <alignment horizontal="center" vertical="center"/>
    </xf>
    <xf numFmtId="2" fontId="43" fillId="8" borderId="6" xfId="0" applyNumberFormat="1" applyFont="1" applyFill="1" applyBorder="1" applyAlignment="1">
      <alignment horizontal="center"/>
    </xf>
    <xf numFmtId="0" fontId="34" fillId="8" borderId="2" xfId="2" applyFont="1" applyFill="1" applyBorder="1" applyAlignment="1">
      <alignment horizontal="center" vertical="center"/>
    </xf>
    <xf numFmtId="0" fontId="0" fillId="0" borderId="2" xfId="0" applyBorder="1"/>
    <xf numFmtId="0" fontId="29" fillId="5" borderId="58" xfId="2" applyFont="1" applyFill="1" applyBorder="1" applyAlignment="1">
      <alignment horizontal="center" vertical="center"/>
    </xf>
    <xf numFmtId="17" fontId="0" fillId="5" borderId="58" xfId="0" applyNumberFormat="1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6" fillId="5" borderId="58" xfId="0" applyFont="1" applyFill="1" applyBorder="1" applyAlignment="1">
      <alignment horizontal="center"/>
    </xf>
    <xf numFmtId="0" fontId="45" fillId="0" borderId="0" xfId="0" applyFont="1" applyProtection="1">
      <protection hidden="1"/>
    </xf>
    <xf numFmtId="0" fontId="45" fillId="0" borderId="38" xfId="0" applyFont="1" applyBorder="1" applyProtection="1">
      <protection hidden="1"/>
    </xf>
    <xf numFmtId="0" fontId="32" fillId="0" borderId="0" xfId="0" applyFont="1" applyProtection="1">
      <protection hidden="1"/>
    </xf>
    <xf numFmtId="0" fontId="18" fillId="0" borderId="128" xfId="0" applyFont="1" applyBorder="1" applyAlignment="1" applyProtection="1">
      <alignment horizontal="center"/>
      <protection hidden="1"/>
    </xf>
    <xf numFmtId="0" fontId="32" fillId="0" borderId="129" xfId="0" applyFont="1" applyBorder="1" applyAlignment="1" applyProtection="1">
      <alignment horizontal="center"/>
      <protection hidden="1"/>
    </xf>
    <xf numFmtId="0" fontId="32" fillId="0" borderId="130" xfId="0" applyFont="1" applyBorder="1" applyAlignment="1" applyProtection="1">
      <alignment horizontal="center"/>
      <protection hidden="1"/>
    </xf>
    <xf numFmtId="0" fontId="32" fillId="0" borderId="131" xfId="0" applyFont="1" applyBorder="1" applyAlignment="1" applyProtection="1">
      <alignment horizontal="center"/>
      <protection hidden="1"/>
    </xf>
    <xf numFmtId="0" fontId="18" fillId="0" borderId="0" xfId="0" applyFont="1" applyAlignment="1" applyProtection="1">
      <alignment horizontal="center" vertical="center" textRotation="90"/>
      <protection hidden="1"/>
    </xf>
    <xf numFmtId="0" fontId="32" fillId="0" borderId="0" xfId="0" applyFont="1" applyAlignment="1" applyProtection="1">
      <alignment horizontal="center"/>
      <protection hidden="1"/>
    </xf>
    <xf numFmtId="0" fontId="35" fillId="0" borderId="0" xfId="0" applyFont="1" applyAlignment="1">
      <alignment vertical="top" wrapText="1"/>
    </xf>
    <xf numFmtId="164" fontId="35" fillId="0" borderId="0" xfId="0" applyNumberFormat="1" applyFont="1" applyAlignment="1">
      <alignment horizontal="center" vertical="top" wrapText="1"/>
    </xf>
    <xf numFmtId="0" fontId="21" fillId="0" borderId="0" xfId="0" applyFont="1" applyAlignment="1">
      <alignment vertical="top"/>
    </xf>
    <xf numFmtId="164" fontId="35" fillId="0" borderId="0" xfId="0" applyNumberFormat="1" applyFont="1" applyAlignment="1">
      <alignment horizontal="center"/>
    </xf>
    <xf numFmtId="0" fontId="35" fillId="0" borderId="0" xfId="0" applyFont="1"/>
    <xf numFmtId="164" fontId="21" fillId="0" borderId="0" xfId="0" applyNumberFormat="1" applyFont="1" applyAlignment="1">
      <alignment horizontal="center" vertical="top"/>
    </xf>
    <xf numFmtId="164" fontId="35" fillId="28" borderId="0" xfId="0" applyNumberFormat="1" applyFont="1" applyFill="1" applyAlignment="1">
      <alignment horizontal="center" vertical="top" wrapText="1"/>
    </xf>
    <xf numFmtId="164" fontId="35" fillId="28" borderId="0" xfId="0" applyNumberFormat="1" applyFont="1" applyFill="1" applyAlignment="1">
      <alignment horizontal="center"/>
    </xf>
    <xf numFmtId="0" fontId="49" fillId="28" borderId="0" xfId="0" applyFont="1" applyFill="1" applyAlignment="1">
      <alignment horizontal="center" vertical="top" wrapText="1"/>
    </xf>
    <xf numFmtId="0" fontId="49" fillId="0" borderId="0" xfId="0" applyFont="1" applyAlignment="1">
      <alignment horizontal="center" vertical="top" wrapText="1"/>
    </xf>
    <xf numFmtId="0" fontId="49" fillId="58" borderId="0" xfId="0" applyFont="1" applyFill="1" applyAlignment="1">
      <alignment horizontal="center" vertical="top" wrapText="1"/>
    </xf>
    <xf numFmtId="164" fontId="21" fillId="28" borderId="0" xfId="0" applyNumberFormat="1" applyFont="1" applyFill="1" applyAlignment="1">
      <alignment horizontal="center" vertical="top"/>
    </xf>
    <xf numFmtId="0" fontId="26" fillId="10" borderId="143" xfId="0" applyFont="1" applyFill="1" applyBorder="1" applyAlignment="1">
      <alignment horizontal="center"/>
    </xf>
    <xf numFmtId="0" fontId="48" fillId="8" borderId="0" xfId="0" applyFont="1" applyFill="1" applyAlignment="1">
      <alignment horizontal="center"/>
    </xf>
    <xf numFmtId="14" fontId="50" fillId="12" borderId="0" xfId="0" applyNumberFormat="1" applyFont="1" applyFill="1" applyAlignment="1">
      <alignment horizontal="center"/>
    </xf>
    <xf numFmtId="164" fontId="35" fillId="0" borderId="0" xfId="0" applyNumberFormat="1" applyFont="1" applyAlignment="1">
      <alignment horizontal="center" vertical="center"/>
    </xf>
    <xf numFmtId="0" fontId="6" fillId="50" borderId="1" xfId="0" applyFont="1" applyFill="1" applyBorder="1" applyAlignment="1">
      <alignment horizontal="center"/>
    </xf>
    <xf numFmtId="2" fontId="27" fillId="12" borderId="1" xfId="0" applyNumberFormat="1" applyFont="1" applyFill="1" applyBorder="1"/>
    <xf numFmtId="0" fontId="52" fillId="3" borderId="0" xfId="0" applyFont="1" applyFill="1" applyAlignment="1">
      <alignment horizontal="left"/>
    </xf>
    <xf numFmtId="0" fontId="52" fillId="3" borderId="0" xfId="0" applyFont="1" applyFill="1" applyAlignment="1">
      <alignment horizontal="center"/>
    </xf>
    <xf numFmtId="164" fontId="52" fillId="3" borderId="0" xfId="0" applyNumberFormat="1" applyFont="1" applyFill="1" applyAlignment="1">
      <alignment horizontal="center"/>
    </xf>
    <xf numFmtId="0" fontId="52" fillId="0" borderId="0" xfId="0" applyFont="1"/>
    <xf numFmtId="0" fontId="52" fillId="3" borderId="29" xfId="0" applyFont="1" applyFill="1" applyBorder="1" applyAlignment="1">
      <alignment horizontal="center"/>
    </xf>
    <xf numFmtId="164" fontId="52" fillId="3" borderId="29" xfId="0" applyNumberFormat="1" applyFont="1" applyFill="1" applyBorder="1" applyAlignment="1">
      <alignment horizontal="center"/>
    </xf>
    <xf numFmtId="0" fontId="52" fillId="3" borderId="26" xfId="0" applyFont="1" applyFill="1" applyBorder="1" applyAlignment="1">
      <alignment horizontal="center"/>
    </xf>
    <xf numFmtId="164" fontId="52" fillId="3" borderId="26" xfId="0" applyNumberFormat="1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164" fontId="52" fillId="0" borderId="0" xfId="0" applyNumberFormat="1" applyFont="1" applyAlignment="1">
      <alignment horizontal="center"/>
    </xf>
    <xf numFmtId="0" fontId="52" fillId="0" borderId="0" xfId="0" applyFont="1" applyAlignment="1">
      <alignment horizontal="left"/>
    </xf>
    <xf numFmtId="0" fontId="52" fillId="0" borderId="29" xfId="0" applyFont="1" applyBorder="1" applyAlignment="1">
      <alignment horizontal="center"/>
    </xf>
    <xf numFmtId="164" fontId="52" fillId="0" borderId="29" xfId="0" applyNumberFormat="1" applyFont="1" applyBorder="1" applyAlignment="1">
      <alignment horizontal="center"/>
    </xf>
    <xf numFmtId="0" fontId="52" fillId="0" borderId="26" xfId="0" applyFont="1" applyBorder="1" applyAlignment="1">
      <alignment horizontal="center"/>
    </xf>
    <xf numFmtId="164" fontId="52" fillId="0" borderId="26" xfId="0" applyNumberFormat="1" applyFont="1" applyBorder="1" applyAlignment="1">
      <alignment horizontal="center"/>
    </xf>
    <xf numFmtId="167" fontId="52" fillId="0" borderId="0" xfId="5" applyNumberFormat="1" applyFont="1" applyAlignment="1">
      <alignment horizontal="center"/>
    </xf>
    <xf numFmtId="167" fontId="52" fillId="0" borderId="26" xfId="5" applyNumberFormat="1" applyFont="1" applyBorder="1" applyAlignment="1">
      <alignment horizontal="center"/>
    </xf>
    <xf numFmtId="167" fontId="52" fillId="0" borderId="0" xfId="5" applyNumberFormat="1" applyFont="1" applyBorder="1" applyAlignment="1">
      <alignment horizontal="center"/>
    </xf>
    <xf numFmtId="0" fontId="52" fillId="0" borderId="24" xfId="0" applyFont="1" applyBorder="1" applyAlignment="1">
      <alignment horizontal="center"/>
    </xf>
    <xf numFmtId="164" fontId="52" fillId="0" borderId="24" xfId="0" applyNumberFormat="1" applyFont="1" applyBorder="1" applyAlignment="1">
      <alignment horizontal="center"/>
    </xf>
    <xf numFmtId="0" fontId="52" fillId="12" borderId="0" xfId="0" applyFont="1" applyFill="1" applyAlignment="1">
      <alignment horizontal="left"/>
    </xf>
    <xf numFmtId="0" fontId="52" fillId="12" borderId="0" xfId="0" applyFont="1" applyFill="1" applyAlignment="1">
      <alignment horizontal="center"/>
    </xf>
    <xf numFmtId="164" fontId="52" fillId="12" borderId="0" xfId="0" applyNumberFormat="1" applyFont="1" applyFill="1" applyAlignment="1">
      <alignment horizontal="center"/>
    </xf>
    <xf numFmtId="0" fontId="52" fillId="12" borderId="29" xfId="0" applyFont="1" applyFill="1" applyBorder="1" applyAlignment="1">
      <alignment horizontal="center"/>
    </xf>
    <xf numFmtId="164" fontId="52" fillId="12" borderId="29" xfId="0" applyNumberFormat="1" applyFont="1" applyFill="1" applyBorder="1" applyAlignment="1">
      <alignment horizontal="center"/>
    </xf>
    <xf numFmtId="0" fontId="52" fillId="12" borderId="26" xfId="0" applyFont="1" applyFill="1" applyBorder="1" applyAlignment="1">
      <alignment horizontal="center"/>
    </xf>
    <xf numFmtId="164" fontId="52" fillId="12" borderId="26" xfId="0" applyNumberFormat="1" applyFont="1" applyFill="1" applyBorder="1" applyAlignment="1">
      <alignment horizontal="center"/>
    </xf>
    <xf numFmtId="14" fontId="24" fillId="12" borderId="2" xfId="2" applyNumberFormat="1" applyFont="1" applyFill="1" applyBorder="1" applyAlignment="1">
      <alignment horizontal="center" vertical="center"/>
    </xf>
    <xf numFmtId="0" fontId="18" fillId="59" borderId="0" xfId="0" applyFont="1" applyFill="1" applyAlignment="1">
      <alignment horizontal="center"/>
    </xf>
    <xf numFmtId="0" fontId="18" fillId="18" borderId="0" xfId="0" applyFont="1" applyFill="1" applyAlignment="1">
      <alignment horizontal="center"/>
    </xf>
    <xf numFmtId="0" fontId="0" fillId="0" borderId="147" xfId="0" applyBorder="1"/>
    <xf numFmtId="0" fontId="0" fillId="0" borderId="148" xfId="0" applyBorder="1"/>
    <xf numFmtId="0" fontId="0" fillId="0" borderId="65" xfId="0" applyBorder="1"/>
    <xf numFmtId="14" fontId="42" fillId="52" borderId="0" xfId="0" applyNumberFormat="1" applyFont="1" applyFill="1" applyAlignment="1">
      <alignment horizontal="center" vertical="center"/>
    </xf>
    <xf numFmtId="0" fontId="0" fillId="20" borderId="0" xfId="0" applyFill="1"/>
    <xf numFmtId="2" fontId="27" fillId="12" borderId="4" xfId="0" applyNumberFormat="1" applyFont="1" applyFill="1" applyBorder="1" applyAlignment="1">
      <alignment horizontal="center"/>
    </xf>
    <xf numFmtId="1" fontId="27" fillId="0" borderId="1" xfId="0" applyNumberFormat="1" applyFont="1" applyBorder="1"/>
    <xf numFmtId="0" fontId="26" fillId="10" borderId="1" xfId="0" applyFont="1" applyFill="1" applyBorder="1"/>
    <xf numFmtId="0" fontId="27" fillId="0" borderId="1" xfId="0" applyFont="1" applyBorder="1"/>
    <xf numFmtId="0" fontId="42" fillId="8" borderId="2" xfId="2" applyFont="1" applyFill="1" applyBorder="1" applyAlignment="1">
      <alignment horizontal="center" vertical="center"/>
    </xf>
    <xf numFmtId="0" fontId="31" fillId="8" borderId="2" xfId="2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14" fontId="8" fillId="12" borderId="1" xfId="0" applyNumberFormat="1" applyFont="1" applyFill="1" applyBorder="1" applyAlignment="1">
      <alignment horizontal="center"/>
    </xf>
    <xf numFmtId="0" fontId="27" fillId="0" borderId="111" xfId="0" applyFont="1" applyBorder="1" applyAlignment="1">
      <alignment horizontal="center"/>
    </xf>
    <xf numFmtId="0" fontId="6" fillId="50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60" fillId="12" borderId="1" xfId="0" applyFont="1" applyFill="1" applyBorder="1" applyAlignment="1">
      <alignment horizontal="center" vertical="center"/>
    </xf>
    <xf numFmtId="14" fontId="60" fillId="12" borderId="1" xfId="0" applyNumberFormat="1" applyFont="1" applyFill="1" applyBorder="1" applyAlignment="1">
      <alignment horizontal="center" vertical="center"/>
    </xf>
    <xf numFmtId="164" fontId="60" fillId="12" borderId="1" xfId="0" applyNumberFormat="1" applyFont="1" applyFill="1" applyBorder="1" applyAlignment="1">
      <alignment horizontal="center" vertical="center"/>
    </xf>
    <xf numFmtId="164" fontId="38" fillId="12" borderId="1" xfId="0" applyNumberFormat="1" applyFont="1" applyFill="1" applyBorder="1" applyAlignment="1">
      <alignment horizontal="center" vertical="center"/>
    </xf>
    <xf numFmtId="0" fontId="38" fillId="51" borderId="4" xfId="0" applyFont="1" applyFill="1" applyBorder="1" applyAlignment="1">
      <alignment horizontal="center" vertical="center" textRotation="90"/>
    </xf>
    <xf numFmtId="0" fontId="38" fillId="51" borderId="0" xfId="0" applyFont="1" applyFill="1" applyAlignment="1">
      <alignment horizontal="center" vertical="center"/>
    </xf>
    <xf numFmtId="164" fontId="38" fillId="51" borderId="29" xfId="0" applyNumberFormat="1" applyFont="1" applyFill="1" applyBorder="1" applyAlignment="1">
      <alignment horizontal="center" vertical="center"/>
    </xf>
    <xf numFmtId="0" fontId="60" fillId="12" borderId="6" xfId="0" applyFont="1" applyFill="1" applyBorder="1" applyAlignment="1">
      <alignment horizontal="center" vertical="center"/>
    </xf>
    <xf numFmtId="0" fontId="60" fillId="12" borderId="10" xfId="0" applyFont="1" applyFill="1" applyBorder="1" applyAlignment="1">
      <alignment horizontal="center" vertical="center"/>
    </xf>
    <xf numFmtId="0" fontId="38" fillId="51" borderId="29" xfId="0" applyFont="1" applyFill="1" applyBorder="1" applyAlignment="1">
      <alignment horizontal="center" vertical="center"/>
    </xf>
    <xf numFmtId="0" fontId="60" fillId="12" borderId="2" xfId="0" applyFont="1" applyFill="1" applyBorder="1" applyAlignment="1">
      <alignment horizontal="center" vertical="center"/>
    </xf>
    <xf numFmtId="0" fontId="60" fillId="51" borderId="25" xfId="0" applyFont="1" applyFill="1" applyBorder="1" applyAlignment="1">
      <alignment horizontal="center" vertical="center" wrapText="1"/>
    </xf>
    <xf numFmtId="0" fontId="60" fillId="51" borderId="2" xfId="0" applyFont="1" applyFill="1" applyBorder="1" applyAlignment="1">
      <alignment horizontal="center" vertical="center"/>
    </xf>
    <xf numFmtId="164" fontId="38" fillId="51" borderId="26" xfId="0" applyNumberFormat="1" applyFont="1" applyFill="1" applyBorder="1" applyAlignment="1">
      <alignment horizontal="center" vertical="center"/>
    </xf>
    <xf numFmtId="0" fontId="60" fillId="27" borderId="10" xfId="0" applyFont="1" applyFill="1" applyBorder="1" applyAlignment="1">
      <alignment horizontal="center" vertical="center"/>
    </xf>
    <xf numFmtId="164" fontId="38" fillId="27" borderId="0" xfId="0" applyNumberFormat="1" applyFont="1" applyFill="1" applyAlignment="1">
      <alignment horizontal="center" vertical="center"/>
    </xf>
    <xf numFmtId="0" fontId="60" fillId="27" borderId="2" xfId="0" applyFont="1" applyFill="1" applyBorder="1" applyAlignment="1">
      <alignment horizontal="center" vertical="center"/>
    </xf>
    <xf numFmtId="0" fontId="38" fillId="51" borderId="4" xfId="0" applyFont="1" applyFill="1" applyBorder="1" applyAlignment="1">
      <alignment horizontal="center" vertical="center"/>
    </xf>
    <xf numFmtId="164" fontId="38" fillId="12" borderId="0" xfId="0" applyNumberFormat="1" applyFont="1" applyFill="1" applyAlignment="1">
      <alignment horizontal="center" vertical="center"/>
    </xf>
    <xf numFmtId="0" fontId="60" fillId="27" borderId="0" xfId="0" applyFont="1" applyFill="1" applyAlignment="1">
      <alignment horizontal="center" vertical="center"/>
    </xf>
    <xf numFmtId="164" fontId="60" fillId="27" borderId="0" xfId="0" applyNumberFormat="1" applyFont="1" applyFill="1" applyAlignment="1">
      <alignment horizontal="center" vertical="center"/>
    </xf>
    <xf numFmtId="0" fontId="60" fillId="6" borderId="10" xfId="0" applyFont="1" applyFill="1" applyBorder="1" applyAlignment="1">
      <alignment horizontal="center" vertical="center"/>
    </xf>
    <xf numFmtId="164" fontId="60" fillId="6" borderId="0" xfId="0" applyNumberFormat="1" applyFont="1" applyFill="1" applyAlignment="1">
      <alignment horizontal="center" vertical="center"/>
    </xf>
    <xf numFmtId="164" fontId="38" fillId="12" borderId="0" xfId="6" applyNumberFormat="1" applyFont="1" applyFill="1" applyBorder="1" applyAlignment="1">
      <alignment horizontal="center" vertical="center"/>
    </xf>
    <xf numFmtId="0" fontId="38" fillId="51" borderId="1" xfId="0" applyFont="1" applyFill="1" applyBorder="1" applyAlignment="1">
      <alignment horizontal="center" vertical="center"/>
    </xf>
    <xf numFmtId="0" fontId="60" fillId="12" borderId="0" xfId="0" applyFont="1" applyFill="1" applyAlignment="1">
      <alignment horizontal="center" vertical="center"/>
    </xf>
    <xf numFmtId="0" fontId="60" fillId="5" borderId="10" xfId="0" applyFont="1" applyFill="1" applyBorder="1" applyAlignment="1">
      <alignment horizontal="center" vertical="center"/>
    </xf>
    <xf numFmtId="164" fontId="60" fillId="5" borderId="0" xfId="0" applyNumberFormat="1" applyFont="1" applyFill="1" applyAlignment="1">
      <alignment horizontal="center" vertical="center"/>
    </xf>
    <xf numFmtId="0" fontId="38" fillId="12" borderId="0" xfId="0" applyFont="1" applyFill="1" applyAlignment="1">
      <alignment horizontal="center" vertical="center"/>
    </xf>
    <xf numFmtId="0" fontId="38" fillId="12" borderId="4" xfId="0" applyFont="1" applyFill="1" applyBorder="1" applyAlignment="1">
      <alignment horizontal="center" vertical="center"/>
    </xf>
    <xf numFmtId="0" fontId="38" fillId="12" borderId="29" xfId="0" applyFont="1" applyFill="1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0" fontId="38" fillId="51" borderId="30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center"/>
    </xf>
    <xf numFmtId="164" fontId="38" fillId="7" borderId="0" xfId="0" applyNumberFormat="1" applyFont="1" applyFill="1" applyAlignment="1">
      <alignment horizontal="center" vertical="center"/>
    </xf>
    <xf numFmtId="0" fontId="61" fillId="8" borderId="2" xfId="0" applyFont="1" applyFill="1" applyBorder="1" applyAlignment="1">
      <alignment horizontal="center" vertical="center"/>
    </xf>
    <xf numFmtId="164" fontId="62" fillId="8" borderId="0" xfId="0" applyNumberFormat="1" applyFont="1" applyFill="1" applyAlignment="1">
      <alignment horizontal="center" vertical="center"/>
    </xf>
    <xf numFmtId="0" fontId="60" fillId="12" borderId="37" xfId="0" applyFont="1" applyFill="1" applyBorder="1" applyAlignment="1">
      <alignment horizontal="center" vertical="center"/>
    </xf>
    <xf numFmtId="2" fontId="38" fillId="12" borderId="0" xfId="0" applyNumberFormat="1" applyFont="1" applyFill="1" applyAlignment="1">
      <alignment horizontal="center" vertical="center"/>
    </xf>
    <xf numFmtId="0" fontId="38" fillId="12" borderId="6" xfId="0" applyFont="1" applyFill="1" applyBorder="1" applyAlignment="1">
      <alignment horizontal="center" vertical="center"/>
    </xf>
    <xf numFmtId="0" fontId="38" fillId="12" borderId="10" xfId="0" applyFont="1" applyFill="1" applyBorder="1" applyAlignment="1">
      <alignment horizontal="center" vertical="center"/>
    </xf>
    <xf numFmtId="0" fontId="38" fillId="12" borderId="2" xfId="0" applyFont="1" applyFill="1" applyBorder="1" applyAlignment="1">
      <alignment horizontal="center" vertical="center" wrapText="1"/>
    </xf>
    <xf numFmtId="0" fontId="38" fillId="12" borderId="6" xfId="0" applyFont="1" applyFill="1" applyBorder="1" applyAlignment="1">
      <alignment horizontal="center" vertical="center" wrapText="1"/>
    </xf>
    <xf numFmtId="0" fontId="38" fillId="12" borderId="2" xfId="0" applyFont="1" applyFill="1" applyBorder="1" applyAlignment="1">
      <alignment horizontal="center" vertical="center"/>
    </xf>
    <xf numFmtId="0" fontId="60" fillId="55" borderId="10" xfId="0" applyFont="1" applyFill="1" applyBorder="1" applyAlignment="1">
      <alignment horizontal="center" vertical="center"/>
    </xf>
    <xf numFmtId="2" fontId="60" fillId="55" borderId="0" xfId="0" applyNumberFormat="1" applyFont="1" applyFill="1" applyAlignment="1">
      <alignment horizontal="center" vertical="center"/>
    </xf>
    <xf numFmtId="0" fontId="26" fillId="60" borderId="28" xfId="0" applyFont="1" applyFill="1" applyBorder="1" applyAlignment="1">
      <alignment horizontal="center"/>
    </xf>
    <xf numFmtId="0" fontId="26" fillId="60" borderId="0" xfId="0" applyFont="1" applyFill="1" applyAlignment="1">
      <alignment horizontal="center"/>
    </xf>
    <xf numFmtId="0" fontId="26" fillId="60" borderId="17" xfId="0" applyFont="1" applyFill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6" fillId="58" borderId="145" xfId="0" applyFont="1" applyFill="1" applyBorder="1" applyAlignment="1">
      <alignment horizontal="left" vertical="top"/>
    </xf>
    <xf numFmtId="0" fontId="27" fillId="58" borderId="63" xfId="0" applyFont="1" applyFill="1" applyBorder="1" applyAlignment="1">
      <alignment horizontal="left" vertical="top"/>
    </xf>
    <xf numFmtId="0" fontId="27" fillId="58" borderId="146" xfId="0" applyFont="1" applyFill="1" applyBorder="1" applyAlignment="1">
      <alignment horizontal="left" vertical="top"/>
    </xf>
    <xf numFmtId="0" fontId="27" fillId="58" borderId="37" xfId="0" applyFont="1" applyFill="1" applyBorder="1" applyAlignment="1">
      <alignment horizontal="left" vertical="top"/>
    </xf>
    <xf numFmtId="0" fontId="27" fillId="58" borderId="0" xfId="0" applyFont="1" applyFill="1" applyAlignment="1">
      <alignment horizontal="left" vertical="top"/>
    </xf>
    <xf numFmtId="0" fontId="27" fillId="58" borderId="38" xfId="0" applyFont="1" applyFill="1" applyBorder="1" applyAlignment="1">
      <alignment horizontal="left" vertical="top"/>
    </xf>
    <xf numFmtId="0" fontId="27" fillId="58" borderId="43" xfId="0" applyFont="1" applyFill="1" applyBorder="1" applyAlignment="1">
      <alignment horizontal="left" vertical="top"/>
    </xf>
    <xf numFmtId="0" fontId="27" fillId="58" borderId="20" xfId="0" applyFont="1" applyFill="1" applyBorder="1" applyAlignment="1">
      <alignment horizontal="left" vertical="top"/>
    </xf>
    <xf numFmtId="0" fontId="27" fillId="58" borderId="91" xfId="0" applyFont="1" applyFill="1" applyBorder="1" applyAlignment="1">
      <alignment horizontal="left" vertical="top"/>
    </xf>
    <xf numFmtId="0" fontId="7" fillId="12" borderId="0" xfId="0" applyFont="1" applyFill="1" applyAlignment="1">
      <alignment horizontal="center"/>
    </xf>
    <xf numFmtId="0" fontId="7" fillId="12" borderId="65" xfId="0" applyFont="1" applyFill="1" applyBorder="1" applyAlignment="1">
      <alignment horizontal="center"/>
    </xf>
    <xf numFmtId="2" fontId="27" fillId="12" borderId="4" xfId="0" applyNumberFormat="1" applyFont="1" applyFill="1" applyBorder="1" applyAlignment="1">
      <alignment horizontal="center"/>
    </xf>
    <xf numFmtId="2" fontId="27" fillId="12" borderId="30" xfId="0" applyNumberFormat="1" applyFont="1" applyFill="1" applyBorder="1" applyAlignment="1">
      <alignment horizontal="center"/>
    </xf>
    <xf numFmtId="2" fontId="27" fillId="12" borderId="122" xfId="0" applyNumberFormat="1" applyFont="1" applyFill="1" applyBorder="1" applyAlignment="1">
      <alignment horizontal="center"/>
    </xf>
    <xf numFmtId="2" fontId="27" fillId="12" borderId="36" xfId="0" applyNumberFormat="1" applyFont="1" applyFill="1" applyBorder="1" applyAlignment="1">
      <alignment horizontal="center"/>
    </xf>
    <xf numFmtId="2" fontId="27" fillId="12" borderId="27" xfId="0" applyNumberFormat="1" applyFont="1" applyFill="1" applyBorder="1" applyAlignment="1">
      <alignment horizontal="center"/>
    </xf>
    <xf numFmtId="2" fontId="27" fillId="12" borderId="50" xfId="0" applyNumberFormat="1" applyFont="1" applyFill="1" applyBorder="1" applyAlignment="1">
      <alignment horizontal="center"/>
    </xf>
    <xf numFmtId="0" fontId="25" fillId="30" borderId="55" xfId="0" applyFont="1" applyFill="1" applyBorder="1" applyAlignment="1">
      <alignment horizontal="center"/>
    </xf>
    <xf numFmtId="0" fontId="25" fillId="30" borderId="121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30" borderId="12" xfId="0" applyFont="1" applyFill="1" applyBorder="1" applyAlignment="1">
      <alignment horizontal="center"/>
    </xf>
    <xf numFmtId="0" fontId="25" fillId="51" borderId="23" xfId="0" applyFont="1" applyFill="1" applyBorder="1" applyAlignment="1">
      <alignment horizontal="center"/>
    </xf>
    <xf numFmtId="0" fontId="25" fillId="51" borderId="20" xfId="0" applyFont="1" applyFill="1" applyBorder="1" applyAlignment="1">
      <alignment horizontal="center"/>
    </xf>
    <xf numFmtId="0" fontId="25" fillId="51" borderId="18" xfId="0" applyFont="1" applyFill="1" applyBorder="1" applyAlignment="1">
      <alignment horizontal="center"/>
    </xf>
    <xf numFmtId="0" fontId="26" fillId="10" borderId="3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26" fillId="10" borderId="19" xfId="0" applyFont="1" applyFill="1" applyBorder="1" applyAlignment="1">
      <alignment horizontal="center"/>
    </xf>
    <xf numFmtId="0" fontId="26" fillId="10" borderId="12" xfId="0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57" xfId="0" applyFont="1" applyBorder="1" applyAlignment="1">
      <alignment horizontal="center"/>
    </xf>
    <xf numFmtId="0" fontId="27" fillId="0" borderId="56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5" fillId="51" borderId="7" xfId="0" applyFont="1" applyFill="1" applyBorder="1" applyAlignment="1">
      <alignment horizontal="center"/>
    </xf>
    <xf numFmtId="0" fontId="25" fillId="51" borderId="19" xfId="0" applyFont="1" applyFill="1" applyBorder="1" applyAlignment="1">
      <alignment horizontal="center"/>
    </xf>
    <xf numFmtId="0" fontId="25" fillId="51" borderId="12" xfId="0" applyFont="1" applyFill="1" applyBorder="1" applyAlignment="1">
      <alignment horizontal="center"/>
    </xf>
    <xf numFmtId="0" fontId="26" fillId="61" borderId="7" xfId="0" applyFont="1" applyFill="1" applyBorder="1" applyAlignment="1">
      <alignment horizontal="center"/>
    </xf>
    <xf numFmtId="0" fontId="26" fillId="61" borderId="19" xfId="0" applyFont="1" applyFill="1" applyBorder="1" applyAlignment="1">
      <alignment horizontal="center"/>
    </xf>
    <xf numFmtId="0" fontId="26" fillId="61" borderId="12" xfId="0" applyFont="1" applyFill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27" fillId="0" borderId="119" xfId="0" applyFont="1" applyBorder="1" applyAlignment="1">
      <alignment horizontal="center"/>
    </xf>
    <xf numFmtId="0" fontId="27" fillId="0" borderId="54" xfId="0" applyFont="1" applyBorder="1" applyAlignment="1">
      <alignment horizontal="center"/>
    </xf>
    <xf numFmtId="0" fontId="27" fillId="0" borderId="120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5" fillId="51" borderId="0" xfId="0" applyFont="1" applyFill="1" applyAlignment="1">
      <alignment horizontal="center"/>
    </xf>
    <xf numFmtId="0" fontId="26" fillId="0" borderId="54" xfId="0" applyFont="1" applyBorder="1" applyAlignment="1">
      <alignment horizontal="center"/>
    </xf>
    <xf numFmtId="0" fontId="26" fillId="20" borderId="4" xfId="0" applyFont="1" applyFill="1" applyBorder="1" applyAlignment="1">
      <alignment horizontal="center"/>
    </xf>
    <xf numFmtId="0" fontId="26" fillId="20" borderId="29" xfId="0" applyFont="1" applyFill="1" applyBorder="1" applyAlignment="1">
      <alignment horizontal="center"/>
    </xf>
    <xf numFmtId="0" fontId="26" fillId="20" borderId="30" xfId="0" applyFont="1" applyFill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7" fillId="20" borderId="29" xfId="0" applyFont="1" applyFill="1" applyBorder="1" applyAlignment="1">
      <alignment horizontal="center"/>
    </xf>
    <xf numFmtId="0" fontId="27" fillId="20" borderId="30" xfId="0" applyFont="1" applyFill="1" applyBorder="1" applyAlignment="1">
      <alignment horizontal="center"/>
    </xf>
    <xf numFmtId="0" fontId="27" fillId="0" borderId="21" xfId="0" applyFont="1" applyBorder="1" applyAlignment="1">
      <alignment vertical="top"/>
    </xf>
    <xf numFmtId="0" fontId="27" fillId="0" borderId="22" xfId="0" applyFont="1" applyBorder="1" applyAlignment="1">
      <alignment vertical="top"/>
    </xf>
    <xf numFmtId="0" fontId="27" fillId="0" borderId="50" xfId="0" applyFont="1" applyBorder="1" applyAlignment="1">
      <alignment vertical="top"/>
    </xf>
    <xf numFmtId="0" fontId="27" fillId="0" borderId="53" xfId="0" applyFont="1" applyBorder="1" applyAlignment="1">
      <alignment vertical="top"/>
    </xf>
    <xf numFmtId="0" fontId="27" fillId="0" borderId="26" xfId="0" applyFont="1" applyBorder="1" applyAlignment="1">
      <alignment vertical="top"/>
    </xf>
    <xf numFmtId="0" fontId="27" fillId="0" borderId="16" xfId="0" applyFont="1" applyBorder="1" applyAlignment="1">
      <alignment vertical="top"/>
    </xf>
    <xf numFmtId="0" fontId="26" fillId="12" borderId="3" xfId="0" applyFont="1" applyFill="1" applyBorder="1" applyAlignment="1">
      <alignment horizontal="center"/>
    </xf>
    <xf numFmtId="0" fontId="26" fillId="19" borderId="3" xfId="0" applyFont="1" applyFill="1" applyBorder="1" applyAlignment="1">
      <alignment horizontal="center"/>
    </xf>
    <xf numFmtId="0" fontId="26" fillId="10" borderId="13" xfId="0" applyFont="1" applyFill="1" applyBorder="1" applyAlignment="1">
      <alignment horizontal="center"/>
    </xf>
    <xf numFmtId="0" fontId="27" fillId="0" borderId="52" xfId="0" applyFont="1" applyBorder="1" applyAlignment="1">
      <alignment vertical="top"/>
    </xf>
    <xf numFmtId="0" fontId="27" fillId="0" borderId="24" xfId="0" applyFont="1" applyBorder="1" applyAlignment="1">
      <alignment vertical="top"/>
    </xf>
    <xf numFmtId="0" fontId="27" fillId="0" borderId="40" xfId="0" applyFont="1" applyBorder="1" applyAlignment="1">
      <alignment vertical="top"/>
    </xf>
    <xf numFmtId="0" fontId="27" fillId="0" borderId="31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6" fillId="12" borderId="14" xfId="0" applyFont="1" applyFill="1" applyBorder="1" applyAlignment="1">
      <alignment horizontal="center"/>
    </xf>
    <xf numFmtId="0" fontId="27" fillId="0" borderId="28" xfId="0" applyFont="1" applyBorder="1" applyAlignment="1">
      <alignment vertical="top"/>
    </xf>
    <xf numFmtId="0" fontId="27" fillId="0" borderId="0" xfId="0" applyFont="1" applyAlignment="1">
      <alignment vertical="top"/>
    </xf>
    <xf numFmtId="0" fontId="27" fillId="0" borderId="38" xfId="0" applyFont="1" applyBorder="1" applyAlignment="1">
      <alignment vertical="top"/>
    </xf>
    <xf numFmtId="1" fontId="27" fillId="0" borderId="57" xfId="0" applyNumberFormat="1" applyFont="1" applyBorder="1" applyAlignment="1">
      <alignment horizontal="center"/>
    </xf>
    <xf numFmtId="1" fontId="27" fillId="0" borderId="44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5" fillId="51" borderId="22" xfId="0" applyFont="1" applyFill="1" applyBorder="1" applyAlignment="1">
      <alignment horizontal="center"/>
    </xf>
    <xf numFmtId="0" fontId="26" fillId="12" borderId="0" xfId="0" applyFont="1" applyFill="1" applyAlignment="1">
      <alignment horizontal="center"/>
    </xf>
    <xf numFmtId="0" fontId="27" fillId="12" borderId="0" xfId="0" applyFont="1" applyFill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26" fillId="10" borderId="21" xfId="0" applyFont="1" applyFill="1" applyBorder="1" applyAlignment="1">
      <alignment horizontal="center"/>
    </xf>
    <xf numFmtId="0" fontId="26" fillId="10" borderId="15" xfId="0" applyFont="1" applyFill="1" applyBorder="1" applyAlignment="1">
      <alignment horizontal="center"/>
    </xf>
    <xf numFmtId="18" fontId="27" fillId="0" borderId="1" xfId="0" quotePrefix="1" applyNumberFormat="1" applyFont="1" applyBorder="1" applyAlignment="1">
      <alignment horizontal="center"/>
    </xf>
    <xf numFmtId="16" fontId="27" fillId="0" borderId="1" xfId="0" applyNumberFormat="1" applyFont="1" applyBorder="1" applyAlignment="1">
      <alignment horizontal="center"/>
    </xf>
    <xf numFmtId="0" fontId="26" fillId="10" borderId="30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54" fillId="18" borderId="58" xfId="0" applyFont="1" applyFill="1" applyBorder="1" applyAlignment="1">
      <alignment horizontal="center"/>
    </xf>
    <xf numFmtId="0" fontId="25" fillId="51" borderId="58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26" fillId="10" borderId="11" xfId="0" applyFont="1" applyFill="1" applyBorder="1" applyAlignment="1">
      <alignment horizontal="center"/>
    </xf>
    <xf numFmtId="0" fontId="26" fillId="10" borderId="32" xfId="0" applyFont="1" applyFill="1" applyBorder="1" applyAlignment="1">
      <alignment horizontal="center"/>
    </xf>
    <xf numFmtId="0" fontId="26" fillId="10" borderId="33" xfId="0" applyFont="1" applyFill="1" applyBorder="1" applyAlignment="1">
      <alignment horizontal="center"/>
    </xf>
    <xf numFmtId="0" fontId="26" fillId="10" borderId="41" xfId="0" applyFont="1" applyFill="1" applyBorder="1" applyAlignment="1">
      <alignment horizontal="center"/>
    </xf>
    <xf numFmtId="0" fontId="26" fillId="10" borderId="42" xfId="0" applyFont="1" applyFill="1" applyBorder="1" applyAlignment="1">
      <alignment horizontal="center"/>
    </xf>
    <xf numFmtId="0" fontId="26" fillId="10" borderId="77" xfId="0" applyFont="1" applyFill="1" applyBorder="1" applyAlignment="1">
      <alignment horizontal="center"/>
    </xf>
    <xf numFmtId="0" fontId="26" fillId="10" borderId="85" xfId="0" applyFont="1" applyFill="1" applyBorder="1" applyAlignment="1">
      <alignment horizontal="center"/>
    </xf>
    <xf numFmtId="0" fontId="26" fillId="10" borderId="93" xfId="0" applyFont="1" applyFill="1" applyBorder="1" applyAlignment="1">
      <alignment horizontal="center"/>
    </xf>
    <xf numFmtId="0" fontId="26" fillId="10" borderId="23" xfId="0" applyFont="1" applyFill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6" fillId="10" borderId="78" xfId="0" applyFont="1" applyFill="1" applyBorder="1" applyAlignment="1">
      <alignment horizontal="center"/>
    </xf>
    <xf numFmtId="0" fontId="26" fillId="10" borderId="60" xfId="0" applyFont="1" applyFill="1" applyBorder="1" applyAlignment="1">
      <alignment horizontal="center"/>
    </xf>
    <xf numFmtId="0" fontId="26" fillId="10" borderId="63" xfId="0" applyFont="1" applyFill="1" applyBorder="1" applyAlignment="1">
      <alignment horizontal="center"/>
    </xf>
    <xf numFmtId="0" fontId="26" fillId="10" borderId="64" xfId="0" applyFont="1" applyFill="1" applyBorder="1" applyAlignment="1">
      <alignment horizontal="center"/>
    </xf>
    <xf numFmtId="0" fontId="26" fillId="10" borderId="5" xfId="0" applyFont="1" applyFill="1" applyBorder="1" applyAlignment="1">
      <alignment horizontal="center"/>
    </xf>
    <xf numFmtId="0" fontId="26" fillId="10" borderId="9" xfId="0" applyFont="1" applyFill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124" xfId="0" applyFont="1" applyBorder="1" applyAlignment="1">
      <alignment horizontal="center"/>
    </xf>
    <xf numFmtId="3" fontId="27" fillId="0" borderId="2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7" fillId="0" borderId="92" xfId="0" applyNumberFormat="1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14" fontId="27" fillId="0" borderId="31" xfId="0" applyNumberFormat="1" applyFont="1" applyBorder="1" applyAlignment="1">
      <alignment horizontal="center"/>
    </xf>
    <xf numFmtId="0" fontId="27" fillId="0" borderId="89" xfId="0" applyFont="1" applyBorder="1" applyAlignment="1">
      <alignment horizontal="center"/>
    </xf>
    <xf numFmtId="0" fontId="26" fillId="10" borderId="35" xfId="0" applyFont="1" applyFill="1" applyBorder="1" applyAlignment="1">
      <alignment horizontal="center"/>
    </xf>
    <xf numFmtId="0" fontId="26" fillId="10" borderId="34" xfId="0" applyFont="1" applyFill="1" applyBorder="1" applyAlignment="1">
      <alignment horizontal="center"/>
    </xf>
    <xf numFmtId="0" fontId="26" fillId="10" borderId="104" xfId="0" applyFont="1" applyFill="1" applyBorder="1" applyAlignment="1">
      <alignment horizontal="center"/>
    </xf>
    <xf numFmtId="0" fontId="26" fillId="10" borderId="101" xfId="0" applyFont="1" applyFill="1" applyBorder="1" applyAlignment="1">
      <alignment horizontal="center"/>
    </xf>
    <xf numFmtId="0" fontId="26" fillId="10" borderId="37" xfId="0" applyFont="1" applyFill="1" applyBorder="1" applyAlignment="1">
      <alignment horizontal="center"/>
    </xf>
    <xf numFmtId="164" fontId="27" fillId="0" borderId="31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7" fillId="0" borderId="51" xfId="0" applyNumberFormat="1" applyFont="1" applyBorder="1" applyAlignment="1">
      <alignment horizontal="center"/>
    </xf>
    <xf numFmtId="0" fontId="30" fillId="0" borderId="52" xfId="4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12" borderId="89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/>
    </xf>
    <xf numFmtId="0" fontId="26" fillId="10" borderId="76" xfId="0" applyFont="1" applyFill="1" applyBorder="1" applyAlignment="1">
      <alignment horizontal="center"/>
    </xf>
    <xf numFmtId="0" fontId="0" fillId="0" borderId="142" xfId="0" applyBorder="1" applyAlignment="1">
      <alignment horizontal="center"/>
    </xf>
    <xf numFmtId="0" fontId="0" fillId="0" borderId="63" xfId="0" applyBorder="1" applyAlignment="1">
      <alignment horizontal="center"/>
    </xf>
    <xf numFmtId="0" fontId="26" fillId="12" borderId="144" xfId="0" applyFont="1" applyFill="1" applyBorder="1" applyAlignment="1">
      <alignment horizontal="center"/>
    </xf>
    <xf numFmtId="0" fontId="26" fillId="12" borderId="6" xfId="0" applyFont="1" applyFill="1" applyBorder="1" applyAlignment="1">
      <alignment horizontal="center"/>
    </xf>
    <xf numFmtId="0" fontId="27" fillId="0" borderId="141" xfId="0" applyFont="1" applyBorder="1" applyAlignment="1">
      <alignment horizontal="center"/>
    </xf>
    <xf numFmtId="0" fontId="27" fillId="0" borderId="123" xfId="0" applyFont="1" applyBorder="1" applyAlignment="1">
      <alignment horizontal="center"/>
    </xf>
    <xf numFmtId="0" fontId="26" fillId="10" borderId="58" xfId="0" applyFont="1" applyFill="1" applyBorder="1" applyAlignment="1">
      <alignment horizontal="center"/>
    </xf>
    <xf numFmtId="2" fontId="27" fillId="12" borderId="58" xfId="0" applyNumberFormat="1" applyFont="1" applyFill="1" applyBorder="1" applyAlignment="1">
      <alignment horizontal="center"/>
    </xf>
    <xf numFmtId="0" fontId="0" fillId="12" borderId="0" xfId="0" applyFill="1"/>
    <xf numFmtId="0" fontId="6" fillId="12" borderId="0" xfId="0" applyFont="1" applyFill="1" applyAlignment="1">
      <alignment horizontal="center"/>
    </xf>
    <xf numFmtId="0" fontId="27" fillId="0" borderId="20" xfId="0" applyFont="1" applyBorder="1" applyAlignment="1">
      <alignment horizontal="center"/>
    </xf>
    <xf numFmtId="0" fontId="26" fillId="10" borderId="68" xfId="0" applyFont="1" applyFill="1" applyBorder="1" applyAlignment="1">
      <alignment horizontal="center"/>
    </xf>
    <xf numFmtId="0" fontId="26" fillId="10" borderId="70" xfId="0" applyFont="1" applyFill="1" applyBorder="1" applyAlignment="1">
      <alignment horizontal="center"/>
    </xf>
    <xf numFmtId="0" fontId="26" fillId="10" borderId="89" xfId="0" applyFont="1" applyFill="1" applyBorder="1" applyAlignment="1">
      <alignment horizontal="center"/>
    </xf>
    <xf numFmtId="0" fontId="26" fillId="10" borderId="4" xfId="0" applyFont="1" applyFill="1" applyBorder="1" applyAlignment="1">
      <alignment horizontal="center"/>
    </xf>
    <xf numFmtId="0" fontId="26" fillId="10" borderId="0" xfId="0" applyFont="1" applyFill="1" applyAlignment="1">
      <alignment horizontal="center"/>
    </xf>
    <xf numFmtId="0" fontId="26" fillId="10" borderId="38" xfId="0" applyFont="1" applyFill="1" applyBorder="1" applyAlignment="1">
      <alignment horizontal="center"/>
    </xf>
    <xf numFmtId="0" fontId="27" fillId="0" borderId="27" xfId="0" applyFont="1" applyBorder="1" applyAlignment="1">
      <alignment horizontal="center" wrapText="1"/>
    </xf>
    <xf numFmtId="0" fontId="27" fillId="0" borderId="22" xfId="0" applyFont="1" applyBorder="1" applyAlignment="1">
      <alignment horizontal="center" wrapText="1"/>
    </xf>
    <xf numFmtId="0" fontId="27" fillId="0" borderId="50" xfId="0" applyFont="1" applyBorder="1" applyAlignment="1">
      <alignment horizontal="center" wrapText="1"/>
    </xf>
    <xf numFmtId="0" fontId="25" fillId="51" borderId="68" xfId="0" applyFont="1" applyFill="1" applyBorder="1" applyAlignment="1">
      <alignment horizontal="center"/>
    </xf>
    <xf numFmtId="0" fontId="25" fillId="51" borderId="69" xfId="0" applyFont="1" applyFill="1" applyBorder="1" applyAlignment="1">
      <alignment horizontal="center"/>
    </xf>
    <xf numFmtId="0" fontId="25" fillId="51" borderId="63" xfId="0" applyFont="1" applyFill="1" applyBorder="1" applyAlignment="1">
      <alignment horizontal="center"/>
    </xf>
    <xf numFmtId="0" fontId="25" fillId="51" borderId="64" xfId="0" applyFont="1" applyFill="1" applyBorder="1" applyAlignment="1">
      <alignment horizontal="center"/>
    </xf>
    <xf numFmtId="0" fontId="26" fillId="10" borderId="27" xfId="0" applyFont="1" applyFill="1" applyBorder="1" applyAlignment="1">
      <alignment horizontal="center"/>
    </xf>
    <xf numFmtId="0" fontId="27" fillId="0" borderId="52" xfId="0" applyFont="1" applyBorder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7" fillId="0" borderId="54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6" fillId="10" borderId="43" xfId="0" applyFont="1" applyFill="1" applyBorder="1" applyAlignment="1">
      <alignment horizontal="center"/>
    </xf>
    <xf numFmtId="0" fontId="26" fillId="10" borderId="20" xfId="0" applyFont="1" applyFill="1" applyBorder="1" applyAlignment="1">
      <alignment horizontal="center"/>
    </xf>
    <xf numFmtId="0" fontId="26" fillId="10" borderId="18" xfId="0" applyFont="1" applyFill="1" applyBorder="1" applyAlignment="1">
      <alignment horizontal="center"/>
    </xf>
    <xf numFmtId="0" fontId="27" fillId="0" borderId="55" xfId="0" applyFont="1" applyBorder="1" applyAlignment="1">
      <alignment horizontal="center" wrapText="1"/>
    </xf>
    <xf numFmtId="0" fontId="27" fillId="0" borderId="56" xfId="0" applyFont="1" applyBorder="1" applyAlignment="1">
      <alignment horizontal="center" wrapText="1"/>
    </xf>
    <xf numFmtId="0" fontId="27" fillId="0" borderId="44" xfId="0" applyFont="1" applyBorder="1" applyAlignment="1">
      <alignment horizontal="center" wrapText="1"/>
    </xf>
    <xf numFmtId="0" fontId="41" fillId="51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5" fillId="8" borderId="0" xfId="0" applyFont="1" applyFill="1" applyAlignment="1">
      <alignment horizontal="center"/>
    </xf>
    <xf numFmtId="0" fontId="26" fillId="27" borderId="3" xfId="0" applyFont="1" applyFill="1" applyBorder="1" applyAlignment="1">
      <alignment horizontal="left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6" xfId="0" applyFont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7" fillId="0" borderId="39" xfId="0" applyFont="1" applyBorder="1" applyAlignment="1">
      <alignment horizontal="center"/>
    </xf>
    <xf numFmtId="0" fontId="27" fillId="0" borderId="71" xfId="0" applyFont="1" applyBorder="1" applyAlignment="1">
      <alignment horizontal="left" vertical="center" wrapText="1"/>
    </xf>
    <xf numFmtId="0" fontId="29" fillId="18" borderId="4" xfId="0" applyFont="1" applyFill="1" applyBorder="1" applyAlignment="1">
      <alignment horizontal="center" vertical="top"/>
    </xf>
    <xf numFmtId="0" fontId="29" fillId="18" borderId="29" xfId="0" applyFont="1" applyFill="1" applyBorder="1" applyAlignment="1">
      <alignment horizontal="center" vertical="top"/>
    </xf>
    <xf numFmtId="0" fontId="29" fillId="18" borderId="30" xfId="0" applyFont="1" applyFill="1" applyBorder="1" applyAlignment="1">
      <alignment horizontal="center" vertical="top"/>
    </xf>
    <xf numFmtId="0" fontId="29" fillId="2" borderId="4" xfId="0" applyFont="1" applyFill="1" applyBorder="1" applyAlignment="1">
      <alignment horizontal="center" vertical="top"/>
    </xf>
    <xf numFmtId="0" fontId="29" fillId="2" borderId="29" xfId="0" applyFont="1" applyFill="1" applyBorder="1" applyAlignment="1">
      <alignment horizontal="center" vertical="top"/>
    </xf>
    <xf numFmtId="0" fontId="29" fillId="2" borderId="30" xfId="0" applyFont="1" applyFill="1" applyBorder="1" applyAlignment="1">
      <alignment horizontal="center" vertical="top"/>
    </xf>
    <xf numFmtId="0" fontId="48" fillId="57" borderId="26" xfId="0" applyFont="1" applyFill="1" applyBorder="1" applyAlignment="1">
      <alignment horizontal="center"/>
    </xf>
    <xf numFmtId="0" fontId="32" fillId="0" borderId="134" xfId="0" applyFont="1" applyBorder="1" applyAlignment="1" applyProtection="1">
      <alignment horizontal="center"/>
      <protection hidden="1"/>
    </xf>
    <xf numFmtId="0" fontId="32" fillId="0" borderId="126" xfId="0" applyFont="1" applyBorder="1" applyAlignment="1" applyProtection="1">
      <alignment horizontal="center"/>
      <protection hidden="1"/>
    </xf>
    <xf numFmtId="0" fontId="32" fillId="0" borderId="38" xfId="0" applyFont="1" applyBorder="1" applyAlignment="1" applyProtection="1">
      <alignment horizontal="center"/>
      <protection hidden="1"/>
    </xf>
    <xf numFmtId="0" fontId="32" fillId="0" borderId="135" xfId="0" applyFont="1" applyBorder="1" applyAlignment="1" applyProtection="1">
      <alignment horizontal="center"/>
      <protection hidden="1"/>
    </xf>
    <xf numFmtId="0" fontId="32" fillId="0" borderId="127" xfId="0" applyFont="1" applyBorder="1" applyAlignment="1" applyProtection="1">
      <alignment horizontal="center"/>
      <protection hidden="1"/>
    </xf>
    <xf numFmtId="0" fontId="18" fillId="0" borderId="125" xfId="0" applyFont="1" applyBorder="1" applyAlignment="1" applyProtection="1">
      <alignment horizontal="center" vertical="center" textRotation="90"/>
      <protection hidden="1"/>
    </xf>
    <xf numFmtId="0" fontId="18" fillId="0" borderId="126" xfId="0" applyFont="1" applyBorder="1" applyAlignment="1" applyProtection="1">
      <alignment horizontal="center" vertical="center" textRotation="90"/>
      <protection hidden="1"/>
    </xf>
    <xf numFmtId="0" fontId="18" fillId="0" borderId="127" xfId="0" applyFont="1" applyBorder="1" applyAlignment="1" applyProtection="1">
      <alignment horizontal="center" vertical="center" textRotation="90"/>
      <protection hidden="1"/>
    </xf>
    <xf numFmtId="0" fontId="32" fillId="0" borderId="133" xfId="0" applyFont="1" applyBorder="1" applyAlignment="1" applyProtection="1">
      <alignment horizontal="center"/>
      <protection hidden="1"/>
    </xf>
    <xf numFmtId="0" fontId="32" fillId="0" borderId="125" xfId="0" applyFont="1" applyBorder="1" applyAlignment="1" applyProtection="1">
      <alignment horizontal="center"/>
      <protection hidden="1"/>
    </xf>
    <xf numFmtId="0" fontId="32" fillId="0" borderId="139" xfId="0" applyFont="1" applyBorder="1" applyAlignment="1" applyProtection="1">
      <alignment horizontal="center"/>
      <protection hidden="1"/>
    </xf>
    <xf numFmtId="0" fontId="32" fillId="0" borderId="140" xfId="0" applyFont="1" applyBorder="1" applyAlignment="1" applyProtection="1">
      <alignment horizontal="center"/>
      <protection hidden="1"/>
    </xf>
    <xf numFmtId="0" fontId="55" fillId="18" borderId="60" xfId="0" applyFont="1" applyFill="1" applyBorder="1" applyAlignment="1">
      <alignment horizontal="center"/>
    </xf>
    <xf numFmtId="0" fontId="55" fillId="18" borderId="63" xfId="0" applyFont="1" applyFill="1" applyBorder="1" applyAlignment="1">
      <alignment horizontal="center"/>
    </xf>
    <xf numFmtId="0" fontId="55" fillId="18" borderId="64" xfId="0" applyFont="1" applyFill="1" applyBorder="1" applyAlignment="1">
      <alignment horizontal="center"/>
    </xf>
    <xf numFmtId="0" fontId="55" fillId="18" borderId="61" xfId="0" applyFont="1" applyFill="1" applyBorder="1" applyAlignment="1">
      <alignment horizontal="center"/>
    </xf>
    <xf numFmtId="0" fontId="55" fillId="18" borderId="0" xfId="0" applyFont="1" applyFill="1" applyAlignment="1">
      <alignment horizontal="center"/>
    </xf>
    <xf numFmtId="0" fontId="55" fillId="18" borderId="65" xfId="0" applyFont="1" applyFill="1" applyBorder="1" applyAlignment="1">
      <alignment horizontal="center"/>
    </xf>
    <xf numFmtId="0" fontId="55" fillId="18" borderId="62" xfId="0" applyFont="1" applyFill="1" applyBorder="1" applyAlignment="1">
      <alignment horizontal="center"/>
    </xf>
    <xf numFmtId="0" fontId="55" fillId="18" borderId="66" xfId="0" applyFont="1" applyFill="1" applyBorder="1" applyAlignment="1">
      <alignment horizontal="center"/>
    </xf>
    <xf numFmtId="0" fontId="55" fillId="18" borderId="67" xfId="0" applyFont="1" applyFill="1" applyBorder="1" applyAlignment="1">
      <alignment horizontal="center"/>
    </xf>
    <xf numFmtId="0" fontId="44" fillId="52" borderId="0" xfId="0" applyFont="1" applyFill="1" applyAlignment="1">
      <alignment horizontal="center" vertical="center"/>
    </xf>
    <xf numFmtId="0" fontId="47" fillId="38" borderId="0" xfId="0" applyFont="1" applyFill="1" applyAlignment="1" applyProtection="1">
      <alignment horizontal="center" vertical="center" wrapText="1"/>
      <protection hidden="1"/>
    </xf>
    <xf numFmtId="0" fontId="47" fillId="38" borderId="38" xfId="0" applyFont="1" applyFill="1" applyBorder="1" applyAlignment="1" applyProtection="1">
      <alignment horizontal="center" vertical="center" wrapText="1"/>
      <protection hidden="1"/>
    </xf>
    <xf numFmtId="0" fontId="46" fillId="0" borderId="132" xfId="0" applyFont="1" applyBorder="1" applyAlignment="1" applyProtection="1">
      <alignment horizontal="center"/>
      <protection hidden="1"/>
    </xf>
    <xf numFmtId="0" fontId="46" fillId="0" borderId="136" xfId="0" applyFont="1" applyBorder="1" applyAlignment="1" applyProtection="1">
      <alignment horizontal="center"/>
      <protection hidden="1"/>
    </xf>
    <xf numFmtId="0" fontId="46" fillId="0" borderId="138" xfId="0" applyFont="1" applyBorder="1" applyAlignment="1" applyProtection="1">
      <alignment horizontal="center"/>
      <protection hidden="1"/>
    </xf>
    <xf numFmtId="0" fontId="18" fillId="0" borderId="132" xfId="0" applyFont="1" applyBorder="1" applyAlignment="1" applyProtection="1">
      <alignment horizontal="center"/>
      <protection hidden="1"/>
    </xf>
    <xf numFmtId="0" fontId="18" fillId="0" borderId="137" xfId="0" applyFont="1" applyBorder="1" applyAlignment="1" applyProtection="1">
      <alignment horizontal="center"/>
      <protection hidden="1"/>
    </xf>
    <xf numFmtId="0" fontId="5" fillId="17" borderId="61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5" fillId="17" borderId="65" xfId="0" applyFont="1" applyFill="1" applyBorder="1" applyAlignment="1">
      <alignment horizontal="center" vertical="center" wrapText="1"/>
    </xf>
    <xf numFmtId="0" fontId="5" fillId="17" borderId="62" xfId="0" applyFont="1" applyFill="1" applyBorder="1" applyAlignment="1">
      <alignment horizontal="center" vertical="center" wrapText="1"/>
    </xf>
    <xf numFmtId="0" fontId="5" fillId="17" borderId="66" xfId="0" applyFont="1" applyFill="1" applyBorder="1" applyAlignment="1">
      <alignment horizontal="center" vertical="center" wrapText="1"/>
    </xf>
    <xf numFmtId="0" fontId="5" fillId="17" borderId="67" xfId="0" applyFont="1" applyFill="1" applyBorder="1" applyAlignment="1">
      <alignment horizontal="center" vertical="center" wrapText="1"/>
    </xf>
    <xf numFmtId="0" fontId="6" fillId="26" borderId="61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18" fillId="0" borderId="138" xfId="0" applyFont="1" applyBorder="1" applyAlignment="1" applyProtection="1">
      <alignment horizontal="center"/>
      <protection hidden="1"/>
    </xf>
    <xf numFmtId="0" fontId="60" fillId="12" borderId="1" xfId="0" applyFont="1" applyFill="1" applyBorder="1" applyAlignment="1">
      <alignment horizontal="center" vertical="center"/>
    </xf>
    <xf numFmtId="0" fontId="60" fillId="58" borderId="6" xfId="0" applyFont="1" applyFill="1" applyBorder="1" applyAlignment="1">
      <alignment horizontal="center" vertical="center" wrapText="1"/>
    </xf>
    <xf numFmtId="0" fontId="60" fillId="58" borderId="10" xfId="0" applyFont="1" applyFill="1" applyBorder="1" applyAlignment="1">
      <alignment horizontal="center" vertical="center" wrapText="1"/>
    </xf>
    <xf numFmtId="0" fontId="60" fillId="58" borderId="2" xfId="0" applyFont="1" applyFill="1" applyBorder="1" applyAlignment="1">
      <alignment horizontal="center" vertical="center" wrapText="1"/>
    </xf>
    <xf numFmtId="0" fontId="61" fillId="51" borderId="4" xfId="0" applyFont="1" applyFill="1" applyBorder="1" applyAlignment="1">
      <alignment horizontal="center" vertical="center"/>
    </xf>
    <xf numFmtId="0" fontId="61" fillId="51" borderId="29" xfId="0" applyFont="1" applyFill="1" applyBorder="1" applyAlignment="1">
      <alignment horizontal="center" vertical="center"/>
    </xf>
    <xf numFmtId="0" fontId="61" fillId="51" borderId="30" xfId="0" applyFont="1" applyFill="1" applyBorder="1" applyAlignment="1">
      <alignment horizontal="center" vertical="center"/>
    </xf>
    <xf numFmtId="14" fontId="60" fillId="12" borderId="4" xfId="0" applyNumberFormat="1" applyFont="1" applyFill="1" applyBorder="1" applyAlignment="1">
      <alignment horizontal="center" vertical="center"/>
    </xf>
    <xf numFmtId="14" fontId="60" fillId="12" borderId="29" xfId="0" applyNumberFormat="1" applyFont="1" applyFill="1" applyBorder="1" applyAlignment="1">
      <alignment horizontal="center" vertical="center"/>
    </xf>
    <xf numFmtId="14" fontId="60" fillId="12" borderId="30" xfId="0" applyNumberFormat="1" applyFont="1" applyFill="1" applyBorder="1" applyAlignment="1">
      <alignment horizontal="center" vertical="center"/>
    </xf>
    <xf numFmtId="0" fontId="60" fillId="50" borderId="6" xfId="0" applyFont="1" applyFill="1" applyBorder="1" applyAlignment="1">
      <alignment horizontal="center" vertical="center" wrapText="1"/>
    </xf>
    <xf numFmtId="0" fontId="60" fillId="50" borderId="10" xfId="0" applyFont="1" applyFill="1" applyBorder="1" applyAlignment="1">
      <alignment horizontal="center" vertical="center" wrapText="1"/>
    </xf>
    <xf numFmtId="0" fontId="60" fillId="50" borderId="2" xfId="0" applyFont="1" applyFill="1" applyBorder="1" applyAlignment="1">
      <alignment horizontal="center" vertical="center" wrapText="1"/>
    </xf>
    <xf numFmtId="0" fontId="60" fillId="20" borderId="6" xfId="0" applyFont="1" applyFill="1" applyBorder="1" applyAlignment="1">
      <alignment horizontal="center" vertical="center" wrapText="1"/>
    </xf>
    <xf numFmtId="0" fontId="60" fillId="20" borderId="10" xfId="0" applyFont="1" applyFill="1" applyBorder="1" applyAlignment="1">
      <alignment horizontal="center" vertical="center" wrapText="1"/>
    </xf>
    <xf numFmtId="0" fontId="60" fillId="26" borderId="1" xfId="0" applyFont="1" applyFill="1" applyBorder="1" applyAlignment="1">
      <alignment horizontal="center" vertical="center" wrapText="1"/>
    </xf>
    <xf numFmtId="0" fontId="60" fillId="28" borderId="37" xfId="0" applyFont="1" applyFill="1" applyBorder="1" applyAlignment="1">
      <alignment horizontal="center" vertical="center" wrapText="1"/>
    </xf>
    <xf numFmtId="0" fontId="60" fillId="28" borderId="25" xfId="0" applyFont="1" applyFill="1" applyBorder="1" applyAlignment="1">
      <alignment horizontal="center" vertical="center" wrapText="1"/>
    </xf>
    <xf numFmtId="0" fontId="60" fillId="27" borderId="1" xfId="0" applyFont="1" applyFill="1" applyBorder="1" applyAlignment="1">
      <alignment horizontal="center" vertical="center" wrapText="1"/>
    </xf>
    <xf numFmtId="0" fontId="60" fillId="15" borderId="6" xfId="0" applyFont="1" applyFill="1" applyBorder="1" applyAlignment="1">
      <alignment horizontal="center" vertical="center" wrapText="1"/>
    </xf>
    <xf numFmtId="0" fontId="60" fillId="15" borderId="10" xfId="0" applyFont="1" applyFill="1" applyBorder="1" applyAlignment="1">
      <alignment horizontal="center" vertical="center" wrapText="1"/>
    </xf>
    <xf numFmtId="0" fontId="60" fillId="15" borderId="25" xfId="0" applyFont="1" applyFill="1" applyBorder="1" applyAlignment="1">
      <alignment horizontal="center" vertical="center" wrapText="1"/>
    </xf>
    <xf numFmtId="0" fontId="60" fillId="5" borderId="25" xfId="0" applyFont="1" applyFill="1" applyBorder="1" applyAlignment="1">
      <alignment horizontal="center" vertical="center" wrapText="1"/>
    </xf>
    <xf numFmtId="0" fontId="60" fillId="5" borderId="4" xfId="0" applyFont="1" applyFill="1" applyBorder="1" applyAlignment="1">
      <alignment horizontal="center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60" fillId="5" borderId="39" xfId="0" applyFont="1" applyFill="1" applyBorder="1" applyAlignment="1">
      <alignment horizontal="center" vertical="center" wrapText="1"/>
    </xf>
    <xf numFmtId="0" fontId="60" fillId="6" borderId="6" xfId="0" applyFont="1" applyFill="1" applyBorder="1" applyAlignment="1">
      <alignment horizontal="center" vertical="center" wrapText="1"/>
    </xf>
    <xf numFmtId="0" fontId="60" fillId="6" borderId="10" xfId="0" applyFont="1" applyFill="1" applyBorder="1" applyAlignment="1">
      <alignment horizontal="center" vertical="center" wrapText="1"/>
    </xf>
    <xf numFmtId="0" fontId="60" fillId="12" borderId="4" xfId="0" applyFont="1" applyFill="1" applyBorder="1" applyAlignment="1">
      <alignment horizontal="center" vertical="center"/>
    </xf>
    <xf numFmtId="0" fontId="60" fillId="12" borderId="1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 vertical="center" wrapText="1"/>
    </xf>
    <xf numFmtId="0" fontId="38" fillId="12" borderId="4" xfId="0" applyFont="1" applyFill="1" applyBorder="1" applyAlignment="1">
      <alignment horizontal="center" vertical="center" wrapText="1"/>
    </xf>
    <xf numFmtId="0" fontId="26" fillId="18" borderId="68" xfId="0" applyFont="1" applyFill="1" applyBorder="1" applyAlignment="1">
      <alignment horizontal="center"/>
    </xf>
    <xf numFmtId="0" fontId="26" fillId="18" borderId="70" xfId="0" applyFont="1" applyFill="1" applyBorder="1" applyAlignment="1">
      <alignment horizontal="center"/>
    </xf>
    <xf numFmtId="164" fontId="27" fillId="12" borderId="68" xfId="0" applyNumberFormat="1" applyFont="1" applyFill="1" applyBorder="1" applyAlignment="1">
      <alignment horizontal="center"/>
    </xf>
    <xf numFmtId="164" fontId="27" fillId="12" borderId="70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9" fillId="59" borderId="99" xfId="0" applyFont="1" applyFill="1" applyBorder="1" applyAlignment="1">
      <alignment horizontal="center"/>
    </xf>
    <xf numFmtId="0" fontId="29" fillId="59" borderId="100" xfId="0" applyFont="1" applyFill="1" applyBorder="1" applyAlignment="1">
      <alignment horizontal="center"/>
    </xf>
    <xf numFmtId="0" fontId="29" fillId="59" borderId="22" xfId="0" applyFont="1" applyFill="1" applyBorder="1" applyAlignment="1">
      <alignment horizontal="center"/>
    </xf>
    <xf numFmtId="0" fontId="29" fillId="59" borderId="15" xfId="0" applyFont="1" applyFill="1" applyBorder="1" applyAlignment="1">
      <alignment horizontal="center"/>
    </xf>
    <xf numFmtId="0" fontId="26" fillId="2" borderId="23" xfId="0" applyFont="1" applyFill="1" applyBorder="1" applyAlignment="1">
      <alignment horizontal="center"/>
    </xf>
    <xf numFmtId="0" fontId="26" fillId="2" borderId="20" xfId="0" applyFont="1" applyFill="1" applyBorder="1" applyAlignment="1">
      <alignment horizontal="center"/>
    </xf>
    <xf numFmtId="0" fontId="26" fillId="18" borderId="7" xfId="0" applyFont="1" applyFill="1" applyBorder="1" applyAlignment="1">
      <alignment horizontal="center"/>
    </xf>
    <xf numFmtId="0" fontId="26" fillId="18" borderId="12" xfId="0" applyFont="1" applyFill="1" applyBorder="1" applyAlignment="1">
      <alignment horizontal="center"/>
    </xf>
    <xf numFmtId="0" fontId="26" fillId="5" borderId="7" xfId="0" applyFont="1" applyFill="1" applyBorder="1" applyAlignment="1">
      <alignment horizontal="center"/>
    </xf>
    <xf numFmtId="0" fontId="26" fillId="5" borderId="12" xfId="0" applyFont="1" applyFill="1" applyBorder="1" applyAlignment="1">
      <alignment horizontal="center"/>
    </xf>
    <xf numFmtId="0" fontId="27" fillId="12" borderId="114" xfId="0" applyFont="1" applyFill="1" applyBorder="1" applyAlignment="1">
      <alignment horizontal="center"/>
    </xf>
    <xf numFmtId="0" fontId="27" fillId="12" borderId="115" xfId="0" applyFont="1" applyFill="1" applyBorder="1" applyAlignment="1">
      <alignment horizontal="center"/>
    </xf>
    <xf numFmtId="0" fontId="26" fillId="2" borderId="104" xfId="0" applyFont="1" applyFill="1" applyBorder="1" applyAlignment="1">
      <alignment horizontal="center"/>
    </xf>
    <xf numFmtId="0" fontId="26" fillId="2" borderId="105" xfId="0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26" fillId="19" borderId="12" xfId="0" applyFont="1" applyFill="1" applyBorder="1" applyAlignment="1">
      <alignment horizontal="center"/>
    </xf>
    <xf numFmtId="0" fontId="26" fillId="2" borderId="13" xfId="0" applyFont="1" applyFill="1" applyBorder="1" applyAlignment="1">
      <alignment horizontal="center"/>
    </xf>
    <xf numFmtId="0" fontId="27" fillId="12" borderId="90" xfId="0" applyFont="1" applyFill="1" applyBorder="1" applyAlignment="1">
      <alignment horizontal="center"/>
    </xf>
    <xf numFmtId="0" fontId="27" fillId="12" borderId="68" xfId="0" applyFont="1" applyFill="1" applyBorder="1" applyAlignment="1">
      <alignment horizontal="center"/>
    </xf>
    <xf numFmtId="0" fontId="27" fillId="12" borderId="70" xfId="0" applyFont="1" applyFill="1" applyBorder="1" applyAlignment="1">
      <alignment horizontal="center"/>
    </xf>
    <xf numFmtId="0" fontId="26" fillId="17" borderId="7" xfId="0" applyFont="1" applyFill="1" applyBorder="1" applyAlignment="1">
      <alignment horizontal="center"/>
    </xf>
    <xf numFmtId="0" fontId="26" fillId="17" borderId="12" xfId="0" applyFont="1" applyFill="1" applyBorder="1" applyAlignment="1">
      <alignment horizontal="center"/>
    </xf>
    <xf numFmtId="0" fontId="26" fillId="18" borderId="3" xfId="0" applyFont="1" applyFill="1" applyBorder="1" applyAlignment="1">
      <alignment horizontal="center"/>
    </xf>
    <xf numFmtId="0" fontId="27" fillId="12" borderId="13" xfId="0" applyFont="1" applyFill="1" applyBorder="1" applyAlignment="1">
      <alignment horizontal="center"/>
    </xf>
    <xf numFmtId="0" fontId="27" fillId="12" borderId="61" xfId="0" applyFont="1" applyFill="1" applyBorder="1" applyAlignment="1">
      <alignment horizontal="center"/>
    </xf>
    <xf numFmtId="0" fontId="36" fillId="10" borderId="4" xfId="0" applyFont="1" applyFill="1" applyBorder="1" applyAlignment="1">
      <alignment horizontal="center"/>
    </xf>
    <xf numFmtId="0" fontId="36" fillId="10" borderId="30" xfId="0" applyFont="1" applyFill="1" applyBorder="1" applyAlignment="1">
      <alignment horizontal="center"/>
    </xf>
    <xf numFmtId="1" fontId="27" fillId="12" borderId="1" xfId="0" applyNumberFormat="1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5" fillId="10" borderId="14" xfId="0" applyFont="1" applyFill="1" applyBorder="1" applyAlignment="1">
      <alignment horizontal="center"/>
    </xf>
    <xf numFmtId="0" fontId="25" fillId="44" borderId="99" xfId="0" applyFont="1" applyFill="1" applyBorder="1" applyAlignment="1">
      <alignment horizontal="center"/>
    </xf>
    <xf numFmtId="0" fontId="25" fillId="44" borderId="100" xfId="0" applyFont="1" applyFill="1" applyBorder="1" applyAlignment="1">
      <alignment horizontal="center"/>
    </xf>
    <xf numFmtId="0" fontId="25" fillId="44" borderId="101" xfId="0" applyFont="1" applyFill="1" applyBorder="1" applyAlignment="1">
      <alignment horizontal="center"/>
    </xf>
    <xf numFmtId="0" fontId="56" fillId="55" borderId="1" xfId="0" applyFont="1" applyFill="1" applyBorder="1" applyAlignment="1">
      <alignment horizontal="center" vertical="center"/>
    </xf>
    <xf numFmtId="0" fontId="57" fillId="55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wrapText="1"/>
    </xf>
    <xf numFmtId="0" fontId="25" fillId="10" borderId="60" xfId="0" applyFont="1" applyFill="1" applyBorder="1" applyAlignment="1">
      <alignment horizontal="center"/>
    </xf>
    <xf numFmtId="0" fontId="25" fillId="10" borderId="63" xfId="0" applyFont="1" applyFill="1" applyBorder="1" applyAlignment="1">
      <alignment horizontal="center"/>
    </xf>
    <xf numFmtId="0" fontId="25" fillId="10" borderId="64" xfId="0" applyFont="1" applyFill="1" applyBorder="1" applyAlignment="1">
      <alignment horizontal="center"/>
    </xf>
    <xf numFmtId="0" fontId="36" fillId="10" borderId="95" xfId="0" applyFont="1" applyFill="1" applyBorder="1" applyAlignment="1">
      <alignment horizontal="center"/>
    </xf>
    <xf numFmtId="0" fontId="36" fillId="10" borderId="96" xfId="0" applyFont="1" applyFill="1" applyBorder="1" applyAlignment="1">
      <alignment horizontal="center"/>
    </xf>
    <xf numFmtId="0" fontId="26" fillId="10" borderId="97" xfId="0" applyFont="1" applyFill="1" applyBorder="1" applyAlignment="1">
      <alignment horizontal="center"/>
    </xf>
    <xf numFmtId="0" fontId="26" fillId="10" borderId="98" xfId="0" applyFont="1" applyFill="1" applyBorder="1" applyAlignment="1">
      <alignment horizontal="center"/>
    </xf>
    <xf numFmtId="0" fontId="26" fillId="18" borderId="99" xfId="0" applyFont="1" applyFill="1" applyBorder="1" applyAlignment="1">
      <alignment horizontal="center"/>
    </xf>
    <xf numFmtId="0" fontId="26" fillId="18" borderId="101" xfId="0" applyFont="1" applyFill="1" applyBorder="1" applyAlignment="1">
      <alignment horizontal="center"/>
    </xf>
    <xf numFmtId="0" fontId="26" fillId="5" borderId="3" xfId="0" applyFont="1" applyFill="1" applyBorder="1" applyAlignment="1">
      <alignment horizontal="center"/>
    </xf>
    <xf numFmtId="0" fontId="27" fillId="12" borderId="14" xfId="0" applyFont="1" applyFill="1" applyBorder="1" applyAlignment="1">
      <alignment horizontal="center"/>
    </xf>
    <xf numFmtId="0" fontId="27" fillId="12" borderId="52" xfId="0" applyFont="1" applyFill="1" applyBorder="1" applyAlignment="1">
      <alignment horizontal="center"/>
    </xf>
    <xf numFmtId="0" fontId="27" fillId="12" borderId="103" xfId="0" applyFont="1" applyFill="1" applyBorder="1" applyAlignment="1">
      <alignment horizontal="center"/>
    </xf>
    <xf numFmtId="0" fontId="26" fillId="17" borderId="68" xfId="0" applyFont="1" applyFill="1" applyBorder="1" applyAlignment="1">
      <alignment horizontal="center"/>
    </xf>
    <xf numFmtId="0" fontId="26" fillId="17" borderId="70" xfId="0" applyFont="1" applyFill="1" applyBorder="1" applyAlignment="1">
      <alignment horizontal="center"/>
    </xf>
    <xf numFmtId="0" fontId="26" fillId="19" borderId="14" xfId="0" applyFont="1" applyFill="1" applyBorder="1" applyAlignment="1">
      <alignment horizontal="center"/>
    </xf>
    <xf numFmtId="0" fontId="26" fillId="19" borderId="21" xfId="0" applyFont="1" applyFill="1" applyBorder="1" applyAlignment="1">
      <alignment horizontal="center"/>
    </xf>
    <xf numFmtId="2" fontId="27" fillId="12" borderId="68" xfId="0" applyNumberFormat="1" applyFont="1" applyFill="1" applyBorder="1" applyAlignment="1">
      <alignment horizontal="center"/>
    </xf>
    <xf numFmtId="2" fontId="27" fillId="12" borderId="69" xfId="0" applyNumberFormat="1" applyFont="1" applyFill="1" applyBorder="1" applyAlignment="1">
      <alignment horizontal="center"/>
    </xf>
    <xf numFmtId="2" fontId="27" fillId="12" borderId="70" xfId="0" applyNumberFormat="1" applyFont="1" applyFill="1" applyBorder="1" applyAlignment="1">
      <alignment horizontal="center"/>
    </xf>
    <xf numFmtId="164" fontId="27" fillId="12" borderId="106" xfId="0" applyNumberFormat="1" applyFont="1" applyFill="1" applyBorder="1" applyAlignment="1">
      <alignment horizontal="center"/>
    </xf>
    <xf numFmtId="164" fontId="27" fillId="12" borderId="80" xfId="0" applyNumberFormat="1" applyFont="1" applyFill="1" applyBorder="1" applyAlignment="1">
      <alignment horizontal="center"/>
    </xf>
    <xf numFmtId="0" fontId="26" fillId="3" borderId="68" xfId="0" applyFont="1" applyFill="1" applyBorder="1" applyAlignment="1">
      <alignment horizontal="center"/>
    </xf>
    <xf numFmtId="0" fontId="26" fillId="3" borderId="70" xfId="0" applyFont="1" applyFill="1" applyBorder="1" applyAlignment="1">
      <alignment horizontal="center"/>
    </xf>
    <xf numFmtId="0" fontId="27" fillId="12" borderId="25" xfId="0" applyFont="1" applyFill="1" applyBorder="1" applyAlignment="1">
      <alignment horizontal="center"/>
    </xf>
    <xf numFmtId="0" fontId="27" fillId="12" borderId="26" xfId="0" applyFont="1" applyFill="1" applyBorder="1" applyAlignment="1">
      <alignment horizontal="center"/>
    </xf>
    <xf numFmtId="0" fontId="27" fillId="12" borderId="16" xfId="0" applyFont="1" applyFill="1" applyBorder="1" applyAlignment="1">
      <alignment horizontal="center"/>
    </xf>
    <xf numFmtId="0" fontId="26" fillId="18" borderId="62" xfId="0" applyFont="1" applyFill="1" applyBorder="1" applyAlignment="1">
      <alignment horizontal="center"/>
    </xf>
    <xf numFmtId="0" fontId="26" fillId="18" borderId="67" xfId="0" applyFont="1" applyFill="1" applyBorder="1" applyAlignment="1">
      <alignment horizontal="center"/>
    </xf>
    <xf numFmtId="0" fontId="27" fillId="12" borderId="69" xfId="0" applyFont="1" applyFill="1" applyBorder="1" applyAlignment="1">
      <alignment horizontal="center"/>
    </xf>
    <xf numFmtId="0" fontId="26" fillId="17" borderId="93" xfId="0" applyFont="1" applyFill="1" applyBorder="1" applyAlignment="1">
      <alignment horizontal="center"/>
    </xf>
    <xf numFmtId="0" fontId="26" fillId="17" borderId="110" xfId="0" applyFont="1" applyFill="1" applyBorder="1" applyAlignment="1">
      <alignment horizontal="center"/>
    </xf>
    <xf numFmtId="0" fontId="27" fillId="12" borderId="4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27" fillId="12" borderId="30" xfId="0" applyFont="1" applyFill="1" applyBorder="1" applyAlignment="1">
      <alignment horizontal="center"/>
    </xf>
    <xf numFmtId="0" fontId="25" fillId="10" borderId="88" xfId="0" applyFont="1" applyFill="1" applyBorder="1" applyAlignment="1">
      <alignment horizontal="center"/>
    </xf>
    <xf numFmtId="0" fontId="25" fillId="10" borderId="107" xfId="0" applyFont="1" applyFill="1" applyBorder="1" applyAlignment="1">
      <alignment horizontal="center"/>
    </xf>
    <xf numFmtId="0" fontId="25" fillId="10" borderId="108" xfId="0" applyFont="1" applyFill="1" applyBorder="1" applyAlignment="1">
      <alignment horizontal="center"/>
    </xf>
    <xf numFmtId="0" fontId="26" fillId="2" borderId="68" xfId="0" applyFont="1" applyFill="1" applyBorder="1" applyAlignment="1">
      <alignment horizontal="center"/>
    </xf>
    <xf numFmtId="0" fontId="26" fillId="2" borderId="70" xfId="0" applyFont="1" applyFill="1" applyBorder="1" applyAlignment="1">
      <alignment horizontal="center"/>
    </xf>
    <xf numFmtId="0" fontId="29" fillId="5" borderId="68" xfId="0" applyFont="1" applyFill="1" applyBorder="1" applyAlignment="1">
      <alignment horizontal="center" wrapText="1"/>
    </xf>
    <xf numFmtId="0" fontId="29" fillId="5" borderId="69" xfId="0" applyFont="1" applyFill="1" applyBorder="1" applyAlignment="1">
      <alignment horizontal="center" wrapText="1"/>
    </xf>
    <xf numFmtId="0" fontId="29" fillId="5" borderId="70" xfId="0" applyFont="1" applyFill="1" applyBorder="1" applyAlignment="1">
      <alignment horizontal="center" wrapText="1"/>
    </xf>
    <xf numFmtId="0" fontId="25" fillId="33" borderId="99" xfId="0" applyFont="1" applyFill="1" applyBorder="1" applyAlignment="1">
      <alignment horizontal="center"/>
    </xf>
    <xf numFmtId="0" fontId="25" fillId="33" borderId="100" xfId="0" applyFont="1" applyFill="1" applyBorder="1" applyAlignment="1">
      <alignment horizontal="center"/>
    </xf>
    <xf numFmtId="0" fontId="25" fillId="33" borderId="101" xfId="0" applyFont="1" applyFill="1" applyBorder="1" applyAlignment="1">
      <alignment horizontal="center"/>
    </xf>
    <xf numFmtId="0" fontId="25" fillId="45" borderId="99" xfId="0" applyFont="1" applyFill="1" applyBorder="1" applyAlignment="1">
      <alignment horizontal="center"/>
    </xf>
    <xf numFmtId="0" fontId="25" fillId="45" borderId="100" xfId="0" applyFont="1" applyFill="1" applyBorder="1" applyAlignment="1">
      <alignment horizontal="center"/>
    </xf>
    <xf numFmtId="0" fontId="25" fillId="45" borderId="101" xfId="0" applyFont="1" applyFill="1" applyBorder="1" applyAlignment="1">
      <alignment horizontal="center"/>
    </xf>
    <xf numFmtId="0" fontId="29" fillId="46" borderId="0" xfId="0" applyFont="1" applyFill="1" applyAlignment="1">
      <alignment horizontal="center"/>
    </xf>
    <xf numFmtId="0" fontId="26" fillId="10" borderId="111" xfId="0" applyFont="1" applyFill="1" applyBorder="1" applyAlignment="1">
      <alignment horizontal="center"/>
    </xf>
    <xf numFmtId="0" fontId="26" fillId="2" borderId="112" xfId="0" applyFont="1" applyFill="1" applyBorder="1" applyAlignment="1">
      <alignment horizontal="center"/>
    </xf>
    <xf numFmtId="0" fontId="26" fillId="2" borderId="82" xfId="0" applyFont="1" applyFill="1" applyBorder="1" applyAlignment="1">
      <alignment horizontal="center"/>
    </xf>
    <xf numFmtId="0" fontId="39" fillId="47" borderId="20" xfId="0" applyFont="1" applyFill="1" applyBorder="1" applyAlignment="1">
      <alignment horizontal="center"/>
    </xf>
    <xf numFmtId="0" fontId="26" fillId="38" borderId="113" xfId="0" applyFont="1" applyFill="1" applyBorder="1" applyAlignment="1">
      <alignment horizontal="center"/>
    </xf>
    <xf numFmtId="0" fontId="26" fillId="38" borderId="30" xfId="0" applyFont="1" applyFill="1" applyBorder="1" applyAlignment="1">
      <alignment horizontal="center"/>
    </xf>
    <xf numFmtId="0" fontId="26" fillId="10" borderId="116" xfId="0" applyFont="1" applyFill="1" applyBorder="1" applyAlignment="1">
      <alignment horizontal="center"/>
    </xf>
    <xf numFmtId="0" fontId="26" fillId="10" borderId="106" xfId="0" applyFont="1" applyFill="1" applyBorder="1" applyAlignment="1">
      <alignment horizontal="center"/>
    </xf>
    <xf numFmtId="0" fontId="26" fillId="10" borderId="48" xfId="0" applyFont="1" applyFill="1" applyBorder="1" applyAlignment="1">
      <alignment horizontal="center"/>
    </xf>
    <xf numFmtId="0" fontId="26" fillId="10" borderId="81" xfId="0" applyFont="1" applyFill="1" applyBorder="1" applyAlignment="1">
      <alignment horizontal="center"/>
    </xf>
    <xf numFmtId="0" fontId="26" fillId="10" borderId="82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38" borderId="106" xfId="0" applyFont="1" applyFill="1" applyBorder="1" applyAlignment="1">
      <alignment horizontal="center"/>
    </xf>
    <xf numFmtId="0" fontId="26" fillId="38" borderId="48" xfId="0" applyFont="1" applyFill="1" applyBorder="1" applyAlignment="1">
      <alignment horizontal="center"/>
    </xf>
    <xf numFmtId="0" fontId="29" fillId="3" borderId="14" xfId="0" applyFont="1" applyFill="1" applyBorder="1" applyAlignment="1">
      <alignment horizontal="center"/>
    </xf>
    <xf numFmtId="0" fontId="29" fillId="3" borderId="3" xfId="0" applyFont="1" applyFill="1" applyBorder="1" applyAlignment="1">
      <alignment horizontal="center"/>
    </xf>
    <xf numFmtId="0" fontId="29" fillId="10" borderId="7" xfId="0" applyFont="1" applyFill="1" applyBorder="1" applyAlignment="1">
      <alignment horizontal="center"/>
    </xf>
    <xf numFmtId="0" fontId="29" fillId="10" borderId="19" xfId="0" applyFont="1" applyFill="1" applyBorder="1" applyAlignment="1">
      <alignment horizontal="center"/>
    </xf>
    <xf numFmtId="0" fontId="15" fillId="48" borderId="4" xfId="0" applyFont="1" applyFill="1" applyBorder="1" applyAlignment="1">
      <alignment horizontal="center"/>
    </xf>
    <xf numFmtId="0" fontId="15" fillId="48" borderId="30" xfId="0" applyFont="1" applyFill="1" applyBorder="1" applyAlignment="1">
      <alignment horizontal="center"/>
    </xf>
    <xf numFmtId="9" fontId="0" fillId="12" borderId="4" xfId="0" applyNumberFormat="1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26" fillId="10" borderId="105" xfId="0" applyFont="1" applyFill="1" applyBorder="1" applyAlignment="1">
      <alignment horizontal="center"/>
    </xf>
    <xf numFmtId="0" fontId="26" fillId="10" borderId="117" xfId="0" applyFont="1" applyFill="1" applyBorder="1" applyAlignment="1">
      <alignment horizontal="center"/>
    </xf>
    <xf numFmtId="2" fontId="27" fillId="12" borderId="1" xfId="0" applyNumberFormat="1" applyFont="1" applyFill="1" applyBorder="1" applyAlignment="1">
      <alignment horizontal="center"/>
    </xf>
    <xf numFmtId="0" fontId="25" fillId="30" borderId="1" xfId="0" applyFont="1" applyFill="1" applyBorder="1" applyAlignment="1">
      <alignment horizontal="center"/>
    </xf>
    <xf numFmtId="0" fontId="25" fillId="30" borderId="3" xfId="0" applyFont="1" applyFill="1" applyBorder="1" applyAlignment="1">
      <alignment horizontal="center"/>
    </xf>
    <xf numFmtId="0" fontId="26" fillId="29" borderId="7" xfId="0" applyFont="1" applyFill="1" applyBorder="1" applyAlignment="1">
      <alignment horizontal="center"/>
    </xf>
    <xf numFmtId="0" fontId="26" fillId="29" borderId="12" xfId="0" applyFont="1" applyFill="1" applyBorder="1" applyAlignment="1">
      <alignment horizontal="center"/>
    </xf>
    <xf numFmtId="0" fontId="27" fillId="5" borderId="3" xfId="0" applyFont="1" applyFill="1" applyBorder="1" applyAlignment="1">
      <alignment horizontal="center"/>
    </xf>
    <xf numFmtId="0" fontId="27" fillId="5" borderId="7" xfId="0" applyFont="1" applyFill="1" applyBorder="1" applyAlignment="1">
      <alignment horizontal="center"/>
    </xf>
    <xf numFmtId="0" fontId="27" fillId="12" borderId="104" xfId="0" applyFont="1" applyFill="1" applyBorder="1" applyAlignment="1">
      <alignment horizontal="center"/>
    </xf>
    <xf numFmtId="0" fontId="27" fillId="12" borderId="100" xfId="0" applyFont="1" applyFill="1" applyBorder="1" applyAlignment="1">
      <alignment horizontal="center"/>
    </xf>
    <xf numFmtId="0" fontId="27" fillId="12" borderId="101" xfId="0" applyFont="1" applyFill="1" applyBorder="1" applyAlignment="1">
      <alignment horizontal="center"/>
    </xf>
    <xf numFmtId="0" fontId="26" fillId="29" borderId="116" xfId="0" applyFont="1" applyFill="1" applyBorder="1" applyAlignment="1">
      <alignment horizontal="center"/>
    </xf>
    <xf numFmtId="0" fontId="26" fillId="12" borderId="4" xfId="0" applyFont="1" applyFill="1" applyBorder="1" applyAlignment="1">
      <alignment horizontal="center"/>
    </xf>
    <xf numFmtId="0" fontId="26" fillId="12" borderId="30" xfId="0" applyFont="1" applyFill="1" applyBorder="1" applyAlignment="1">
      <alignment horizontal="center"/>
    </xf>
    <xf numFmtId="0" fontId="26" fillId="12" borderId="7" xfId="0" applyFont="1" applyFill="1" applyBorder="1" applyAlignment="1">
      <alignment horizontal="center"/>
    </xf>
    <xf numFmtId="0" fontId="26" fillId="12" borderId="12" xfId="0" applyFont="1" applyFill="1" applyBorder="1" applyAlignment="1">
      <alignment horizontal="center"/>
    </xf>
    <xf numFmtId="0" fontId="27" fillId="12" borderId="76" xfId="0" applyFont="1" applyFill="1" applyBorder="1" applyAlignment="1">
      <alignment horizontal="center"/>
    </xf>
    <xf numFmtId="0" fontId="27" fillId="12" borderId="19" xfId="0" applyFont="1" applyFill="1" applyBorder="1" applyAlignment="1">
      <alignment horizontal="center"/>
    </xf>
    <xf numFmtId="0" fontId="27" fillId="12" borderId="12" xfId="0" applyFont="1" applyFill="1" applyBorder="1" applyAlignment="1">
      <alignment horizontal="center"/>
    </xf>
    <xf numFmtId="0" fontId="27" fillId="12" borderId="79" xfId="0" applyFont="1" applyFill="1" applyBorder="1" applyAlignment="1">
      <alignment horizontal="center"/>
    </xf>
    <xf numFmtId="0" fontId="27" fillId="12" borderId="83" xfId="0" applyFont="1" applyFill="1" applyBorder="1" applyAlignment="1">
      <alignment horizontal="center"/>
    </xf>
    <xf numFmtId="0" fontId="26" fillId="28" borderId="26" xfId="0" applyFont="1" applyFill="1" applyBorder="1" applyAlignment="1">
      <alignment horizontal="center"/>
    </xf>
    <xf numFmtId="0" fontId="25" fillId="49" borderId="4" xfId="0" applyFont="1" applyFill="1" applyBorder="1" applyAlignment="1">
      <alignment horizontal="center" vertical="center" wrapText="1"/>
    </xf>
    <xf numFmtId="0" fontId="25" fillId="49" borderId="30" xfId="0" applyFont="1" applyFill="1" applyBorder="1" applyAlignment="1">
      <alignment horizontal="center" vertical="center" wrapText="1"/>
    </xf>
    <xf numFmtId="0" fontId="18" fillId="20" borderId="157" xfId="2" applyFont="1" applyFill="1" applyBorder="1" applyAlignment="1">
      <alignment horizontal="center" vertical="center"/>
    </xf>
    <xf numFmtId="0" fontId="18" fillId="20" borderId="155" xfId="2" applyFont="1" applyFill="1" applyBorder="1" applyAlignment="1">
      <alignment horizontal="center" vertical="center"/>
    </xf>
    <xf numFmtId="0" fontId="42" fillId="52" borderId="25" xfId="2" applyFont="1" applyFill="1" applyBorder="1" applyAlignment="1">
      <alignment horizontal="center" vertical="center"/>
    </xf>
    <xf numFmtId="0" fontId="42" fillId="52" borderId="16" xfId="2" applyFont="1" applyFill="1" applyBorder="1" applyAlignment="1">
      <alignment horizontal="center" vertical="center"/>
    </xf>
    <xf numFmtId="0" fontId="18" fillId="48" borderId="158" xfId="2" applyFont="1" applyFill="1" applyBorder="1" applyAlignment="1">
      <alignment horizontal="center" vertical="center"/>
    </xf>
    <xf numFmtId="0" fontId="18" fillId="48" borderId="156" xfId="2" applyFont="1" applyFill="1" applyBorder="1" applyAlignment="1">
      <alignment horizontal="center" vertical="center"/>
    </xf>
    <xf numFmtId="0" fontId="19" fillId="23" borderId="4" xfId="2" applyFont="1" applyFill="1" applyBorder="1" applyAlignment="1">
      <alignment horizontal="center" vertical="center"/>
    </xf>
    <xf numFmtId="0" fontId="19" fillId="23" borderId="30" xfId="2" applyFont="1" applyFill="1" applyBorder="1" applyAlignment="1">
      <alignment horizontal="center" vertical="center"/>
    </xf>
    <xf numFmtId="0" fontId="59" fillId="51" borderId="4" xfId="2" applyFont="1" applyFill="1" applyBorder="1" applyAlignment="1">
      <alignment horizontal="center" vertical="center"/>
    </xf>
    <xf numFmtId="0" fontId="59" fillId="51" borderId="30" xfId="2" applyFont="1" applyFill="1" applyBorder="1" applyAlignment="1">
      <alignment horizontal="center" vertical="center"/>
    </xf>
    <xf numFmtId="0" fontId="58" fillId="52" borderId="0" xfId="0" applyFont="1" applyFill="1" applyAlignment="1">
      <alignment horizontal="center" vertical="center"/>
    </xf>
    <xf numFmtId="0" fontId="5" fillId="8" borderId="3" xfId="0" applyFont="1" applyFill="1" applyBorder="1" applyAlignment="1">
      <alignment horizontal="center"/>
    </xf>
    <xf numFmtId="0" fontId="58" fillId="52" borderId="149" xfId="0" applyFont="1" applyFill="1" applyBorder="1" applyAlignment="1">
      <alignment horizontal="center" vertical="center"/>
    </xf>
    <xf numFmtId="0" fontId="58" fillId="52" borderId="150" xfId="0" applyFont="1" applyFill="1" applyBorder="1" applyAlignment="1">
      <alignment horizontal="center" vertical="center"/>
    </xf>
    <xf numFmtId="0" fontId="58" fillId="52" borderId="151" xfId="0" applyFont="1" applyFill="1" applyBorder="1" applyAlignment="1">
      <alignment horizontal="center" vertical="center"/>
    </xf>
    <xf numFmtId="0" fontId="58" fillId="52" borderId="152" xfId="0" applyFont="1" applyFill="1" applyBorder="1" applyAlignment="1">
      <alignment horizontal="center" vertical="center"/>
    </xf>
    <xf numFmtId="0" fontId="58" fillId="52" borderId="153" xfId="0" applyFont="1" applyFill="1" applyBorder="1" applyAlignment="1">
      <alignment horizontal="center" vertical="center"/>
    </xf>
    <xf numFmtId="0" fontId="58" fillId="52" borderId="154" xfId="0" applyFont="1" applyFill="1" applyBorder="1" applyAlignment="1">
      <alignment horizontal="center" vertical="center"/>
    </xf>
    <xf numFmtId="0" fontId="19" fillId="34" borderId="4" xfId="2" applyFont="1" applyFill="1" applyBorder="1" applyAlignment="1">
      <alignment horizontal="center" vertical="center"/>
    </xf>
    <xf numFmtId="0" fontId="19" fillId="34" borderId="30" xfId="2" applyFont="1" applyFill="1" applyBorder="1" applyAlignment="1">
      <alignment horizontal="center" vertical="center"/>
    </xf>
    <xf numFmtId="0" fontId="6" fillId="50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6" fillId="37" borderId="3" xfId="0" applyFont="1" applyFill="1" applyBorder="1" applyAlignment="1">
      <alignment horizontal="left"/>
    </xf>
    <xf numFmtId="0" fontId="6" fillId="19" borderId="3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center"/>
    </xf>
    <xf numFmtId="2" fontId="8" fillId="12" borderId="6" xfId="0" applyNumberFormat="1" applyFont="1" applyFill="1" applyBorder="1" applyAlignment="1">
      <alignment horizontal="left" vertical="top"/>
    </xf>
    <xf numFmtId="2" fontId="8" fillId="12" borderId="10" xfId="0" applyNumberFormat="1" applyFont="1" applyFill="1" applyBorder="1" applyAlignment="1">
      <alignment horizontal="left" vertical="top"/>
    </xf>
    <xf numFmtId="2" fontId="8" fillId="12" borderId="2" xfId="0" applyNumberFormat="1" applyFont="1" applyFill="1" applyBorder="1" applyAlignment="1">
      <alignment horizontal="left" vertical="top"/>
    </xf>
    <xf numFmtId="0" fontId="6" fillId="50" borderId="1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6" fillId="58" borderId="39" xfId="0" applyFont="1" applyFill="1" applyBorder="1" applyAlignment="1">
      <alignment horizontal="center" vertical="center"/>
    </xf>
    <xf numFmtId="0" fontId="6" fillId="58" borderId="40" xfId="0" applyFont="1" applyFill="1" applyBorder="1" applyAlignment="1">
      <alignment horizontal="center" vertical="center"/>
    </xf>
    <xf numFmtId="0" fontId="6" fillId="58" borderId="37" xfId="0" applyFont="1" applyFill="1" applyBorder="1" applyAlignment="1">
      <alignment horizontal="center" vertical="center"/>
    </xf>
    <xf numFmtId="0" fontId="6" fillId="58" borderId="38" xfId="0" applyFont="1" applyFill="1" applyBorder="1" applyAlignment="1">
      <alignment horizontal="center" vertical="center"/>
    </xf>
    <xf numFmtId="0" fontId="6" fillId="58" borderId="25" xfId="0" applyFont="1" applyFill="1" applyBorder="1" applyAlignment="1">
      <alignment horizontal="center" vertical="center"/>
    </xf>
    <xf numFmtId="0" fontId="6" fillId="58" borderId="16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8" fillId="12" borderId="60" xfId="0" applyFont="1" applyFill="1" applyBorder="1" applyAlignment="1">
      <alignment horizontal="center" vertical="top"/>
    </xf>
    <xf numFmtId="0" fontId="8" fillId="12" borderId="63" xfId="0" applyFont="1" applyFill="1" applyBorder="1" applyAlignment="1">
      <alignment horizontal="center" vertical="top"/>
    </xf>
    <xf numFmtId="0" fontId="8" fillId="12" borderId="64" xfId="0" applyFont="1" applyFill="1" applyBorder="1" applyAlignment="1">
      <alignment horizontal="center" vertical="top"/>
    </xf>
    <xf numFmtId="0" fontId="8" fillId="12" borderId="61" xfId="0" applyFont="1" applyFill="1" applyBorder="1" applyAlignment="1">
      <alignment horizontal="center" vertical="top"/>
    </xf>
    <xf numFmtId="0" fontId="8" fillId="12" borderId="0" xfId="0" applyFont="1" applyFill="1" applyAlignment="1">
      <alignment horizontal="center" vertical="top"/>
    </xf>
    <xf numFmtId="0" fontId="8" fillId="12" borderId="65" xfId="0" applyFont="1" applyFill="1" applyBorder="1" applyAlignment="1">
      <alignment horizontal="center" vertical="top"/>
    </xf>
    <xf numFmtId="0" fontId="8" fillId="12" borderId="68" xfId="0" applyFont="1" applyFill="1" applyBorder="1" applyAlignment="1">
      <alignment horizontal="center"/>
    </xf>
    <xf numFmtId="0" fontId="8" fillId="12" borderId="69" xfId="0" applyFont="1" applyFill="1" applyBorder="1" applyAlignment="1">
      <alignment horizontal="center"/>
    </xf>
    <xf numFmtId="0" fontId="8" fillId="12" borderId="70" xfId="0" applyFont="1" applyFill="1" applyBorder="1" applyAlignment="1">
      <alignment horizontal="center"/>
    </xf>
    <xf numFmtId="0" fontId="0" fillId="12" borderId="61" xfId="0" applyFill="1" applyBorder="1" applyAlignment="1">
      <alignment horizontal="center" vertical="top"/>
    </xf>
    <xf numFmtId="0" fontId="0" fillId="12" borderId="0" xfId="0" applyFill="1" applyAlignment="1">
      <alignment horizontal="center" vertical="top"/>
    </xf>
    <xf numFmtId="0" fontId="0" fillId="12" borderId="65" xfId="0" applyFill="1" applyBorder="1" applyAlignment="1">
      <alignment horizontal="center" vertical="top"/>
    </xf>
    <xf numFmtId="0" fontId="14" fillId="12" borderId="61" xfId="0" applyFont="1" applyFill="1" applyBorder="1" applyAlignment="1">
      <alignment horizontal="center" vertical="top" wrapText="1"/>
    </xf>
    <xf numFmtId="0" fontId="14" fillId="12" borderId="0" xfId="0" applyFont="1" applyFill="1" applyAlignment="1">
      <alignment horizontal="center" vertical="top" wrapText="1"/>
    </xf>
    <xf numFmtId="0" fontId="14" fillId="12" borderId="65" xfId="0" applyFont="1" applyFill="1" applyBorder="1" applyAlignment="1">
      <alignment horizontal="center" vertical="top" wrapText="1"/>
    </xf>
    <xf numFmtId="0" fontId="14" fillId="12" borderId="62" xfId="0" applyFont="1" applyFill="1" applyBorder="1" applyAlignment="1">
      <alignment horizontal="center" vertical="top" wrapText="1"/>
    </xf>
    <xf numFmtId="0" fontId="14" fillId="12" borderId="66" xfId="0" applyFont="1" applyFill="1" applyBorder="1" applyAlignment="1">
      <alignment horizontal="center" vertical="top" wrapText="1"/>
    </xf>
    <xf numFmtId="0" fontId="14" fillId="12" borderId="67" xfId="0" applyFont="1" applyFill="1" applyBorder="1" applyAlignment="1">
      <alignment horizontal="center" vertical="top" wrapText="1"/>
    </xf>
    <xf numFmtId="0" fontId="9" fillId="16" borderId="58" xfId="0" applyFont="1" applyFill="1" applyBorder="1" applyAlignment="1">
      <alignment horizontal="center"/>
    </xf>
    <xf numFmtId="0" fontId="6" fillId="16" borderId="68" xfId="0" applyFont="1" applyFill="1" applyBorder="1" applyAlignment="1">
      <alignment horizontal="center"/>
    </xf>
    <xf numFmtId="0" fontId="6" fillId="16" borderId="69" xfId="0" applyFont="1" applyFill="1" applyBorder="1" applyAlignment="1">
      <alignment horizontal="center"/>
    </xf>
    <xf numFmtId="0" fontId="6" fillId="16" borderId="70" xfId="0" applyFont="1" applyFill="1" applyBorder="1" applyAlignment="1">
      <alignment horizontal="center"/>
    </xf>
    <xf numFmtId="0" fontId="8" fillId="12" borderId="61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8" fillId="12" borderId="65" xfId="0" applyFont="1" applyFill="1" applyBorder="1" applyAlignment="1">
      <alignment horizontal="left" vertical="top" wrapText="1"/>
    </xf>
    <xf numFmtId="0" fontId="8" fillId="12" borderId="62" xfId="0" applyFont="1" applyFill="1" applyBorder="1" applyAlignment="1">
      <alignment horizontal="left" vertical="top" wrapText="1"/>
    </xf>
    <xf numFmtId="0" fontId="8" fillId="12" borderId="66" xfId="0" applyFont="1" applyFill="1" applyBorder="1" applyAlignment="1">
      <alignment horizontal="left" vertical="top" wrapText="1"/>
    </xf>
    <xf numFmtId="0" fontId="8" fillId="12" borderId="67" xfId="0" applyFont="1" applyFill="1" applyBorder="1" applyAlignment="1">
      <alignment horizontal="left" vertical="top" wrapText="1"/>
    </xf>
    <xf numFmtId="0" fontId="8" fillId="12" borderId="59" xfId="0" applyFont="1" applyFill="1" applyBorder="1" applyAlignment="1">
      <alignment horizontal="center"/>
    </xf>
    <xf numFmtId="0" fontId="9" fillId="12" borderId="68" xfId="0" applyFont="1" applyFill="1" applyBorder="1" applyAlignment="1">
      <alignment horizontal="center" vertical="center"/>
    </xf>
    <xf numFmtId="0" fontId="9" fillId="12" borderId="69" xfId="0" applyFont="1" applyFill="1" applyBorder="1" applyAlignment="1">
      <alignment horizontal="center" vertical="center"/>
    </xf>
    <xf numFmtId="0" fontId="9" fillId="12" borderId="70" xfId="0" applyFont="1" applyFill="1" applyBorder="1" applyAlignment="1">
      <alignment horizontal="center" vertical="center"/>
    </xf>
    <xf numFmtId="164" fontId="8" fillId="12" borderId="68" xfId="0" applyNumberFormat="1" applyFont="1" applyFill="1" applyBorder="1" applyAlignment="1">
      <alignment horizontal="center"/>
    </xf>
    <xf numFmtId="164" fontId="8" fillId="12" borderId="70" xfId="0" applyNumberFormat="1" applyFont="1" applyFill="1" applyBorder="1" applyAlignment="1">
      <alignment horizontal="center"/>
    </xf>
    <xf numFmtId="0" fontId="9" fillId="16" borderId="68" xfId="0" applyFont="1" applyFill="1" applyBorder="1" applyAlignment="1">
      <alignment horizontal="center"/>
    </xf>
    <xf numFmtId="0" fontId="9" fillId="16" borderId="69" xfId="0" applyFont="1" applyFill="1" applyBorder="1" applyAlignment="1">
      <alignment horizontal="center"/>
    </xf>
    <xf numFmtId="0" fontId="9" fillId="16" borderId="70" xfId="0" applyFont="1" applyFill="1" applyBorder="1" applyAlignment="1">
      <alignment horizontal="center"/>
    </xf>
    <xf numFmtId="0" fontId="8" fillId="12" borderId="58" xfId="0" applyFont="1" applyFill="1" applyBorder="1" applyAlignment="1">
      <alignment horizontal="center"/>
    </xf>
    <xf numFmtId="0" fontId="9" fillId="12" borderId="58" xfId="0" applyFont="1" applyFill="1" applyBorder="1" applyAlignment="1">
      <alignment horizontal="center"/>
    </xf>
    <xf numFmtId="0" fontId="9" fillId="12" borderId="58" xfId="0" applyFont="1" applyFill="1" applyBorder="1" applyAlignment="1">
      <alignment horizontal="center" vertical="center"/>
    </xf>
    <xf numFmtId="0" fontId="9" fillId="12" borderId="60" xfId="0" applyFont="1" applyFill="1" applyBorder="1" applyAlignment="1">
      <alignment horizontal="center" vertical="center"/>
    </xf>
    <xf numFmtId="0" fontId="9" fillId="12" borderId="64" xfId="0" applyFont="1" applyFill="1" applyBorder="1" applyAlignment="1">
      <alignment horizontal="center" vertical="center"/>
    </xf>
    <xf numFmtId="0" fontId="9" fillId="12" borderId="62" xfId="0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0" fontId="9" fillId="12" borderId="68" xfId="0" applyFont="1" applyFill="1" applyBorder="1" applyAlignment="1">
      <alignment horizontal="center"/>
    </xf>
    <xf numFmtId="0" fontId="9" fillId="12" borderId="70" xfId="0" applyFont="1" applyFill="1" applyBorder="1" applyAlignment="1">
      <alignment horizontal="center"/>
    </xf>
    <xf numFmtId="0" fontId="12" fillId="12" borderId="58" xfId="0" applyFont="1" applyFill="1" applyBorder="1" applyAlignment="1">
      <alignment horizontal="center"/>
    </xf>
    <xf numFmtId="0" fontId="9" fillId="16" borderId="63" xfId="0" applyFont="1" applyFill="1" applyBorder="1" applyAlignment="1">
      <alignment horizontal="center"/>
    </xf>
    <xf numFmtId="0" fontId="10" fillId="15" borderId="68" xfId="0" applyFont="1" applyFill="1" applyBorder="1" applyAlignment="1">
      <alignment horizontal="center"/>
    </xf>
    <xf numFmtId="0" fontId="10" fillId="15" borderId="69" xfId="0" applyFont="1" applyFill="1" applyBorder="1" applyAlignment="1">
      <alignment horizontal="center"/>
    </xf>
    <xf numFmtId="0" fontId="10" fillId="15" borderId="70" xfId="0" applyFont="1" applyFill="1" applyBorder="1" applyAlignment="1">
      <alignment horizontal="center"/>
    </xf>
    <xf numFmtId="0" fontId="9" fillId="12" borderId="61" xfId="0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9" fillId="15" borderId="68" xfId="0" applyFont="1" applyFill="1" applyBorder="1" applyAlignment="1">
      <alignment horizontal="center"/>
    </xf>
    <xf numFmtId="0" fontId="9" fillId="15" borderId="69" xfId="0" applyFont="1" applyFill="1" applyBorder="1" applyAlignment="1">
      <alignment horizontal="center"/>
    </xf>
    <xf numFmtId="0" fontId="9" fillId="15" borderId="70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11" fillId="12" borderId="58" xfId="0" applyFont="1" applyFill="1" applyBorder="1" applyAlignment="1">
      <alignment horizontal="center"/>
    </xf>
    <xf numFmtId="0" fontId="64" fillId="0" borderId="159" xfId="0" applyFont="1" applyBorder="1" applyAlignment="1">
      <alignment horizontal="left" vertical="center" wrapText="1" indent="1" readingOrder="1"/>
    </xf>
    <xf numFmtId="0" fontId="65" fillId="0" borderId="159" xfId="0" applyFont="1" applyBorder="1" applyAlignment="1">
      <alignment horizontal="left" vertical="center" wrapText="1" indent="1" readingOrder="1"/>
    </xf>
    <xf numFmtId="0" fontId="6" fillId="6" borderId="7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2" fontId="0" fillId="61" borderId="3" xfId="0" applyNumberFormat="1" applyFont="1" applyFill="1" applyBorder="1" applyAlignment="1">
      <alignment horizontal="center"/>
    </xf>
    <xf numFmtId="0" fontId="5" fillId="51" borderId="3" xfId="0" applyFont="1" applyFill="1" applyBorder="1" applyAlignment="1">
      <alignment horizontal="center"/>
    </xf>
    <xf numFmtId="2" fontId="5" fillId="51" borderId="3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0" fontId="6" fillId="62" borderId="3" xfId="0" applyFont="1" applyFill="1" applyBorder="1" applyAlignment="1">
      <alignment horizontal="center"/>
    </xf>
    <xf numFmtId="2" fontId="0" fillId="62" borderId="3" xfId="0" applyNumberFormat="1" applyFill="1" applyBorder="1" applyAlignment="1">
      <alignment horizontal="center"/>
    </xf>
  </cellXfs>
  <cellStyles count="7">
    <cellStyle name="Énfasis4" xfId="1" builtinId="41"/>
    <cellStyle name="Euro 3 2" xfId="3" xr:uid="{00000000-0005-0000-0000-000001000000}"/>
    <cellStyle name="Hipervínculo" xfId="4" builtinId="8"/>
    <cellStyle name="Millares" xfId="6" builtinId="3"/>
    <cellStyle name="Normal" xfId="0" builtinId="0"/>
    <cellStyle name="Normal 2" xfId="2" xr:uid="{00000000-0005-0000-0000-000004000000}"/>
    <cellStyle name="Porcentaje" xfId="5" builtinId="5"/>
  </cellStyles>
  <dxfs count="8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FFABFF"/>
      <color rgb="FFFF9966"/>
      <color rgb="FFFF99FF"/>
      <color rgb="FFFF9999"/>
      <color rgb="FF8FE2FF"/>
      <color rgb="FFCCCC00"/>
      <color rgb="FF66FF99"/>
      <color rgb="FF57D3FF"/>
      <color rgb="FF66FF66"/>
      <color rgb="FF43FF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SOMATOCARTA!$F$16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SOMATOCARTA!$G$16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AB-4497-B2C7-D8EBC796B44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SOMATOCARTA!$F$17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SOMATOCARTA!$G$17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AB-4497-B2C7-D8EBC796B44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SOMATOCARTA!$F$19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SOMATOCARTA!$G$19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AB-4497-B2C7-D8EBC796B44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SOMATOCARTA!$F$20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SOMATOCARTA!$G$20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AB-4497-B2C7-D8EBC796B44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SOMATOCARTA!$F$21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SOMATOCARTA!$G$21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AB-4497-B2C7-D8EBC796B442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SOMATOCARTA!$F$22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SOMATOCARTA!$G$22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AB-4497-B2C7-D8EBC796B442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SOMATOCARTA!$F$23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SOMATOCARTA!$G$23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AB-4497-B2C7-D8EBC796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48424"/>
        <c:axId val="3176496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SOMATOCARTA!$F$17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DDAB-4497-B2C7-D8EBC796B442}"/>
                  </c:ext>
                </c:extLst>
              </c15:ser>
            </c15:filteredScatterSeries>
          </c:ext>
        </c:extLst>
      </c:scatterChart>
      <c:valAx>
        <c:axId val="317648424"/>
        <c:scaling>
          <c:orientation val="minMax"/>
          <c:max val="8"/>
          <c:min val="-8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17649600"/>
        <c:crosses val="autoZero"/>
        <c:crossBetween val="midCat"/>
        <c:majorUnit val="1"/>
      </c:valAx>
      <c:valAx>
        <c:axId val="317649600"/>
        <c:scaling>
          <c:orientation val="minMax"/>
          <c:max val="18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17648424"/>
        <c:crosses val="autoZero"/>
        <c:crossBetween val="midCat"/>
        <c:majorUnit val="2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98-4C23-B8D1-1B26E9871E6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A98-4C23-B8D1-1B26E9871E6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98-4C23-B8D1-1B26E9871E6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98-4C23-B8D1-1B26E987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44112"/>
        <c:axId val="317644896"/>
        <c:extLst/>
      </c:scatterChart>
      <c:valAx>
        <c:axId val="317644112"/>
        <c:scaling>
          <c:orientation val="minMax"/>
          <c:max val="8"/>
          <c:min val="-8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17644896"/>
        <c:crosses val="autoZero"/>
        <c:crossBetween val="midCat"/>
        <c:majorUnit val="1"/>
      </c:valAx>
      <c:valAx>
        <c:axId val="317644896"/>
        <c:scaling>
          <c:orientation val="minMax"/>
          <c:max val="18"/>
          <c:min val="-1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17644112"/>
        <c:crosses val="autoZero"/>
        <c:crossBetween val="midCat"/>
        <c:majorUnit val="2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348343</xdr:colOff>
      <xdr:row>0</xdr:row>
      <xdr:rowOff>228600</xdr:rowOff>
    </xdr:from>
    <xdr:to>
      <xdr:col>16</xdr:col>
      <xdr:colOff>664029</xdr:colOff>
      <xdr:row>15</xdr:row>
      <xdr:rowOff>190323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008BD-7562-3C36-32FE-EDBCDF50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7772" y="228600"/>
          <a:ext cx="2950028" cy="3837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1234440</xdr:colOff>
      <xdr:row>50</xdr:row>
      <xdr:rowOff>60960</xdr:rowOff>
    </xdr:from>
    <xdr:to>
      <xdr:col>7</xdr:col>
      <xdr:colOff>500379</xdr:colOff>
      <xdr:row>62</xdr:row>
      <xdr:rowOff>86139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DEC25B-D72B-4CAC-9B37-6B76BC72C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838" t="52098" r="44098" b="26854"/>
        <a:stretch/>
      </xdr:blipFill>
      <xdr:spPr>
        <a:xfrm>
          <a:off x="1234440" y="16002000"/>
          <a:ext cx="8417559" cy="2219739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0</xdr:row>
      <xdr:rowOff>114300</xdr:rowOff>
    </xdr:from>
    <xdr:to>
      <xdr:col>7</xdr:col>
      <xdr:colOff>487680</xdr:colOff>
      <xdr:row>4</xdr:row>
      <xdr:rowOff>466630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D377A6-A017-1199-EBB6-080A780F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8680" y="114300"/>
          <a:ext cx="1150620" cy="14953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1057276</xdr:colOff>
      <xdr:row>0</xdr:row>
      <xdr:rowOff>0</xdr:rowOff>
    </xdr:from>
    <xdr:to>
      <xdr:col>0</xdr:col>
      <xdr:colOff>1590676</xdr:colOff>
      <xdr:row>3</xdr:row>
      <xdr:rowOff>150275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D38449-3634-8F7B-AC86-AEFEFB470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6" y="0"/>
          <a:ext cx="533400" cy="693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714375</xdr:colOff>
      <xdr:row>0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238375" y="12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0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238375" y="12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0</xdr:col>
      <xdr:colOff>714375</xdr:colOff>
      <xdr:row>4</xdr:row>
      <xdr:rowOff>152400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2238375" y="12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0</xdr:col>
      <xdr:colOff>714375</xdr:colOff>
      <xdr:row>6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2238375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0</xdr:col>
      <xdr:colOff>714375</xdr:colOff>
      <xdr:row>6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2238375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0</xdr:col>
      <xdr:colOff>714375</xdr:colOff>
      <xdr:row>6</xdr:row>
      <xdr:rowOff>152400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22383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0</xdr:col>
      <xdr:colOff>714375</xdr:colOff>
      <xdr:row>5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0374825-9389-4564-824A-1014510D0E3C}"/>
            </a:ext>
          </a:extLst>
        </xdr:cNvPr>
        <xdr:cNvSpPr txBox="1"/>
      </xdr:nvSpPr>
      <xdr:spPr>
        <a:xfrm>
          <a:off x="714375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0</xdr:col>
      <xdr:colOff>714375</xdr:colOff>
      <xdr:row>5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8C372F-AC74-481B-A6DB-96BA0B959975}"/>
            </a:ext>
          </a:extLst>
        </xdr:cNvPr>
        <xdr:cNvSpPr txBox="1"/>
      </xdr:nvSpPr>
      <xdr:spPr>
        <a:xfrm>
          <a:off x="714375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714375</xdr:colOff>
      <xdr:row>6</xdr:row>
      <xdr:rowOff>152400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86521B4-1E42-4A93-BB17-55D2DCF87289}"/>
            </a:ext>
          </a:extLst>
        </xdr:cNvPr>
        <xdr:cNvSpPr txBox="1"/>
      </xdr:nvSpPr>
      <xdr:spPr>
        <a:xfrm>
          <a:off x="3091815" y="1615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3</xdr:col>
      <xdr:colOff>714375</xdr:colOff>
      <xdr:row>7</xdr:row>
      <xdr:rowOff>152400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8116B2B-A079-4299-A5F1-1DB660192EAF}"/>
            </a:ext>
          </a:extLst>
        </xdr:cNvPr>
        <xdr:cNvSpPr txBox="1"/>
      </xdr:nvSpPr>
      <xdr:spPr>
        <a:xfrm>
          <a:off x="3091815" y="1798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3</xdr:col>
      <xdr:colOff>714375</xdr:colOff>
      <xdr:row>7</xdr:row>
      <xdr:rowOff>152400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A19765B-B227-4CE1-B705-AC6785EAB9E3}"/>
            </a:ext>
          </a:extLst>
        </xdr:cNvPr>
        <xdr:cNvSpPr txBox="1"/>
      </xdr:nvSpPr>
      <xdr:spPr>
        <a:xfrm>
          <a:off x="3091815" y="1798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3</xdr:col>
      <xdr:colOff>714375</xdr:colOff>
      <xdr:row>8</xdr:row>
      <xdr:rowOff>152400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9CC9D24-48FF-4D7F-AFB9-5218319A25ED}"/>
            </a:ext>
          </a:extLst>
        </xdr:cNvPr>
        <xdr:cNvSpPr txBox="1"/>
      </xdr:nvSpPr>
      <xdr:spPr>
        <a:xfrm>
          <a:off x="3091815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 editAs="oneCell">
    <xdr:from>
      <xdr:col>0</xdr:col>
      <xdr:colOff>68580</xdr:colOff>
      <xdr:row>1</xdr:row>
      <xdr:rowOff>129540</xdr:rowOff>
    </xdr:from>
    <xdr:to>
      <xdr:col>3</xdr:col>
      <xdr:colOff>641860</xdr:colOff>
      <xdr:row>22</xdr:row>
      <xdr:rowOff>123776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EA1B154-37A8-B263-9BDC-1E1441567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12420"/>
          <a:ext cx="2950720" cy="38347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47625</xdr:rowOff>
    </xdr:from>
    <xdr:to>
      <xdr:col>1</xdr:col>
      <xdr:colOff>457200</xdr:colOff>
      <xdr:row>12</xdr:row>
      <xdr:rowOff>87433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01A9D8-A2F1-40BF-BC5D-F88C8BDC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2324100" cy="2135308"/>
        </a:xfrm>
        <a:prstGeom prst="rect">
          <a:avLst/>
        </a:prstGeom>
      </xdr:spPr>
    </xdr:pic>
    <xdr:clientData/>
  </xdr:twoCellAnchor>
  <xdr:oneCellAnchor>
    <xdr:from>
      <xdr:col>2</xdr:col>
      <xdr:colOff>70666</xdr:colOff>
      <xdr:row>4</xdr:row>
      <xdr:rowOff>112210</xdr:rowOff>
    </xdr:from>
    <xdr:ext cx="6850017" cy="93762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6F9BB65-3BA9-4CD3-8652-6FDA11E9BCD6}"/>
            </a:ext>
          </a:extLst>
        </xdr:cNvPr>
        <xdr:cNvSpPr/>
      </xdr:nvSpPr>
      <xdr:spPr>
        <a:xfrm>
          <a:off x="3099616" y="874210"/>
          <a:ext cx="685001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D&amp;V</a:t>
          </a:r>
          <a:r>
            <a:rPr lang="es-E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SPORT NUTRICIÓN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382058</xdr:colOff>
      <xdr:row>26</xdr:row>
      <xdr:rowOff>77259</xdr:rowOff>
    </xdr:from>
    <xdr:to>
      <xdr:col>6</xdr:col>
      <xdr:colOff>1000125</xdr:colOff>
      <xdr:row>61</xdr:row>
      <xdr:rowOff>15337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1F4DB0F-729B-4FA2-B8D8-B2D43B01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058" y="5087409"/>
          <a:ext cx="6037792" cy="6605578"/>
        </a:xfrm>
        <a:prstGeom prst="rect">
          <a:avLst/>
        </a:prstGeom>
        <a:ln w="38100" cap="sq">
          <a:solidFill>
            <a:srgbClr val="FFC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685801</xdr:colOff>
      <xdr:row>28</xdr:row>
      <xdr:rowOff>118533</xdr:rowOff>
    </xdr:from>
    <xdr:to>
      <xdr:col>6</xdr:col>
      <xdr:colOff>685801</xdr:colOff>
      <xdr:row>57</xdr:row>
      <xdr:rowOff>16934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C086144-5FAB-4F6D-9738-B7B170044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47625</xdr:rowOff>
    </xdr:from>
    <xdr:to>
      <xdr:col>3</xdr:col>
      <xdr:colOff>85725</xdr:colOff>
      <xdr:row>12</xdr:row>
      <xdr:rowOff>87433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FF9EE8D-6944-4AF8-9AD4-D96CB2BFB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2324100" cy="2135308"/>
        </a:xfrm>
        <a:prstGeom prst="rect">
          <a:avLst/>
        </a:prstGeom>
      </xdr:spPr>
    </xdr:pic>
    <xdr:clientData/>
  </xdr:twoCellAnchor>
  <xdr:oneCellAnchor>
    <xdr:from>
      <xdr:col>3</xdr:col>
      <xdr:colOff>327841</xdr:colOff>
      <xdr:row>5</xdr:row>
      <xdr:rowOff>74110</xdr:rowOff>
    </xdr:from>
    <xdr:ext cx="6850017" cy="937629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EA12C4F-8E4C-48BA-8557-077E818BC95A}"/>
            </a:ext>
          </a:extLst>
        </xdr:cNvPr>
        <xdr:cNvSpPr/>
      </xdr:nvSpPr>
      <xdr:spPr>
        <a:xfrm>
          <a:off x="2813866" y="1026610"/>
          <a:ext cx="685001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D&amp;V</a:t>
          </a:r>
          <a:r>
            <a:rPr lang="es-E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SPORT NUTRICIÓN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67</xdr:row>
      <xdr:rowOff>123825</xdr:rowOff>
    </xdr:from>
    <xdr:to>
      <xdr:col>7</xdr:col>
      <xdr:colOff>752475</xdr:colOff>
      <xdr:row>90</xdr:row>
      <xdr:rowOff>38101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58CEB0-9717-4074-B50D-05C3D7489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68" t="13825" r="7814" b="13665"/>
        <a:stretch/>
      </xdr:blipFill>
      <xdr:spPr>
        <a:xfrm>
          <a:off x="895350" y="13439775"/>
          <a:ext cx="4705350" cy="4295776"/>
        </a:xfrm>
        <a:prstGeom prst="rect">
          <a:avLst/>
        </a:prstGeom>
        <a:ln w="381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0</xdr:colOff>
      <xdr:row>64</xdr:row>
      <xdr:rowOff>161924</xdr:rowOff>
    </xdr:from>
    <xdr:to>
      <xdr:col>8</xdr:col>
      <xdr:colOff>171450</xdr:colOff>
      <xdr:row>90</xdr:row>
      <xdr:rowOff>136525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D14C8C-D602-4192-BFE4-B56747A0E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ropbox\FORMATOS\Presencial\Historia%20Cl&#237;nico-Nutricional%20Adultos%20(Masculino)..xlsx" TargetMode="External"/><Relationship Id="rId1" Type="http://schemas.openxmlformats.org/officeDocument/2006/relationships/externalLinkPath" Target="Historia%20Cl&#237;nico-Nutricional%20Adultos%20(Masculino)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A"/>
      <sheetName val="LABORATORIO"/>
      <sheetName val="ANTROPOMETRÍA DEPORTISTAS"/>
      <sheetName val="5 COMPONENTES"/>
      <sheetName val="ARGO-REF"/>
      <sheetName val="Predicción de Talla"/>
      <sheetName val="PHV"/>
      <sheetName val="REQUERIMIENTOS"/>
      <sheetName val="RESUMEN ANTROPOMETRICO"/>
      <sheetName val="DATOS ANTROPOMÉTRICOS"/>
      <sheetName val="SOMATOCARTA"/>
      <sheetName val="INFORME 2 COMPONENTES PEDIAT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C120"/>
  <sheetViews>
    <sheetView zoomScale="70" zoomScaleNormal="70" workbookViewId="0">
      <selection activeCell="G5" sqref="G5:H5"/>
    </sheetView>
  </sheetViews>
  <sheetFormatPr baseColWidth="10" defaultRowHeight="14.4" x14ac:dyDescent="0.3"/>
  <cols>
    <col min="1" max="1" width="15.6640625" customWidth="1"/>
    <col min="2" max="2" width="14.6640625" customWidth="1"/>
    <col min="3" max="3" width="14.44140625" customWidth="1"/>
    <col min="4" max="4" width="19.5546875" customWidth="1"/>
    <col min="5" max="5" width="15" customWidth="1"/>
    <col min="6" max="6" width="14.5546875" customWidth="1"/>
    <col min="7" max="7" width="13.109375" customWidth="1"/>
    <col min="8" max="8" width="23.109375" customWidth="1"/>
    <col min="10" max="10" width="17.109375" customWidth="1"/>
    <col min="11" max="11" width="13" customWidth="1"/>
    <col min="15" max="15" width="11.44140625" customWidth="1"/>
    <col min="16" max="16" width="15.33203125" customWidth="1"/>
  </cols>
  <sheetData>
    <row r="1" spans="1:29" ht="40.5" customHeight="1" thickBot="1" x14ac:dyDescent="0.85">
      <c r="A1" s="525" t="s">
        <v>329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11"/>
      <c r="O1" s="11"/>
      <c r="P1" s="11"/>
      <c r="Q1" s="11"/>
      <c r="R1" s="575"/>
      <c r="AC1" t="s">
        <v>86</v>
      </c>
    </row>
    <row r="2" spans="1:29" ht="19.8" thickBot="1" x14ac:dyDescent="0.55000000000000004">
      <c r="A2" s="331" t="s">
        <v>646</v>
      </c>
      <c r="B2" s="332">
        <v>46027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6"/>
      <c r="N2" s="10"/>
      <c r="O2" s="11"/>
      <c r="P2" s="11"/>
      <c r="Q2" s="11"/>
      <c r="R2" s="575"/>
      <c r="AC2" t="s">
        <v>266</v>
      </c>
    </row>
    <row r="3" spans="1:29" ht="18.600000000000001" thickBot="1" x14ac:dyDescent="0.55000000000000004">
      <c r="A3" s="526" t="s">
        <v>53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11"/>
      <c r="O3" s="11"/>
      <c r="P3" s="11"/>
      <c r="Q3" s="11"/>
      <c r="R3" s="575"/>
    </row>
    <row r="4" spans="1:29" ht="18.600000000000001" thickBot="1" x14ac:dyDescent="0.55000000000000004">
      <c r="A4" s="527" t="s">
        <v>54</v>
      </c>
      <c r="B4" s="528"/>
      <c r="C4" s="545"/>
      <c r="D4" s="545"/>
      <c r="E4" s="545"/>
      <c r="F4" s="545"/>
      <c r="G4" s="531" t="s">
        <v>253</v>
      </c>
      <c r="H4" s="532"/>
      <c r="I4" s="545"/>
      <c r="J4" s="545"/>
      <c r="K4" s="545"/>
      <c r="L4" s="545"/>
      <c r="M4" s="545"/>
      <c r="N4" s="96"/>
      <c r="O4" s="11"/>
      <c r="P4" s="11"/>
      <c r="Q4" s="11"/>
      <c r="R4" s="575"/>
    </row>
    <row r="5" spans="1:29" ht="19.2" thickTop="1" thickBot="1" x14ac:dyDescent="0.55000000000000004">
      <c r="A5" s="529" t="s">
        <v>246</v>
      </c>
      <c r="B5" s="530"/>
      <c r="C5" s="547"/>
      <c r="D5" s="469"/>
      <c r="E5" s="469"/>
      <c r="F5" s="469"/>
      <c r="G5" s="543" t="s">
        <v>866</v>
      </c>
      <c r="H5" s="544"/>
      <c r="I5" s="505"/>
      <c r="J5" s="469"/>
      <c r="K5" s="469"/>
      <c r="L5" s="469"/>
      <c r="M5" s="546"/>
      <c r="N5" s="11"/>
      <c r="P5" s="11"/>
      <c r="Q5" s="11"/>
      <c r="R5" s="575"/>
    </row>
    <row r="6" spans="1:29" ht="19.2" thickTop="1" thickBot="1" x14ac:dyDescent="0.55000000000000004">
      <c r="A6" s="554" t="s">
        <v>293</v>
      </c>
      <c r="B6" s="544"/>
      <c r="C6" s="551"/>
      <c r="D6" s="469"/>
      <c r="E6" s="469"/>
      <c r="F6" s="469"/>
      <c r="G6" s="553" t="s">
        <v>243</v>
      </c>
      <c r="H6" s="530"/>
      <c r="I6" s="469"/>
      <c r="J6" s="469"/>
      <c r="K6" s="469"/>
      <c r="L6" s="469"/>
      <c r="M6" s="469"/>
      <c r="N6" s="96"/>
      <c r="O6" s="11"/>
      <c r="P6" s="11"/>
      <c r="Q6" s="11"/>
      <c r="R6" s="575"/>
    </row>
    <row r="7" spans="1:29" ht="19.2" thickTop="1" thickBot="1" x14ac:dyDescent="0.55000000000000004">
      <c r="A7" s="462" t="s">
        <v>245</v>
      </c>
      <c r="B7" s="463"/>
      <c r="C7" s="558">
        <f>(B2-C6)/365</f>
        <v>126.1013698630137</v>
      </c>
      <c r="D7" s="559"/>
      <c r="E7" s="559"/>
      <c r="F7" s="560"/>
      <c r="G7" s="519" t="s">
        <v>295</v>
      </c>
      <c r="H7" s="520"/>
      <c r="I7" s="561"/>
      <c r="J7" s="562"/>
      <c r="K7" s="562"/>
      <c r="L7" s="562"/>
      <c r="M7" s="562"/>
      <c r="N7" s="96"/>
      <c r="O7" s="11"/>
      <c r="P7" s="11"/>
      <c r="Q7" s="11"/>
      <c r="R7" s="575"/>
    </row>
    <row r="8" spans="1:29" ht="19.2" thickTop="1" thickBot="1" x14ac:dyDescent="0.55000000000000004">
      <c r="A8" s="566" t="s">
        <v>292</v>
      </c>
      <c r="B8" s="463"/>
      <c r="C8" s="551"/>
      <c r="D8" s="513"/>
      <c r="E8" s="513"/>
      <c r="F8" s="513"/>
      <c r="G8" s="519" t="s">
        <v>645</v>
      </c>
      <c r="H8" s="520"/>
      <c r="I8" s="567"/>
      <c r="J8" s="568"/>
      <c r="K8" s="330" t="s">
        <v>644</v>
      </c>
      <c r="L8" s="569"/>
      <c r="M8" s="570"/>
      <c r="N8" s="11"/>
      <c r="O8" s="11"/>
      <c r="P8" s="11"/>
      <c r="Q8" s="11"/>
      <c r="R8" s="575"/>
    </row>
    <row r="9" spans="1:29" ht="19.2" thickTop="1" thickBot="1" x14ac:dyDescent="0.55000000000000004">
      <c r="A9" s="555" t="s">
        <v>250</v>
      </c>
      <c r="B9" s="556"/>
      <c r="C9" s="571"/>
      <c r="D9" s="572"/>
      <c r="E9" s="572"/>
      <c r="F9" s="572"/>
      <c r="G9" s="572"/>
      <c r="H9" s="572"/>
      <c r="I9" s="572"/>
      <c r="J9" s="572"/>
      <c r="K9" s="573" t="s">
        <v>647</v>
      </c>
      <c r="L9" s="573"/>
      <c r="M9" s="379"/>
      <c r="N9" s="11"/>
      <c r="O9" s="11"/>
      <c r="P9" s="11"/>
      <c r="Q9" s="11"/>
      <c r="R9" s="575"/>
    </row>
    <row r="10" spans="1:29" ht="18.600000000000001" thickBot="1" x14ac:dyDescent="0.55000000000000004">
      <c r="A10" s="527" t="s">
        <v>84</v>
      </c>
      <c r="B10" s="557"/>
      <c r="C10" s="552" t="s">
        <v>266</v>
      </c>
      <c r="D10" s="484"/>
      <c r="E10" s="484"/>
      <c r="F10" s="468"/>
      <c r="G10" s="563"/>
      <c r="H10" s="564"/>
      <c r="I10" s="564"/>
      <c r="J10" s="564"/>
      <c r="K10" s="565"/>
      <c r="L10" s="565"/>
      <c r="M10" s="564"/>
      <c r="N10" s="11"/>
      <c r="O10" s="11"/>
      <c r="Q10" s="11"/>
      <c r="R10" s="575"/>
    </row>
    <row r="11" spans="1:29" ht="18.600000000000001" thickBot="1" x14ac:dyDescent="0.55000000000000004">
      <c r="A11" s="534" t="s">
        <v>294</v>
      </c>
      <c r="B11" s="539"/>
      <c r="C11" s="552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11"/>
      <c r="O11" s="11"/>
      <c r="P11" s="11"/>
      <c r="Q11" s="11"/>
      <c r="R11" s="575"/>
    </row>
    <row r="12" spans="1:29" ht="18.600000000000001" thickBot="1" x14ac:dyDescent="0.55000000000000004">
      <c r="A12" s="578" t="s">
        <v>248</v>
      </c>
      <c r="B12" s="579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11"/>
      <c r="O12" s="11"/>
      <c r="P12" s="11"/>
      <c r="Q12" s="11"/>
      <c r="R12" s="575"/>
    </row>
    <row r="13" spans="1:29" ht="19.2" thickTop="1" thickBot="1" x14ac:dyDescent="0.55000000000000004">
      <c r="A13" s="457" t="s">
        <v>57</v>
      </c>
      <c r="B13" s="458"/>
      <c r="C13" s="472"/>
      <c r="D13" s="472"/>
      <c r="E13" s="472"/>
      <c r="F13" s="472"/>
      <c r="G13" s="472"/>
      <c r="H13" s="472"/>
      <c r="I13" s="472"/>
      <c r="J13" s="472"/>
      <c r="K13" s="472"/>
      <c r="L13" s="472"/>
      <c r="M13" s="473"/>
      <c r="N13" s="11"/>
      <c r="O13" s="11"/>
      <c r="P13" s="11"/>
      <c r="Q13" s="11"/>
      <c r="R13" s="575"/>
    </row>
    <row r="14" spans="1:29" ht="19.2" thickTop="1" thickBot="1" x14ac:dyDescent="0.55000000000000004">
      <c r="A14" s="596" t="s">
        <v>296</v>
      </c>
      <c r="B14" s="597"/>
      <c r="C14" s="597"/>
      <c r="D14" s="598"/>
      <c r="E14" s="599"/>
      <c r="F14" s="600"/>
      <c r="G14" s="600"/>
      <c r="H14" s="600"/>
      <c r="I14" s="600"/>
      <c r="J14" s="600"/>
      <c r="K14" s="600"/>
      <c r="L14" s="600"/>
      <c r="M14" s="601"/>
      <c r="N14" s="11"/>
      <c r="O14" s="11"/>
      <c r="P14" s="11"/>
      <c r="Q14" s="11"/>
      <c r="R14" s="575"/>
    </row>
    <row r="15" spans="1:29" ht="19.2" thickTop="1" thickBot="1" x14ac:dyDescent="0.55000000000000004">
      <c r="A15" s="529" t="s">
        <v>297</v>
      </c>
      <c r="B15" s="529"/>
      <c r="C15" s="529"/>
      <c r="D15" s="591"/>
      <c r="E15" s="592"/>
      <c r="F15" s="593"/>
      <c r="G15" s="594"/>
      <c r="H15" s="594"/>
      <c r="I15" s="594"/>
      <c r="J15" s="594"/>
      <c r="K15" s="593"/>
      <c r="L15" s="593"/>
      <c r="M15" s="595"/>
      <c r="N15" s="11"/>
      <c r="O15" s="11"/>
      <c r="P15" s="11"/>
      <c r="Q15" s="11"/>
      <c r="R15" s="575"/>
    </row>
    <row r="16" spans="1:29" ht="19.2" thickTop="1" thickBot="1" x14ac:dyDescent="0.55000000000000004">
      <c r="A16" s="471" t="s">
        <v>58</v>
      </c>
      <c r="B16" s="472"/>
      <c r="C16" s="472"/>
      <c r="D16" s="472"/>
      <c r="E16" s="472"/>
      <c r="F16" s="472"/>
      <c r="G16" s="472"/>
      <c r="H16" s="472"/>
      <c r="I16" s="472"/>
      <c r="J16" s="472"/>
      <c r="K16" s="472"/>
      <c r="L16" s="472"/>
      <c r="M16" s="473"/>
      <c r="N16" s="13"/>
      <c r="O16" s="576"/>
      <c r="P16" s="576"/>
      <c r="Q16" s="11"/>
      <c r="R16" s="575"/>
    </row>
    <row r="17" spans="1:18" ht="19.2" thickTop="1" thickBot="1" x14ac:dyDescent="0.55000000000000004">
      <c r="A17" s="557" t="s">
        <v>296</v>
      </c>
      <c r="B17" s="582"/>
      <c r="C17" s="582"/>
      <c r="D17" s="583"/>
      <c r="E17" s="584"/>
      <c r="F17" s="585"/>
      <c r="G17" s="585"/>
      <c r="H17" s="585"/>
      <c r="I17" s="585"/>
      <c r="J17" s="585"/>
      <c r="K17" s="585"/>
      <c r="L17" s="585"/>
      <c r="M17" s="586"/>
      <c r="N17" s="11"/>
      <c r="O17" s="576"/>
      <c r="P17" s="576"/>
      <c r="Q17" s="11"/>
      <c r="R17" s="575"/>
    </row>
    <row r="18" spans="1:18" ht="18.600000000000001" thickBot="1" x14ac:dyDescent="0.55000000000000004">
      <c r="A18" s="587" t="s">
        <v>247</v>
      </c>
      <c r="B18" s="588"/>
      <c r="C18" s="588"/>
      <c r="D18" s="588"/>
      <c r="E18" s="588"/>
      <c r="F18" s="588"/>
      <c r="G18" s="588"/>
      <c r="H18" s="589"/>
      <c r="I18" s="589"/>
      <c r="J18" s="589"/>
      <c r="K18" s="589"/>
      <c r="L18" s="589"/>
      <c r="M18" s="590"/>
      <c r="N18" s="11"/>
      <c r="O18" s="576"/>
      <c r="P18" s="576"/>
      <c r="Q18" s="11"/>
      <c r="R18" s="575"/>
    </row>
    <row r="19" spans="1:18" ht="18.600000000000001" thickBot="1" x14ac:dyDescent="0.55000000000000004">
      <c r="A19" s="501" t="s">
        <v>56</v>
      </c>
      <c r="B19" s="501"/>
      <c r="C19" s="537"/>
      <c r="D19" s="538"/>
      <c r="E19" s="540" t="s">
        <v>104</v>
      </c>
      <c r="F19" s="541"/>
      <c r="G19" s="542"/>
      <c r="H19" s="470"/>
      <c r="I19" s="484"/>
      <c r="J19" s="484"/>
      <c r="K19" s="484"/>
      <c r="L19" s="484"/>
      <c r="M19" s="484"/>
      <c r="N19" s="11"/>
      <c r="O19" s="576"/>
      <c r="P19" s="576"/>
      <c r="Q19" s="11"/>
      <c r="R19" s="575"/>
    </row>
    <row r="20" spans="1:18" ht="19.2" thickTop="1" thickBot="1" x14ac:dyDescent="0.55000000000000004">
      <c r="A20" s="460" t="s">
        <v>59</v>
      </c>
      <c r="B20" s="460"/>
      <c r="C20" s="470"/>
      <c r="D20" s="468"/>
      <c r="E20" s="580" t="s">
        <v>61</v>
      </c>
      <c r="F20" s="524"/>
      <c r="G20" s="581"/>
      <c r="H20" s="552"/>
      <c r="I20" s="484"/>
      <c r="J20" s="484"/>
      <c r="K20" s="484"/>
      <c r="L20" s="484"/>
      <c r="M20" s="484"/>
      <c r="N20" s="11"/>
      <c r="O20" s="11"/>
      <c r="P20" s="11"/>
      <c r="Q20" s="11"/>
      <c r="R20" s="575"/>
    </row>
    <row r="21" spans="1:18" ht="19.2" thickTop="1" thickBot="1" x14ac:dyDescent="0.55000000000000004">
      <c r="A21" s="460" t="s">
        <v>60</v>
      </c>
      <c r="B21" s="461"/>
      <c r="C21" s="484"/>
      <c r="D21" s="548"/>
      <c r="E21" s="431" t="s">
        <v>737</v>
      </c>
      <c r="F21" s="432"/>
      <c r="G21" s="433"/>
      <c r="H21" s="434"/>
      <c r="I21" s="435"/>
      <c r="J21" s="435"/>
      <c r="K21" s="435"/>
      <c r="L21" s="435"/>
      <c r="M21" s="435"/>
      <c r="N21" s="11"/>
      <c r="O21" s="11"/>
      <c r="P21" s="11"/>
      <c r="Q21" s="11"/>
      <c r="R21" s="575"/>
    </row>
    <row r="22" spans="1:18" ht="19.2" thickTop="1" thickBot="1" x14ac:dyDescent="0.55000000000000004">
      <c r="A22" s="518" t="s">
        <v>298</v>
      </c>
      <c r="B22" s="519"/>
      <c r="C22" s="484"/>
      <c r="D22" s="548"/>
      <c r="E22" s="436" t="s">
        <v>507</v>
      </c>
      <c r="F22" s="437"/>
      <c r="G22" s="437"/>
      <c r="H22" s="437"/>
      <c r="I22" s="437"/>
      <c r="J22" s="437"/>
      <c r="K22" s="437"/>
      <c r="L22" s="437"/>
      <c r="M22" s="438"/>
      <c r="N22" s="11"/>
      <c r="O22" s="11"/>
      <c r="P22" s="11"/>
      <c r="Q22" s="11"/>
      <c r="R22" s="575"/>
    </row>
    <row r="23" spans="1:18" ht="18.600000000000001" thickBot="1" x14ac:dyDescent="0.55000000000000004">
      <c r="A23" s="533" t="s">
        <v>299</v>
      </c>
      <c r="B23" s="539"/>
      <c r="C23" s="549"/>
      <c r="D23" s="550"/>
      <c r="E23" s="439"/>
      <c r="F23" s="440"/>
      <c r="G23" s="440"/>
      <c r="H23" s="440"/>
      <c r="I23" s="440"/>
      <c r="J23" s="440"/>
      <c r="K23" s="440"/>
      <c r="L23" s="440"/>
      <c r="M23" s="441"/>
      <c r="N23" s="11"/>
      <c r="O23" s="11"/>
      <c r="P23" s="11"/>
      <c r="Q23" s="11"/>
      <c r="R23" s="575"/>
    </row>
    <row r="24" spans="1:18" ht="18.600000000000001" thickBot="1" x14ac:dyDescent="0.55000000000000004">
      <c r="A24" s="533" t="s">
        <v>745</v>
      </c>
      <c r="B24" s="534"/>
      <c r="C24" s="535"/>
      <c r="D24" s="136"/>
      <c r="E24" s="439"/>
      <c r="F24" s="440"/>
      <c r="G24" s="440"/>
      <c r="H24" s="440"/>
      <c r="I24" s="440"/>
      <c r="J24" s="440"/>
      <c r="K24" s="440"/>
      <c r="L24" s="440"/>
      <c r="M24" s="441"/>
      <c r="N24" s="11"/>
      <c r="O24" s="11"/>
      <c r="P24" s="11"/>
      <c r="Q24" s="11"/>
      <c r="R24" s="575"/>
    </row>
    <row r="25" spans="1:18" ht="18.600000000000001" thickBot="1" x14ac:dyDescent="0.55000000000000004">
      <c r="A25" s="501" t="s">
        <v>300</v>
      </c>
      <c r="B25" s="501"/>
      <c r="C25" s="536"/>
      <c r="D25" s="136"/>
      <c r="E25" s="439"/>
      <c r="F25" s="440"/>
      <c r="G25" s="440"/>
      <c r="H25" s="440"/>
      <c r="I25" s="440"/>
      <c r="J25" s="440"/>
      <c r="K25" s="440"/>
      <c r="L25" s="440"/>
      <c r="M25" s="441"/>
      <c r="N25" s="11"/>
      <c r="O25" s="11"/>
      <c r="P25" s="11"/>
      <c r="Q25" s="11"/>
      <c r="R25" s="575"/>
    </row>
    <row r="26" spans="1:18" ht="19.2" thickTop="1" thickBot="1" x14ac:dyDescent="0.55000000000000004">
      <c r="A26" s="460" t="s">
        <v>301</v>
      </c>
      <c r="B26" s="460"/>
      <c r="C26" s="461"/>
      <c r="D26" s="136"/>
      <c r="E26" s="442"/>
      <c r="F26" s="443"/>
      <c r="G26" s="443"/>
      <c r="H26" s="443"/>
      <c r="I26" s="443"/>
      <c r="J26" s="443"/>
      <c r="K26" s="443"/>
      <c r="L26" s="443"/>
      <c r="M26" s="444"/>
      <c r="N26" s="11"/>
      <c r="O26" s="11"/>
      <c r="P26" s="11"/>
      <c r="Q26" s="11"/>
      <c r="R26" s="575"/>
    </row>
    <row r="27" spans="1:18" ht="19.2" thickTop="1" thickBot="1" x14ac:dyDescent="0.55000000000000004">
      <c r="A27" s="471" t="s">
        <v>62</v>
      </c>
      <c r="B27" s="472"/>
      <c r="C27" s="472"/>
      <c r="D27" s="485"/>
      <c r="E27" s="515"/>
      <c r="F27" s="515"/>
      <c r="G27" s="472"/>
      <c r="H27" s="472"/>
      <c r="I27" s="472"/>
      <c r="J27" s="472"/>
      <c r="K27" s="472"/>
      <c r="L27" s="472"/>
      <c r="M27" s="473"/>
      <c r="N27" s="11"/>
      <c r="O27" s="11"/>
      <c r="P27" s="11"/>
      <c r="Q27" s="11"/>
      <c r="R27" s="575"/>
    </row>
    <row r="28" spans="1:18" ht="19.2" thickTop="1" thickBot="1" x14ac:dyDescent="0.55000000000000004">
      <c r="A28" s="460" t="s">
        <v>63</v>
      </c>
      <c r="B28" s="460"/>
      <c r="C28" s="461"/>
      <c r="D28" s="521"/>
      <c r="E28" s="484"/>
      <c r="F28" s="484"/>
      <c r="G28" s="523" t="s">
        <v>302</v>
      </c>
      <c r="H28" s="524"/>
      <c r="I28" s="524"/>
      <c r="J28" s="484"/>
      <c r="K28" s="484"/>
      <c r="L28" s="484"/>
      <c r="M28" s="484"/>
      <c r="N28" s="11"/>
      <c r="O28" s="11"/>
      <c r="P28" s="11"/>
      <c r="Q28" s="11"/>
      <c r="R28" s="575"/>
    </row>
    <row r="29" spans="1:18" ht="19.2" thickTop="1" thickBot="1" x14ac:dyDescent="0.55000000000000004">
      <c r="A29" s="460" t="s">
        <v>286</v>
      </c>
      <c r="B29" s="460"/>
      <c r="C29" s="461"/>
      <c r="D29" s="522"/>
      <c r="E29" s="484"/>
      <c r="F29" s="484"/>
      <c r="G29" s="516"/>
      <c r="H29" s="516"/>
      <c r="I29" s="516"/>
      <c r="J29" s="517"/>
      <c r="K29" s="517"/>
      <c r="L29" s="517"/>
      <c r="M29" s="517"/>
      <c r="N29" s="11"/>
      <c r="O29" s="11"/>
      <c r="P29" s="11"/>
      <c r="Q29" s="11"/>
      <c r="R29" s="575"/>
    </row>
    <row r="30" spans="1:18" ht="19.2" thickTop="1" thickBot="1" x14ac:dyDescent="0.55000000000000004">
      <c r="A30" s="460" t="s">
        <v>287</v>
      </c>
      <c r="B30" s="460"/>
      <c r="C30" s="461"/>
      <c r="D30" s="484"/>
      <c r="E30" s="484"/>
      <c r="F30" s="484"/>
      <c r="G30" s="516"/>
      <c r="H30" s="516"/>
      <c r="I30" s="516"/>
      <c r="J30" s="517"/>
      <c r="K30" s="517"/>
      <c r="L30" s="517"/>
      <c r="M30" s="517"/>
      <c r="N30" s="11"/>
      <c r="O30" s="11"/>
      <c r="P30" s="11"/>
      <c r="Q30" s="11"/>
      <c r="R30" s="575"/>
    </row>
    <row r="31" spans="1:18" ht="18.600000000000001" thickTop="1" x14ac:dyDescent="0.5">
      <c r="A31" s="518" t="s">
        <v>288</v>
      </c>
      <c r="B31" s="518"/>
      <c r="C31" s="519"/>
      <c r="D31" s="484"/>
      <c r="E31" s="484"/>
      <c r="F31" s="484"/>
      <c r="G31" s="516"/>
      <c r="H31" s="516"/>
      <c r="I31" s="516"/>
      <c r="J31" s="517"/>
      <c r="K31" s="517"/>
      <c r="L31" s="517"/>
      <c r="M31" s="517"/>
      <c r="N31" s="11"/>
      <c r="O31" s="11"/>
      <c r="P31" s="11"/>
      <c r="Q31" s="11"/>
      <c r="R31" s="575"/>
    </row>
    <row r="32" spans="1:18" ht="18.600000000000001" thickBot="1" x14ac:dyDescent="0.55000000000000004">
      <c r="A32" s="457" t="s">
        <v>441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L32" s="458"/>
      <c r="M32" s="459"/>
      <c r="N32" s="11"/>
      <c r="O32" s="11"/>
      <c r="P32" s="11"/>
      <c r="Q32" s="11"/>
      <c r="R32" s="575"/>
    </row>
    <row r="33" spans="1:18" ht="19.2" thickTop="1" thickBot="1" x14ac:dyDescent="0.55000000000000004">
      <c r="A33" s="460" t="s">
        <v>442</v>
      </c>
      <c r="B33" s="460"/>
      <c r="C33" s="460"/>
      <c r="D33" s="460"/>
      <c r="E33" s="461" t="s">
        <v>443</v>
      </c>
      <c r="F33" s="462"/>
      <c r="G33" s="463"/>
      <c r="H33" s="460" t="s">
        <v>444</v>
      </c>
      <c r="I33" s="460"/>
      <c r="J33" s="460"/>
      <c r="K33" s="460" t="s">
        <v>445</v>
      </c>
      <c r="L33" s="460"/>
      <c r="M33" s="460"/>
      <c r="N33" s="11"/>
      <c r="O33" s="11"/>
      <c r="P33" s="11"/>
      <c r="Q33" s="11"/>
      <c r="R33" s="575"/>
    </row>
    <row r="34" spans="1:18" ht="18.600000000000001" thickTop="1" x14ac:dyDescent="0.5">
      <c r="A34" s="464" t="s">
        <v>198</v>
      </c>
      <c r="B34" s="464"/>
      <c r="C34" s="464"/>
      <c r="D34" s="464"/>
      <c r="E34" s="465"/>
      <c r="F34" s="466"/>
      <c r="G34" s="467"/>
      <c r="H34" s="464">
        <v>3</v>
      </c>
      <c r="I34" s="464"/>
      <c r="J34" s="464"/>
      <c r="K34" s="464">
        <f>PRODUCT(E34*H34)</f>
        <v>0</v>
      </c>
      <c r="L34" s="464"/>
      <c r="M34" s="464"/>
      <c r="N34" s="11"/>
      <c r="O34" s="11"/>
      <c r="P34" s="11"/>
      <c r="Q34" s="11"/>
      <c r="R34" s="575"/>
    </row>
    <row r="35" spans="1:18" ht="18" x14ac:dyDescent="0.5">
      <c r="A35" s="468" t="s">
        <v>446</v>
      </c>
      <c r="B35" s="469"/>
      <c r="C35" s="469"/>
      <c r="D35" s="470"/>
      <c r="E35" s="468"/>
      <c r="F35" s="469"/>
      <c r="G35" s="470"/>
      <c r="H35" s="468">
        <v>1</v>
      </c>
      <c r="I35" s="469"/>
      <c r="J35" s="470"/>
      <c r="K35" s="464">
        <f t="shared" ref="K35:K39" si="0">PRODUCT(E35*H35)</f>
        <v>0</v>
      </c>
      <c r="L35" s="464"/>
      <c r="M35" s="464"/>
      <c r="N35" s="11"/>
      <c r="O35" s="11"/>
      <c r="P35" s="11"/>
      <c r="Q35" s="11"/>
      <c r="R35" s="575"/>
    </row>
    <row r="36" spans="1:18" ht="18" x14ac:dyDescent="0.5">
      <c r="A36" s="468" t="s">
        <v>447</v>
      </c>
      <c r="B36" s="469"/>
      <c r="C36" s="469"/>
      <c r="D36" s="470"/>
      <c r="E36" s="468"/>
      <c r="F36" s="469"/>
      <c r="G36" s="470"/>
      <c r="H36" s="468">
        <v>1.5</v>
      </c>
      <c r="I36" s="469"/>
      <c r="J36" s="470"/>
      <c r="K36" s="464">
        <f t="shared" si="0"/>
        <v>0</v>
      </c>
      <c r="L36" s="464"/>
      <c r="M36" s="464"/>
      <c r="N36" s="11"/>
      <c r="O36" s="11"/>
      <c r="P36" s="11"/>
      <c r="Q36" s="11"/>
      <c r="R36" s="575"/>
    </row>
    <row r="37" spans="1:18" ht="18" x14ac:dyDescent="0.5">
      <c r="A37" s="468" t="s">
        <v>448</v>
      </c>
      <c r="B37" s="469"/>
      <c r="C37" s="469"/>
      <c r="D37" s="470"/>
      <c r="E37" s="468"/>
      <c r="F37" s="469"/>
      <c r="G37" s="470"/>
      <c r="H37" s="468">
        <v>2.5</v>
      </c>
      <c r="I37" s="513"/>
      <c r="J37" s="514"/>
      <c r="K37" s="464">
        <f t="shared" si="0"/>
        <v>0</v>
      </c>
      <c r="L37" s="464"/>
      <c r="M37" s="464"/>
      <c r="N37" s="11"/>
      <c r="O37" s="11"/>
      <c r="P37" s="11"/>
      <c r="Q37" s="11"/>
      <c r="R37" s="575"/>
    </row>
    <row r="38" spans="1:18" ht="18" x14ac:dyDescent="0.5">
      <c r="A38" s="468" t="s">
        <v>449</v>
      </c>
      <c r="B38" s="469"/>
      <c r="C38" s="469"/>
      <c r="D38" s="470"/>
      <c r="E38" s="468"/>
      <c r="F38" s="469"/>
      <c r="G38" s="470"/>
      <c r="H38" s="468">
        <v>1</v>
      </c>
      <c r="I38" s="469"/>
      <c r="J38" s="470"/>
      <c r="K38" s="464">
        <f t="shared" si="0"/>
        <v>0</v>
      </c>
      <c r="L38" s="464"/>
      <c r="M38" s="464"/>
      <c r="N38" s="11"/>
      <c r="O38" s="11"/>
      <c r="P38" s="11"/>
      <c r="Q38" s="11"/>
      <c r="R38" s="575"/>
    </row>
    <row r="39" spans="1:18" ht="18" x14ac:dyDescent="0.5">
      <c r="A39" s="468" t="s">
        <v>450</v>
      </c>
      <c r="B39" s="469"/>
      <c r="C39" s="469"/>
      <c r="D39" s="470"/>
      <c r="E39" s="468"/>
      <c r="F39" s="469"/>
      <c r="G39" s="470"/>
      <c r="H39" s="468">
        <v>0</v>
      </c>
      <c r="I39" s="469"/>
      <c r="J39" s="470"/>
      <c r="K39" s="464">
        <f t="shared" si="0"/>
        <v>0</v>
      </c>
      <c r="L39" s="464"/>
      <c r="M39" s="464"/>
      <c r="N39" s="11"/>
      <c r="O39" s="11"/>
      <c r="P39" s="11"/>
      <c r="Q39" s="11"/>
      <c r="R39" s="575"/>
    </row>
    <row r="40" spans="1:18" ht="19.2" thickTop="1" thickBot="1" x14ac:dyDescent="0.55000000000000004">
      <c r="A40" s="483" t="s">
        <v>451</v>
      </c>
      <c r="B40" s="483"/>
      <c r="C40" s="483"/>
      <c r="D40" s="483"/>
      <c r="E40" s="468">
        <f>SUM(E34:G39)</f>
        <v>0</v>
      </c>
      <c r="F40" s="469"/>
      <c r="G40" s="470"/>
      <c r="H40" s="484"/>
      <c r="I40" s="484"/>
      <c r="J40" s="484"/>
      <c r="K40" s="484">
        <f>SUM(K34:M39)</f>
        <v>0</v>
      </c>
      <c r="L40" s="484"/>
      <c r="M40" s="484"/>
      <c r="N40" s="11"/>
      <c r="O40" s="11"/>
      <c r="P40" s="11"/>
      <c r="Q40" s="11"/>
      <c r="R40" s="575"/>
    </row>
    <row r="41" spans="1:18" ht="18.600000000000001" thickBot="1" x14ac:dyDescent="0.55000000000000004">
      <c r="A41" s="486"/>
      <c r="B41" s="486"/>
      <c r="C41" s="486"/>
      <c r="D41" s="486"/>
      <c r="E41" s="481"/>
      <c r="F41" s="481"/>
      <c r="G41" s="481"/>
      <c r="H41" s="487" t="s">
        <v>452</v>
      </c>
      <c r="I41" s="488"/>
      <c r="J41" s="489"/>
      <c r="K41" s="490" t="e">
        <f>K40*#REF!</f>
        <v>#REF!</v>
      </c>
      <c r="L41" s="491"/>
      <c r="M41" s="492"/>
      <c r="N41" s="11"/>
      <c r="O41" s="11"/>
      <c r="P41" s="11"/>
      <c r="Q41" s="11"/>
      <c r="R41" s="575"/>
    </row>
    <row r="42" spans="1:18" ht="19.2" thickTop="1" thickBot="1" x14ac:dyDescent="0.55000000000000004">
      <c r="A42" s="457" t="s">
        <v>64</v>
      </c>
      <c r="B42" s="458"/>
      <c r="C42" s="458"/>
      <c r="D42" s="458"/>
      <c r="E42" s="485"/>
      <c r="F42" s="458"/>
      <c r="G42" s="458"/>
      <c r="H42" s="458"/>
      <c r="I42" s="458"/>
      <c r="J42" s="458"/>
      <c r="K42" s="458"/>
      <c r="L42" s="458"/>
      <c r="M42" s="459"/>
      <c r="N42" s="11"/>
      <c r="O42" s="11"/>
      <c r="P42" s="11"/>
      <c r="Q42" s="11"/>
      <c r="R42" s="575"/>
    </row>
    <row r="43" spans="1:18" ht="19.2" thickTop="1" thickBot="1" x14ac:dyDescent="0.55000000000000004">
      <c r="A43" s="474" t="s">
        <v>65</v>
      </c>
      <c r="B43" s="475"/>
      <c r="C43" s="475"/>
      <c r="D43" s="475"/>
      <c r="E43" s="373" t="s">
        <v>738</v>
      </c>
      <c r="F43" s="475" t="s">
        <v>739</v>
      </c>
      <c r="G43" s="476"/>
      <c r="H43" s="461" t="s">
        <v>289</v>
      </c>
      <c r="I43" s="462"/>
      <c r="J43" s="463"/>
      <c r="K43" s="474" t="s">
        <v>66</v>
      </c>
      <c r="L43" s="475"/>
      <c r="M43" s="476"/>
      <c r="N43" s="11"/>
      <c r="O43" s="11"/>
      <c r="P43" s="11"/>
      <c r="Q43" s="11"/>
      <c r="R43" s="575"/>
    </row>
    <row r="44" spans="1:18" ht="18.600000000000001" thickTop="1" x14ac:dyDescent="0.5">
      <c r="A44" s="465"/>
      <c r="B44" s="466"/>
      <c r="C44" s="466"/>
      <c r="D44" s="467"/>
      <c r="E44" s="372"/>
      <c r="F44" s="511"/>
      <c r="G44" s="512"/>
      <c r="H44" s="465"/>
      <c r="I44" s="466"/>
      <c r="J44" s="467"/>
      <c r="K44" s="465"/>
      <c r="L44" s="466"/>
      <c r="M44" s="467"/>
      <c r="N44" s="11"/>
      <c r="O44" s="11"/>
      <c r="P44" s="11"/>
      <c r="Q44" s="11"/>
      <c r="R44" s="575"/>
    </row>
    <row r="45" spans="1:18" ht="18.600000000000001" thickBot="1" x14ac:dyDescent="0.55000000000000004">
      <c r="A45" s="480"/>
      <c r="B45" s="481"/>
      <c r="C45" s="481"/>
      <c r="D45" s="482"/>
      <c r="E45" s="374"/>
      <c r="F45" s="480"/>
      <c r="G45" s="482"/>
      <c r="H45" s="480"/>
      <c r="I45" s="481"/>
      <c r="J45" s="482"/>
      <c r="K45" s="480"/>
      <c r="L45" s="481"/>
      <c r="M45" s="482"/>
      <c r="N45" s="11"/>
      <c r="O45" s="11"/>
      <c r="P45" s="11"/>
      <c r="Q45" s="11"/>
      <c r="R45" s="575"/>
    </row>
    <row r="46" spans="1:18" ht="19.2" thickTop="1" thickBot="1" x14ac:dyDescent="0.55000000000000004">
      <c r="A46" s="471" t="s">
        <v>249</v>
      </c>
      <c r="B46" s="472"/>
      <c r="C46" s="472"/>
      <c r="D46" s="472"/>
      <c r="E46" s="458"/>
      <c r="F46" s="472"/>
      <c r="G46" s="472"/>
      <c r="H46" s="472"/>
      <c r="I46" s="472"/>
      <c r="J46" s="472"/>
      <c r="K46" s="472"/>
      <c r="L46" s="472"/>
      <c r="M46" s="473"/>
      <c r="N46" s="11"/>
      <c r="O46" s="11"/>
      <c r="P46" s="11"/>
      <c r="Q46" s="11"/>
      <c r="R46" s="575"/>
    </row>
    <row r="47" spans="1:18" ht="19.2" thickTop="1" thickBot="1" x14ac:dyDescent="0.55000000000000004">
      <c r="A47" s="474" t="s">
        <v>303</v>
      </c>
      <c r="B47" s="475"/>
      <c r="C47" s="475"/>
      <c r="D47" s="476"/>
      <c r="E47" s="477"/>
      <c r="F47" s="478"/>
      <c r="G47" s="478"/>
      <c r="H47" s="478"/>
      <c r="I47" s="478"/>
      <c r="J47" s="478"/>
      <c r="K47" s="478"/>
      <c r="L47" s="478"/>
      <c r="M47" s="479"/>
      <c r="N47" s="11"/>
      <c r="O47" s="11"/>
      <c r="P47" s="11"/>
      <c r="Q47" s="11"/>
      <c r="R47" s="575"/>
    </row>
    <row r="48" spans="1:18" ht="19.2" thickTop="1" thickBot="1" x14ac:dyDescent="0.55000000000000004">
      <c r="A48" s="471" t="s">
        <v>508</v>
      </c>
      <c r="B48" s="472"/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M48" s="473"/>
      <c r="N48" s="11"/>
      <c r="O48" s="11"/>
      <c r="P48" s="11"/>
      <c r="Q48" s="11"/>
      <c r="R48" s="575"/>
    </row>
    <row r="49" spans="1:18" ht="19.2" thickTop="1" thickBot="1" x14ac:dyDescent="0.55000000000000004">
      <c r="A49" s="501" t="s">
        <v>69</v>
      </c>
      <c r="B49" s="501"/>
      <c r="C49" s="493"/>
      <c r="D49" s="494"/>
      <c r="E49" s="494"/>
      <c r="F49" s="494"/>
      <c r="G49" s="494"/>
      <c r="H49" s="494"/>
      <c r="I49" s="494"/>
      <c r="J49" s="494"/>
      <c r="K49" s="494"/>
      <c r="L49" s="494"/>
      <c r="M49" s="495"/>
      <c r="N49" s="11"/>
      <c r="O49" s="11"/>
      <c r="P49" s="11"/>
      <c r="Q49" s="11"/>
      <c r="R49" s="575"/>
    </row>
    <row r="50" spans="1:18" ht="19.2" thickTop="1" thickBot="1" x14ac:dyDescent="0.55000000000000004">
      <c r="A50" s="499" t="s">
        <v>747</v>
      </c>
      <c r="B50" s="499"/>
      <c r="C50" s="496"/>
      <c r="D50" s="497"/>
      <c r="E50" s="497"/>
      <c r="F50" s="497"/>
      <c r="G50" s="497"/>
      <c r="H50" s="497"/>
      <c r="I50" s="497"/>
      <c r="J50" s="497"/>
      <c r="K50" s="497"/>
      <c r="L50" s="497"/>
      <c r="M50" s="498"/>
      <c r="N50" s="11"/>
      <c r="O50" s="11"/>
      <c r="P50" s="11"/>
      <c r="Q50" s="11"/>
      <c r="R50" s="575"/>
    </row>
    <row r="51" spans="1:18" ht="19.2" thickTop="1" thickBot="1" x14ac:dyDescent="0.55000000000000004">
      <c r="A51" s="500" t="s">
        <v>72</v>
      </c>
      <c r="B51" s="500"/>
      <c r="C51" s="493"/>
      <c r="D51" s="494"/>
      <c r="E51" s="494"/>
      <c r="F51" s="494"/>
      <c r="G51" s="494"/>
      <c r="H51" s="494"/>
      <c r="I51" s="494"/>
      <c r="J51" s="494"/>
      <c r="K51" s="494"/>
      <c r="L51" s="494"/>
      <c r="M51" s="495"/>
      <c r="N51" s="11"/>
      <c r="O51" s="11"/>
      <c r="P51" s="11"/>
      <c r="Q51" s="11"/>
      <c r="R51" s="575"/>
    </row>
    <row r="52" spans="1:18" ht="19.2" thickTop="1" thickBot="1" x14ac:dyDescent="0.55000000000000004">
      <c r="A52" s="499" t="s">
        <v>746</v>
      </c>
      <c r="B52" s="499"/>
      <c r="C52" s="496"/>
      <c r="D52" s="497"/>
      <c r="E52" s="497"/>
      <c r="F52" s="497"/>
      <c r="G52" s="497"/>
      <c r="H52" s="497"/>
      <c r="I52" s="497"/>
      <c r="J52" s="497"/>
      <c r="K52" s="497"/>
      <c r="L52" s="497"/>
      <c r="M52" s="498"/>
      <c r="N52" s="11"/>
      <c r="O52" s="11"/>
      <c r="P52" s="11"/>
      <c r="Q52" s="11"/>
      <c r="R52" s="575"/>
    </row>
    <row r="53" spans="1:18" ht="19.2" thickTop="1" thickBot="1" x14ac:dyDescent="0.55000000000000004">
      <c r="A53" s="460" t="s">
        <v>70</v>
      </c>
      <c r="B53" s="460"/>
      <c r="C53" s="502"/>
      <c r="D53" s="503"/>
      <c r="E53" s="503"/>
      <c r="F53" s="503"/>
      <c r="G53" s="503"/>
      <c r="H53" s="503"/>
      <c r="I53" s="503"/>
      <c r="J53" s="503"/>
      <c r="K53" s="503"/>
      <c r="L53" s="503"/>
      <c r="M53" s="504"/>
      <c r="N53" s="11"/>
      <c r="O53" s="11"/>
      <c r="P53" s="11"/>
      <c r="Q53" s="11"/>
      <c r="R53" s="575"/>
    </row>
    <row r="54" spans="1:18" ht="19.2" thickTop="1" thickBot="1" x14ac:dyDescent="0.55000000000000004">
      <c r="A54" s="499" t="s">
        <v>748</v>
      </c>
      <c r="B54" s="499"/>
      <c r="C54" s="496"/>
      <c r="D54" s="497"/>
      <c r="E54" s="497"/>
      <c r="F54" s="497"/>
      <c r="G54" s="497"/>
      <c r="H54" s="497"/>
      <c r="I54" s="497"/>
      <c r="J54" s="497"/>
      <c r="K54" s="497"/>
      <c r="L54" s="497"/>
      <c r="M54" s="498"/>
      <c r="N54" s="11"/>
      <c r="O54" s="11"/>
      <c r="P54" s="11"/>
      <c r="Q54" s="11"/>
      <c r="R54" s="575"/>
    </row>
    <row r="55" spans="1:18" ht="19.2" thickTop="1" thickBot="1" x14ac:dyDescent="0.55000000000000004">
      <c r="A55" s="500" t="s">
        <v>73</v>
      </c>
      <c r="B55" s="500"/>
      <c r="C55" s="502"/>
      <c r="D55" s="503"/>
      <c r="E55" s="503"/>
      <c r="F55" s="503"/>
      <c r="G55" s="503"/>
      <c r="H55" s="503"/>
      <c r="I55" s="503"/>
      <c r="J55" s="503"/>
      <c r="K55" s="503"/>
      <c r="L55" s="503"/>
      <c r="M55" s="504"/>
      <c r="N55" s="11"/>
      <c r="O55" s="11"/>
      <c r="P55" s="11"/>
      <c r="Q55" s="11"/>
      <c r="R55" s="575"/>
    </row>
    <row r="56" spans="1:18" ht="19.2" thickTop="1" thickBot="1" x14ac:dyDescent="0.55000000000000004">
      <c r="A56" s="499" t="s">
        <v>743</v>
      </c>
      <c r="B56" s="499"/>
      <c r="C56" s="496"/>
      <c r="D56" s="497"/>
      <c r="E56" s="497"/>
      <c r="F56" s="497"/>
      <c r="G56" s="497"/>
      <c r="H56" s="497"/>
      <c r="I56" s="497"/>
      <c r="J56" s="497"/>
      <c r="K56" s="497"/>
      <c r="L56" s="497"/>
      <c r="M56" s="498"/>
      <c r="N56" s="11"/>
      <c r="O56" s="11"/>
      <c r="P56" s="11"/>
      <c r="Q56" s="11"/>
      <c r="R56" s="575"/>
    </row>
    <row r="57" spans="1:18" ht="19.2" thickTop="1" thickBot="1" x14ac:dyDescent="0.55000000000000004">
      <c r="A57" s="460" t="s">
        <v>74</v>
      </c>
      <c r="B57" s="460"/>
      <c r="C57" s="493"/>
      <c r="D57" s="494"/>
      <c r="E57" s="494"/>
      <c r="F57" s="494"/>
      <c r="G57" s="494"/>
      <c r="H57" s="494"/>
      <c r="I57" s="494"/>
      <c r="J57" s="494"/>
      <c r="K57" s="494"/>
      <c r="L57" s="494"/>
      <c r="M57" s="495"/>
      <c r="N57" s="11"/>
      <c r="O57" s="11"/>
      <c r="P57" s="11"/>
      <c r="Q57" s="11"/>
      <c r="R57" s="575"/>
    </row>
    <row r="58" spans="1:18" ht="19.2" thickTop="1" thickBot="1" x14ac:dyDescent="0.55000000000000004">
      <c r="A58" s="499" t="s">
        <v>744</v>
      </c>
      <c r="B58" s="499"/>
      <c r="C58" s="496"/>
      <c r="D58" s="497"/>
      <c r="E58" s="497"/>
      <c r="F58" s="497"/>
      <c r="G58" s="497"/>
      <c r="H58" s="497"/>
      <c r="I58" s="497"/>
      <c r="J58" s="497"/>
      <c r="K58" s="497"/>
      <c r="L58" s="497"/>
      <c r="M58" s="498"/>
      <c r="N58" s="11"/>
      <c r="O58" s="11"/>
      <c r="P58" s="11"/>
      <c r="Q58" s="11"/>
      <c r="R58" s="575"/>
    </row>
    <row r="59" spans="1:18" ht="19.2" thickTop="1" thickBot="1" x14ac:dyDescent="0.55000000000000004">
      <c r="A59" s="460" t="s">
        <v>75</v>
      </c>
      <c r="B59" s="460"/>
      <c r="C59" s="502"/>
      <c r="D59" s="503"/>
      <c r="E59" s="503"/>
      <c r="F59" s="503"/>
      <c r="G59" s="503"/>
      <c r="H59" s="503"/>
      <c r="I59" s="503"/>
      <c r="J59" s="503"/>
      <c r="K59" s="503"/>
      <c r="L59" s="503"/>
      <c r="M59" s="504"/>
      <c r="N59" s="11"/>
      <c r="O59" s="11"/>
      <c r="P59" s="11"/>
      <c r="Q59" s="11"/>
      <c r="R59" s="575"/>
    </row>
    <row r="60" spans="1:18" ht="19.2" thickTop="1" thickBot="1" x14ac:dyDescent="0.55000000000000004">
      <c r="A60" s="507" t="s">
        <v>71</v>
      </c>
      <c r="B60" s="507"/>
      <c r="C60" s="508"/>
      <c r="D60" s="509"/>
      <c r="E60" s="509"/>
      <c r="F60" s="509"/>
      <c r="G60" s="509"/>
      <c r="H60" s="509"/>
      <c r="I60" s="509"/>
      <c r="J60" s="509"/>
      <c r="K60" s="509"/>
      <c r="L60" s="509"/>
      <c r="M60" s="510"/>
      <c r="N60" s="11"/>
      <c r="O60" s="11"/>
      <c r="P60" s="11"/>
      <c r="Q60" s="11"/>
      <c r="R60" s="575"/>
    </row>
    <row r="61" spans="1:18" ht="19.2" thickTop="1" thickBot="1" x14ac:dyDescent="0.55000000000000004">
      <c r="A61" s="460" t="s">
        <v>290</v>
      </c>
      <c r="B61" s="460"/>
      <c r="C61" s="460"/>
      <c r="D61" s="505">
        <f>(I64*90)+(I65*25)+(I66*60)+(I67*80)+(I68*75)+(I69*55)+(I70*45)+(I71*60)</f>
        <v>0</v>
      </c>
      <c r="E61" s="469"/>
      <c r="F61" s="469"/>
      <c r="G61" s="506"/>
      <c r="H61" s="460" t="s">
        <v>291</v>
      </c>
      <c r="I61" s="460"/>
      <c r="J61" s="460"/>
      <c r="K61" s="470">
        <f>(I68+I69) *7</f>
        <v>0</v>
      </c>
      <c r="L61" s="484"/>
      <c r="M61" s="484"/>
      <c r="N61" s="11"/>
      <c r="O61" s="11"/>
      <c r="P61" s="11"/>
      <c r="Q61" s="11"/>
      <c r="R61" s="575"/>
    </row>
    <row r="62" spans="1:18" ht="15.6" thickTop="1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575"/>
    </row>
    <row r="63" spans="1:18" ht="19.2" thickTop="1" thickBot="1" x14ac:dyDescent="0.55000000000000004">
      <c r="A63" s="199" t="s">
        <v>117</v>
      </c>
      <c r="B63" s="198" t="s">
        <v>455</v>
      </c>
      <c r="C63" s="198" t="s">
        <v>120</v>
      </c>
      <c r="D63" s="198" t="s">
        <v>121</v>
      </c>
      <c r="E63" s="198" t="s">
        <v>120</v>
      </c>
      <c r="F63" s="453" t="s">
        <v>122</v>
      </c>
      <c r="G63" s="454"/>
      <c r="H63" s="198" t="s">
        <v>120</v>
      </c>
      <c r="I63" s="455" t="s">
        <v>114</v>
      </c>
      <c r="J63" s="456"/>
      <c r="K63" s="11"/>
      <c r="L63" s="11"/>
      <c r="M63" s="11"/>
      <c r="N63" s="11"/>
      <c r="O63" s="11"/>
      <c r="P63" s="11"/>
      <c r="Q63" s="11"/>
      <c r="R63" s="575"/>
    </row>
    <row r="64" spans="1:18" ht="19.2" thickTop="1" thickBot="1" x14ac:dyDescent="0.55000000000000004">
      <c r="A64" s="267" t="s">
        <v>123</v>
      </c>
      <c r="B64" s="268"/>
      <c r="C64" s="158"/>
      <c r="D64" s="158"/>
      <c r="E64" s="158"/>
      <c r="F64" s="447"/>
      <c r="G64" s="448"/>
      <c r="H64" s="158"/>
      <c r="I64" s="449">
        <f>SUM(B64:H64)</f>
        <v>0</v>
      </c>
      <c r="J64" s="450"/>
      <c r="K64" s="11"/>
      <c r="L64" s="11"/>
      <c r="M64" s="11"/>
      <c r="N64" s="11"/>
      <c r="O64" s="11"/>
      <c r="P64" s="11"/>
      <c r="Q64" s="11"/>
      <c r="R64" s="575"/>
    </row>
    <row r="65" spans="1:18" ht="19.2" thickTop="1" thickBot="1" x14ac:dyDescent="0.55000000000000004">
      <c r="A65" s="267" t="s">
        <v>107</v>
      </c>
      <c r="B65" s="269"/>
      <c r="C65" s="161"/>
      <c r="D65" s="161"/>
      <c r="E65" s="161"/>
      <c r="F65" s="447"/>
      <c r="G65" s="448"/>
      <c r="H65" s="161"/>
      <c r="I65" s="449">
        <f t="shared" ref="I65:I67" si="1">SUM(B65:H65)</f>
        <v>0</v>
      </c>
      <c r="J65" s="450"/>
      <c r="K65" s="11"/>
      <c r="L65" s="11"/>
      <c r="M65" s="11"/>
      <c r="N65" s="11"/>
      <c r="O65" s="11"/>
      <c r="P65" s="11"/>
      <c r="Q65" s="11"/>
      <c r="R65" s="575"/>
    </row>
    <row r="66" spans="1:18" ht="19.2" thickTop="1" thickBot="1" x14ac:dyDescent="0.55000000000000004">
      <c r="A66" s="267" t="s">
        <v>108</v>
      </c>
      <c r="B66" s="269"/>
      <c r="C66" s="161"/>
      <c r="D66" s="161"/>
      <c r="E66" s="161"/>
      <c r="F66" s="447"/>
      <c r="G66" s="448"/>
      <c r="H66" s="161"/>
      <c r="I66" s="449">
        <f t="shared" si="1"/>
        <v>0</v>
      </c>
      <c r="J66" s="450"/>
      <c r="K66" s="11"/>
      <c r="L66" s="11"/>
      <c r="M66" s="11"/>
      <c r="N66" s="11"/>
      <c r="O66" s="11"/>
      <c r="P66" s="11"/>
      <c r="Q66" s="11"/>
      <c r="R66" s="575"/>
    </row>
    <row r="67" spans="1:18" ht="19.2" thickTop="1" thickBot="1" x14ac:dyDescent="0.55000000000000004">
      <c r="A67" s="267" t="s">
        <v>112</v>
      </c>
      <c r="B67" s="269"/>
      <c r="C67" s="161"/>
      <c r="D67" s="161"/>
      <c r="E67" s="161"/>
      <c r="F67" s="447"/>
      <c r="G67" s="448"/>
      <c r="H67" s="161"/>
      <c r="I67" s="449">
        <f t="shared" si="1"/>
        <v>0</v>
      </c>
      <c r="J67" s="450"/>
      <c r="K67" s="11"/>
      <c r="L67" s="11"/>
      <c r="M67" s="11"/>
      <c r="N67" s="11"/>
      <c r="O67" s="11"/>
      <c r="P67" s="11"/>
      <c r="Q67" s="11"/>
      <c r="R67" s="575"/>
    </row>
    <row r="68" spans="1:18" ht="19.2" thickTop="1" thickBot="1" x14ac:dyDescent="0.55000000000000004">
      <c r="A68" s="270" t="s">
        <v>456</v>
      </c>
      <c r="B68" s="269"/>
      <c r="C68" s="161"/>
      <c r="D68" s="161"/>
      <c r="E68" s="161"/>
      <c r="F68" s="447"/>
      <c r="G68" s="448"/>
      <c r="H68" s="161"/>
      <c r="I68" s="449">
        <f>SUM(B68:H68)</f>
        <v>0</v>
      </c>
      <c r="J68" s="450"/>
      <c r="K68" s="11"/>
      <c r="L68" s="11"/>
      <c r="M68" s="11"/>
      <c r="N68" s="11"/>
      <c r="O68" s="11"/>
      <c r="P68" s="11"/>
      <c r="Q68" s="11"/>
      <c r="R68" s="575"/>
    </row>
    <row r="69" spans="1:18" ht="19.2" thickTop="1" thickBot="1" x14ac:dyDescent="0.55000000000000004">
      <c r="A69" s="270" t="s">
        <v>453</v>
      </c>
      <c r="B69" s="269"/>
      <c r="C69" s="161"/>
      <c r="D69" s="161"/>
      <c r="E69" s="161"/>
      <c r="F69" s="447"/>
      <c r="G69" s="448"/>
      <c r="H69" s="161"/>
      <c r="I69" s="449">
        <f>SUM(B69:H69)</f>
        <v>0</v>
      </c>
      <c r="J69" s="450"/>
      <c r="K69" s="11"/>
      <c r="L69" s="11"/>
      <c r="M69" s="11"/>
      <c r="N69" s="11"/>
      <c r="O69" s="11"/>
      <c r="P69" s="11"/>
      <c r="Q69" s="11"/>
      <c r="R69" s="575"/>
    </row>
    <row r="70" spans="1:18" ht="19.2" thickTop="1" thickBot="1" x14ac:dyDescent="0.55000000000000004">
      <c r="A70" s="270" t="s">
        <v>97</v>
      </c>
      <c r="B70" s="269"/>
      <c r="C70" s="161"/>
      <c r="D70" s="161"/>
      <c r="E70" s="161"/>
      <c r="F70" s="447"/>
      <c r="G70" s="448"/>
      <c r="H70" s="161"/>
      <c r="I70" s="451">
        <f>SUM(B70:H70)</f>
        <v>0</v>
      </c>
      <c r="J70" s="452"/>
      <c r="K70" s="11"/>
      <c r="L70" s="11"/>
      <c r="M70" s="11"/>
      <c r="N70" s="11"/>
      <c r="O70" s="11"/>
      <c r="P70" s="11"/>
      <c r="Q70" s="11"/>
      <c r="R70" s="575"/>
    </row>
    <row r="71" spans="1:18" ht="19.2" thickTop="1" thickBot="1" x14ac:dyDescent="0.55000000000000004">
      <c r="A71" s="270" t="s">
        <v>736</v>
      </c>
      <c r="B71" s="269"/>
      <c r="C71" s="161"/>
      <c r="D71" s="161"/>
      <c r="E71" s="161"/>
      <c r="F71" s="447"/>
      <c r="G71" s="448"/>
      <c r="H71" s="371"/>
      <c r="I71" s="574">
        <f>SUM(B71:H71)</f>
        <v>0</v>
      </c>
      <c r="J71" s="574"/>
      <c r="K71" s="11"/>
      <c r="L71" s="11"/>
      <c r="M71" s="11"/>
      <c r="N71" s="11"/>
      <c r="O71" s="11"/>
      <c r="P71" s="11"/>
      <c r="Q71" s="11"/>
      <c r="R71" s="575"/>
    </row>
    <row r="72" spans="1:18" ht="15" thickTop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575"/>
    </row>
    <row r="73" spans="1:18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575"/>
    </row>
    <row r="74" spans="1:18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575"/>
    </row>
    <row r="75" spans="1:18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575"/>
    </row>
    <row r="76" spans="1:18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575"/>
    </row>
    <row r="77" spans="1:18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575"/>
    </row>
    <row r="78" spans="1:18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575"/>
    </row>
    <row r="79" spans="1:18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8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x14ac:dyDescent="0.3">
      <c r="N89" s="11"/>
      <c r="O89" s="11"/>
      <c r="P89" s="11"/>
      <c r="Q89" s="11"/>
    </row>
    <row r="90" spans="1:17" x14ac:dyDescent="0.3">
      <c r="N90" s="11"/>
      <c r="O90" s="11"/>
      <c r="P90" s="11"/>
      <c r="Q90" s="11"/>
    </row>
    <row r="91" spans="1:17" x14ac:dyDescent="0.3">
      <c r="N91" s="11"/>
      <c r="O91" s="11"/>
      <c r="P91" s="11"/>
      <c r="Q91" s="11"/>
    </row>
    <row r="92" spans="1:17" x14ac:dyDescent="0.3">
      <c r="N92" s="11"/>
      <c r="O92" s="11"/>
      <c r="P92" s="11"/>
      <c r="Q92" s="11"/>
    </row>
    <row r="93" spans="1:17" x14ac:dyDescent="0.3">
      <c r="N93" s="11"/>
      <c r="O93" s="11"/>
      <c r="P93" s="11"/>
      <c r="Q93" s="11"/>
    </row>
    <row r="119" spans="1:1" x14ac:dyDescent="0.3">
      <c r="A119" t="s">
        <v>85</v>
      </c>
    </row>
    <row r="120" spans="1:1" x14ac:dyDescent="0.3">
      <c r="A120" t="s">
        <v>86</v>
      </c>
    </row>
  </sheetData>
  <mergeCells count="179">
    <mergeCell ref="F71:G71"/>
    <mergeCell ref="I71:J71"/>
    <mergeCell ref="C21:D21"/>
    <mergeCell ref="A26:C26"/>
    <mergeCell ref="R1:R78"/>
    <mergeCell ref="O16:P16"/>
    <mergeCell ref="O17:P17"/>
    <mergeCell ref="C12:M12"/>
    <mergeCell ref="A12:B12"/>
    <mergeCell ref="E20:G20"/>
    <mergeCell ref="O18:P18"/>
    <mergeCell ref="O19:P19"/>
    <mergeCell ref="C8:F8"/>
    <mergeCell ref="A13:M13"/>
    <mergeCell ref="A16:M16"/>
    <mergeCell ref="A17:D17"/>
    <mergeCell ref="E17:M17"/>
    <mergeCell ref="A18:M18"/>
    <mergeCell ref="A15:D15"/>
    <mergeCell ref="E15:M15"/>
    <mergeCell ref="A14:D14"/>
    <mergeCell ref="E14:M14"/>
    <mergeCell ref="H20:M20"/>
    <mergeCell ref="H19:M19"/>
    <mergeCell ref="A11:B11"/>
    <mergeCell ref="C11:M11"/>
    <mergeCell ref="G6:H6"/>
    <mergeCell ref="C10:F10"/>
    <mergeCell ref="A6:B6"/>
    <mergeCell ref="A9:B9"/>
    <mergeCell ref="A10:B10"/>
    <mergeCell ref="A7:B7"/>
    <mergeCell ref="C7:F7"/>
    <mergeCell ref="G7:H7"/>
    <mergeCell ref="I7:M7"/>
    <mergeCell ref="G10:M10"/>
    <mergeCell ref="A8:B8"/>
    <mergeCell ref="G8:H8"/>
    <mergeCell ref="I8:J8"/>
    <mergeCell ref="L8:M8"/>
    <mergeCell ref="C9:J9"/>
    <mergeCell ref="K9:L9"/>
    <mergeCell ref="A1:M1"/>
    <mergeCell ref="A3:M3"/>
    <mergeCell ref="A4:B4"/>
    <mergeCell ref="A5:B5"/>
    <mergeCell ref="G4:H4"/>
    <mergeCell ref="A24:C24"/>
    <mergeCell ref="A25:C25"/>
    <mergeCell ref="A19:B19"/>
    <mergeCell ref="A20:B20"/>
    <mergeCell ref="A21:B21"/>
    <mergeCell ref="C19:D19"/>
    <mergeCell ref="A22:B22"/>
    <mergeCell ref="A23:B23"/>
    <mergeCell ref="E19:G19"/>
    <mergeCell ref="C20:D20"/>
    <mergeCell ref="G5:H5"/>
    <mergeCell ref="I4:M4"/>
    <mergeCell ref="I5:M5"/>
    <mergeCell ref="C4:F4"/>
    <mergeCell ref="C5:F5"/>
    <mergeCell ref="C22:D22"/>
    <mergeCell ref="C23:D23"/>
    <mergeCell ref="C6:F6"/>
    <mergeCell ref="I6:M6"/>
    <mergeCell ref="A27:M27"/>
    <mergeCell ref="A28:C28"/>
    <mergeCell ref="D30:F30"/>
    <mergeCell ref="G30:I30"/>
    <mergeCell ref="G31:I31"/>
    <mergeCell ref="D31:F31"/>
    <mergeCell ref="J30:M30"/>
    <mergeCell ref="J31:M31"/>
    <mergeCell ref="A29:C29"/>
    <mergeCell ref="A30:C30"/>
    <mergeCell ref="A31:C31"/>
    <mergeCell ref="D28:F28"/>
    <mergeCell ref="D29:F29"/>
    <mergeCell ref="G28:I28"/>
    <mergeCell ref="G29:I29"/>
    <mergeCell ref="J28:M28"/>
    <mergeCell ref="J29:M29"/>
    <mergeCell ref="A36:D36"/>
    <mergeCell ref="F43:G43"/>
    <mergeCell ref="F44:G44"/>
    <mergeCell ref="E38:G38"/>
    <mergeCell ref="H38:J38"/>
    <mergeCell ref="K38:M38"/>
    <mergeCell ref="A37:D37"/>
    <mergeCell ref="K43:M43"/>
    <mergeCell ref="H43:J43"/>
    <mergeCell ref="A43:D43"/>
    <mergeCell ref="E36:G36"/>
    <mergeCell ref="H36:J36"/>
    <mergeCell ref="K36:M36"/>
    <mergeCell ref="E37:G37"/>
    <mergeCell ref="H37:J37"/>
    <mergeCell ref="K37:M37"/>
    <mergeCell ref="A38:D38"/>
    <mergeCell ref="A61:C61"/>
    <mergeCell ref="D61:G61"/>
    <mergeCell ref="H61:J61"/>
    <mergeCell ref="K61:M61"/>
    <mergeCell ref="A59:B59"/>
    <mergeCell ref="A60:B60"/>
    <mergeCell ref="C55:M56"/>
    <mergeCell ref="C57:M58"/>
    <mergeCell ref="C59:M60"/>
    <mergeCell ref="A55:B55"/>
    <mergeCell ref="A56:B56"/>
    <mergeCell ref="A57:B57"/>
    <mergeCell ref="C49:M50"/>
    <mergeCell ref="A58:B58"/>
    <mergeCell ref="A50:B50"/>
    <mergeCell ref="A51:B51"/>
    <mergeCell ref="A52:B52"/>
    <mergeCell ref="A53:B53"/>
    <mergeCell ref="A54:B54"/>
    <mergeCell ref="A48:M48"/>
    <mergeCell ref="A49:B49"/>
    <mergeCell ref="C53:M54"/>
    <mergeCell ref="C51:M52"/>
    <mergeCell ref="A46:M46"/>
    <mergeCell ref="A47:D47"/>
    <mergeCell ref="E47:M47"/>
    <mergeCell ref="H45:J45"/>
    <mergeCell ref="A45:D45"/>
    <mergeCell ref="K45:M45"/>
    <mergeCell ref="A39:D39"/>
    <mergeCell ref="E39:G39"/>
    <mergeCell ref="H39:J39"/>
    <mergeCell ref="K39:M39"/>
    <mergeCell ref="A40:D40"/>
    <mergeCell ref="E40:G40"/>
    <mergeCell ref="H40:J40"/>
    <mergeCell ref="K40:M40"/>
    <mergeCell ref="A44:D44"/>
    <mergeCell ref="H44:J44"/>
    <mergeCell ref="K44:M44"/>
    <mergeCell ref="A42:M42"/>
    <mergeCell ref="A41:D41"/>
    <mergeCell ref="E41:G41"/>
    <mergeCell ref="H41:J41"/>
    <mergeCell ref="K41:M41"/>
    <mergeCell ref="F45:G45"/>
    <mergeCell ref="A34:D34"/>
    <mergeCell ref="E34:G34"/>
    <mergeCell ref="H34:J34"/>
    <mergeCell ref="K34:M34"/>
    <mergeCell ref="A35:D35"/>
    <mergeCell ref="E35:G35"/>
    <mergeCell ref="H35:J35"/>
    <mergeCell ref="K35:M35"/>
    <mergeCell ref="H33:J33"/>
    <mergeCell ref="E21:G21"/>
    <mergeCell ref="H21:M21"/>
    <mergeCell ref="E22:M26"/>
    <mergeCell ref="C2:M2"/>
    <mergeCell ref="F68:G68"/>
    <mergeCell ref="I68:J68"/>
    <mergeCell ref="F70:G70"/>
    <mergeCell ref="I70:J70"/>
    <mergeCell ref="F69:G69"/>
    <mergeCell ref="I69:J69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A32:M32"/>
    <mergeCell ref="A33:D33"/>
    <mergeCell ref="E33:G33"/>
    <mergeCell ref="K33:M33"/>
  </mergeCells>
  <dataValidations count="1">
    <dataValidation type="list" allowBlank="1" showInputMessage="1" showErrorMessage="1" sqref="C10:F10" xr:uid="{00000000-0002-0000-0000-000000000000}">
      <formula1>$AC$1:$AC$2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S83"/>
  <sheetViews>
    <sheetView zoomScaleNormal="100" workbookViewId="0">
      <pane xSplit="1" ySplit="5" topLeftCell="B6" activePane="bottomRight" state="frozen"/>
      <selection pane="topRight" activeCell="B1" sqref="B1"/>
      <selection pane="bottomLeft" activeCell="A9" sqref="A9"/>
      <selection pane="bottomRight" activeCell="H9" sqref="H9:I9"/>
    </sheetView>
  </sheetViews>
  <sheetFormatPr baseColWidth="10" defaultRowHeight="14.4" x14ac:dyDescent="0.3"/>
  <cols>
    <col min="1" max="1" width="19.33203125" customWidth="1"/>
    <col min="2" max="2" width="18.33203125" customWidth="1"/>
    <col min="3" max="3" width="20.5546875" customWidth="1"/>
    <col min="4" max="5" width="20.6640625" customWidth="1"/>
    <col min="6" max="6" width="22.44140625" customWidth="1"/>
    <col min="7" max="14" width="11.44140625" style="11"/>
  </cols>
  <sheetData>
    <row r="1" spans="1:19" ht="27" customHeight="1" x14ac:dyDescent="0.3">
      <c r="A1" s="602" t="s">
        <v>124</v>
      </c>
      <c r="B1" s="602"/>
      <c r="C1" s="602"/>
      <c r="D1" s="602"/>
      <c r="E1" s="602"/>
      <c r="F1" s="602"/>
      <c r="O1" s="11"/>
      <c r="P1" s="11"/>
      <c r="Q1" s="11"/>
      <c r="R1" s="11"/>
      <c r="S1" s="11"/>
    </row>
    <row r="2" spans="1:19" ht="27" customHeight="1" x14ac:dyDescent="0.3">
      <c r="A2" s="602"/>
      <c r="B2" s="602"/>
      <c r="C2" s="602"/>
      <c r="D2" s="602"/>
      <c r="E2" s="602"/>
      <c r="F2" s="602"/>
      <c r="O2" s="11"/>
      <c r="P2" s="11"/>
      <c r="Q2" s="11"/>
      <c r="R2" s="11"/>
      <c r="S2" s="11"/>
    </row>
    <row r="3" spans="1:19" ht="18" x14ac:dyDescent="0.5">
      <c r="A3" s="271"/>
      <c r="B3" s="271"/>
      <c r="C3" s="271"/>
      <c r="D3" s="271"/>
      <c r="E3" s="271"/>
      <c r="F3" s="271"/>
      <c r="O3" s="11"/>
      <c r="P3" s="11"/>
      <c r="Q3" s="11"/>
      <c r="R3" s="11"/>
      <c r="S3" s="11"/>
    </row>
    <row r="4" spans="1:19" ht="18" x14ac:dyDescent="0.5">
      <c r="A4" s="606" t="s">
        <v>125</v>
      </c>
      <c r="B4" s="606"/>
      <c r="C4" s="606"/>
      <c r="D4" s="606"/>
      <c r="E4" s="606"/>
      <c r="F4" s="606"/>
      <c r="O4" s="11"/>
      <c r="P4" s="11"/>
      <c r="Q4" s="11"/>
      <c r="R4" s="11"/>
      <c r="S4" s="11"/>
    </row>
    <row r="5" spans="1:19" ht="37.5" customHeight="1" thickBot="1" x14ac:dyDescent="0.35">
      <c r="A5" s="272" t="s">
        <v>126</v>
      </c>
      <c r="B5" s="273" t="s">
        <v>127</v>
      </c>
      <c r="C5" s="273" t="s">
        <v>128</v>
      </c>
      <c r="D5" s="274" t="s">
        <v>129</v>
      </c>
      <c r="E5" s="274" t="s">
        <v>735</v>
      </c>
      <c r="F5" s="275" t="s">
        <v>130</v>
      </c>
      <c r="O5" s="11"/>
      <c r="P5" s="11"/>
      <c r="Q5" s="11"/>
      <c r="R5" s="11"/>
      <c r="S5" s="11"/>
    </row>
    <row r="6" spans="1:19" ht="33" customHeight="1" thickTop="1" thickBot="1" x14ac:dyDescent="0.55000000000000004">
      <c r="A6" s="130" t="s">
        <v>131</v>
      </c>
      <c r="B6" s="115"/>
      <c r="C6" s="116"/>
      <c r="D6" s="117"/>
      <c r="E6" s="117"/>
      <c r="F6" s="118" t="s">
        <v>277</v>
      </c>
      <c r="H6" s="603"/>
      <c r="I6" s="603"/>
      <c r="O6" s="11"/>
      <c r="P6" s="11"/>
      <c r="Q6" s="11"/>
      <c r="R6" s="11"/>
      <c r="S6" s="11"/>
    </row>
    <row r="7" spans="1:19" ht="35.25" customHeight="1" thickTop="1" thickBot="1" x14ac:dyDescent="0.55000000000000004">
      <c r="A7" s="131" t="s">
        <v>132</v>
      </c>
      <c r="B7" s="119"/>
      <c r="C7" s="120"/>
      <c r="D7" s="121"/>
      <c r="E7" s="121"/>
      <c r="F7" s="122" t="s">
        <v>278</v>
      </c>
      <c r="H7" s="605"/>
      <c r="I7" s="605"/>
      <c r="J7" s="605"/>
      <c r="K7" s="605"/>
      <c r="O7" s="11"/>
      <c r="P7" s="11"/>
      <c r="Q7" s="11"/>
      <c r="R7" s="11"/>
      <c r="S7" s="11"/>
    </row>
    <row r="8" spans="1:19" ht="24.75" customHeight="1" thickTop="1" thickBot="1" x14ac:dyDescent="0.55000000000000004">
      <c r="A8" s="131" t="s">
        <v>279</v>
      </c>
      <c r="B8" s="119"/>
      <c r="C8" s="120"/>
      <c r="D8" s="121"/>
      <c r="E8" s="121"/>
      <c r="F8" s="123" t="s">
        <v>133</v>
      </c>
      <c r="H8"/>
      <c r="O8" s="11"/>
      <c r="P8" s="11"/>
      <c r="Q8" s="11"/>
      <c r="R8" s="11"/>
      <c r="S8" s="11"/>
    </row>
    <row r="9" spans="1:19" ht="22.5" customHeight="1" thickTop="1" thickBot="1" x14ac:dyDescent="0.55000000000000004">
      <c r="A9" s="131" t="s">
        <v>134</v>
      </c>
      <c r="B9" s="119"/>
      <c r="C9" s="120"/>
      <c r="D9" s="121"/>
      <c r="E9" s="121"/>
      <c r="F9" s="123" t="s">
        <v>135</v>
      </c>
      <c r="H9" s="604"/>
      <c r="I9" s="604"/>
      <c r="O9" s="11"/>
      <c r="P9" s="11"/>
      <c r="Q9" s="11"/>
      <c r="R9" s="11"/>
      <c r="S9" s="11"/>
    </row>
    <row r="10" spans="1:19" ht="23.25" customHeight="1" thickTop="1" thickBot="1" x14ac:dyDescent="0.35">
      <c r="A10" s="607" t="s">
        <v>136</v>
      </c>
      <c r="B10" s="608"/>
      <c r="C10" s="610"/>
      <c r="D10" s="612"/>
      <c r="E10" s="612"/>
      <c r="F10" s="613" t="s">
        <v>280</v>
      </c>
      <c r="H10"/>
      <c r="O10" s="11"/>
      <c r="P10" s="11"/>
      <c r="Q10" s="11"/>
      <c r="R10" s="11"/>
      <c r="S10" s="11"/>
    </row>
    <row r="11" spans="1:19" ht="5.25" customHeight="1" thickTop="1" thickBot="1" x14ac:dyDescent="0.35">
      <c r="A11" s="607"/>
      <c r="B11" s="609"/>
      <c r="C11" s="611"/>
      <c r="D11" s="538"/>
      <c r="E11" s="538"/>
      <c r="F11" s="613"/>
      <c r="O11" s="11"/>
      <c r="P11" s="11"/>
      <c r="Q11" s="11"/>
      <c r="R11" s="11"/>
      <c r="S11" s="11"/>
    </row>
    <row r="12" spans="1:19" ht="21.75" customHeight="1" thickTop="1" thickBot="1" x14ac:dyDescent="0.55000000000000004">
      <c r="A12" s="131" t="s">
        <v>137</v>
      </c>
      <c r="B12" s="119"/>
      <c r="C12" s="120"/>
      <c r="D12" s="121"/>
      <c r="E12" s="121"/>
      <c r="F12" s="123" t="s">
        <v>138</v>
      </c>
      <c r="H12" s="576"/>
      <c r="I12" s="576"/>
      <c r="O12" s="11"/>
      <c r="P12" s="11"/>
      <c r="Q12" s="11"/>
      <c r="R12" s="11"/>
      <c r="S12" s="11"/>
    </row>
    <row r="13" spans="1:19" ht="23.25" customHeight="1" thickTop="1" thickBot="1" x14ac:dyDescent="0.55000000000000004">
      <c r="A13" s="131" t="s">
        <v>139</v>
      </c>
      <c r="B13" s="119"/>
      <c r="C13" s="120"/>
      <c r="D13" s="121"/>
      <c r="E13" s="121"/>
      <c r="F13" s="123" t="s">
        <v>140</v>
      </c>
      <c r="O13" s="11"/>
      <c r="P13" s="11"/>
      <c r="Q13" s="11"/>
      <c r="R13" s="11"/>
      <c r="S13" s="11"/>
    </row>
    <row r="14" spans="1:19" ht="21.75" customHeight="1" thickTop="1" thickBot="1" x14ac:dyDescent="0.55000000000000004">
      <c r="A14" s="131" t="s">
        <v>141</v>
      </c>
      <c r="B14" s="119"/>
      <c r="C14" s="120"/>
      <c r="D14" s="121"/>
      <c r="E14" s="121"/>
      <c r="F14" s="123" t="s">
        <v>142</v>
      </c>
      <c r="O14" s="11"/>
      <c r="P14" s="11"/>
      <c r="Q14" s="11"/>
      <c r="R14" s="11"/>
      <c r="S14" s="11"/>
    </row>
    <row r="15" spans="1:19" ht="26.25" customHeight="1" thickTop="1" thickBot="1" x14ac:dyDescent="0.55000000000000004">
      <c r="A15" s="131" t="s">
        <v>143</v>
      </c>
      <c r="B15" s="119"/>
      <c r="C15" s="120"/>
      <c r="D15" s="121"/>
      <c r="E15" s="121"/>
      <c r="F15" s="123" t="s">
        <v>281</v>
      </c>
      <c r="O15" s="11"/>
      <c r="P15" s="11"/>
      <c r="Q15" s="11"/>
      <c r="R15" s="11"/>
      <c r="S15" s="11"/>
    </row>
    <row r="16" spans="1:19" ht="24" customHeight="1" thickTop="1" thickBot="1" x14ac:dyDescent="0.55000000000000004">
      <c r="A16" s="131" t="s">
        <v>144</v>
      </c>
      <c r="B16" s="119"/>
      <c r="C16" s="120"/>
      <c r="D16" s="121"/>
      <c r="E16" s="121"/>
      <c r="F16" s="123" t="s">
        <v>145</v>
      </c>
      <c r="O16" s="11"/>
      <c r="P16" s="11"/>
      <c r="Q16" s="11"/>
      <c r="R16" s="11"/>
      <c r="S16" s="11"/>
    </row>
    <row r="17" spans="1:19" ht="25.5" customHeight="1" thickTop="1" thickBot="1" x14ac:dyDescent="0.55000000000000004">
      <c r="A17" s="131" t="s">
        <v>146</v>
      </c>
      <c r="B17" s="119"/>
      <c r="C17" s="120"/>
      <c r="D17" s="121"/>
      <c r="E17" s="121"/>
      <c r="F17" s="123" t="s">
        <v>282</v>
      </c>
      <c r="O17" s="11"/>
      <c r="P17" s="11"/>
      <c r="Q17" s="11"/>
      <c r="R17" s="11"/>
      <c r="S17" s="11"/>
    </row>
    <row r="18" spans="1:19" ht="25.5" customHeight="1" thickTop="1" thickBot="1" x14ac:dyDescent="0.55000000000000004">
      <c r="A18" s="131" t="s">
        <v>147</v>
      </c>
      <c r="B18" s="119"/>
      <c r="C18" s="120"/>
      <c r="D18" s="121"/>
      <c r="E18" s="121"/>
      <c r="F18" s="123" t="s">
        <v>148</v>
      </c>
      <c r="O18" s="11"/>
      <c r="P18" s="11"/>
      <c r="Q18" s="11"/>
      <c r="R18" s="11"/>
      <c r="S18" s="11"/>
    </row>
    <row r="19" spans="1:19" ht="22.5" customHeight="1" thickTop="1" thickBot="1" x14ac:dyDescent="0.55000000000000004">
      <c r="A19" s="131" t="s">
        <v>149</v>
      </c>
      <c r="B19" s="119"/>
      <c r="C19" s="120"/>
      <c r="D19" s="121"/>
      <c r="E19" s="121"/>
      <c r="F19" s="123" t="s">
        <v>150</v>
      </c>
      <c r="O19" s="11"/>
      <c r="P19" s="11"/>
      <c r="Q19" s="11"/>
      <c r="R19" s="11"/>
      <c r="S19" s="11"/>
    </row>
    <row r="20" spans="1:19" ht="24" customHeight="1" thickTop="1" thickBot="1" x14ac:dyDescent="0.55000000000000004">
      <c r="A20" s="131" t="s">
        <v>151</v>
      </c>
      <c r="B20" s="119"/>
      <c r="C20" s="120"/>
      <c r="D20" s="121"/>
      <c r="E20" s="121"/>
      <c r="F20" s="123" t="s">
        <v>152</v>
      </c>
      <c r="O20" s="11"/>
      <c r="P20" s="11"/>
      <c r="Q20" s="11"/>
      <c r="R20" s="11"/>
      <c r="S20" s="11"/>
    </row>
    <row r="21" spans="1:19" ht="24.75" customHeight="1" thickTop="1" thickBot="1" x14ac:dyDescent="0.55000000000000004">
      <c r="A21" s="131" t="s">
        <v>153</v>
      </c>
      <c r="B21" s="119"/>
      <c r="C21" s="120"/>
      <c r="D21" s="121"/>
      <c r="E21" s="121"/>
      <c r="F21" s="123" t="s">
        <v>154</v>
      </c>
      <c r="O21" s="11"/>
      <c r="P21" s="11"/>
      <c r="Q21" s="11"/>
      <c r="R21" s="11"/>
      <c r="S21" s="11"/>
    </row>
    <row r="22" spans="1:19" ht="30.75" customHeight="1" thickTop="1" thickBot="1" x14ac:dyDescent="0.55000000000000004">
      <c r="A22" s="131" t="s">
        <v>155</v>
      </c>
      <c r="B22" s="119"/>
      <c r="C22" s="120"/>
      <c r="D22" s="121"/>
      <c r="E22" s="121"/>
      <c r="F22" s="123" t="s">
        <v>156</v>
      </c>
      <c r="O22" s="11"/>
      <c r="P22" s="11"/>
      <c r="Q22" s="11"/>
      <c r="R22" s="11"/>
      <c r="S22" s="11"/>
    </row>
    <row r="23" spans="1:19" ht="36.75" customHeight="1" thickTop="1" thickBot="1" x14ac:dyDescent="0.55000000000000004">
      <c r="A23" s="131" t="s">
        <v>157</v>
      </c>
      <c r="B23" s="119"/>
      <c r="C23" s="120"/>
      <c r="D23" s="121"/>
      <c r="E23" s="121"/>
      <c r="F23" s="123" t="s">
        <v>158</v>
      </c>
      <c r="O23" s="11"/>
      <c r="P23" s="11"/>
      <c r="Q23" s="11"/>
      <c r="R23" s="11"/>
      <c r="S23" s="11"/>
    </row>
    <row r="24" spans="1:19" ht="15.6" thickTop="1" thickBot="1" x14ac:dyDescent="0.35">
      <c r="A24" s="607" t="s">
        <v>159</v>
      </c>
      <c r="B24" s="608"/>
      <c r="C24" s="610"/>
      <c r="D24" s="612"/>
      <c r="E24" s="612"/>
      <c r="F24" s="613" t="s">
        <v>283</v>
      </c>
      <c r="O24" s="11"/>
      <c r="P24" s="11"/>
      <c r="Q24" s="11"/>
      <c r="R24" s="11"/>
      <c r="S24" s="11"/>
    </row>
    <row r="25" spans="1:19" ht="15.6" thickTop="1" thickBot="1" x14ac:dyDescent="0.35">
      <c r="A25" s="607"/>
      <c r="B25" s="609"/>
      <c r="C25" s="611"/>
      <c r="D25" s="538"/>
      <c r="E25" s="538"/>
      <c r="F25" s="613"/>
      <c r="O25" s="11"/>
      <c r="P25" s="11"/>
      <c r="Q25" s="11"/>
      <c r="R25" s="11"/>
      <c r="S25" s="11"/>
    </row>
    <row r="26" spans="1:19" ht="38.25" customHeight="1" thickTop="1" thickBot="1" x14ac:dyDescent="0.55000000000000004">
      <c r="A26" s="131" t="s">
        <v>160</v>
      </c>
      <c r="B26" s="119"/>
      <c r="C26" s="120"/>
      <c r="D26" s="121"/>
      <c r="E26" s="121"/>
      <c r="F26" s="123" t="s">
        <v>161</v>
      </c>
      <c r="O26" s="11"/>
      <c r="P26" s="11"/>
      <c r="Q26" s="11"/>
      <c r="R26" s="11"/>
      <c r="S26" s="11"/>
    </row>
    <row r="27" spans="1:19" ht="38.25" customHeight="1" thickTop="1" thickBot="1" x14ac:dyDescent="0.55000000000000004">
      <c r="A27" s="131" t="s">
        <v>162</v>
      </c>
      <c r="B27" s="119"/>
      <c r="C27" s="120"/>
      <c r="D27" s="121"/>
      <c r="E27" s="121"/>
      <c r="F27" s="123" t="s">
        <v>163</v>
      </c>
      <c r="O27" s="11"/>
      <c r="P27" s="11"/>
      <c r="Q27" s="11"/>
      <c r="R27" s="11"/>
      <c r="S27" s="11"/>
    </row>
    <row r="28" spans="1:19" ht="24.75" customHeight="1" thickTop="1" thickBot="1" x14ac:dyDescent="0.55000000000000004">
      <c r="A28" s="131" t="s">
        <v>164</v>
      </c>
      <c r="B28" s="119"/>
      <c r="C28" s="120"/>
      <c r="D28" s="121"/>
      <c r="E28" s="121"/>
      <c r="F28" s="123" t="s">
        <v>165</v>
      </c>
      <c r="O28" s="11"/>
      <c r="P28" s="11"/>
      <c r="Q28" s="11"/>
      <c r="R28" s="11"/>
      <c r="S28" s="11"/>
    </row>
    <row r="29" spans="1:19" ht="24.75" customHeight="1" thickTop="1" thickBot="1" x14ac:dyDescent="0.55000000000000004">
      <c r="A29" s="131" t="s">
        <v>166</v>
      </c>
      <c r="B29" s="119"/>
      <c r="C29" s="120"/>
      <c r="D29" s="121"/>
      <c r="E29" s="121"/>
      <c r="F29" s="123" t="s">
        <v>167</v>
      </c>
      <c r="O29" s="11"/>
      <c r="P29" s="11"/>
      <c r="Q29" s="11"/>
      <c r="R29" s="11"/>
      <c r="S29" s="11"/>
    </row>
    <row r="30" spans="1:19" ht="26.25" customHeight="1" thickTop="1" thickBot="1" x14ac:dyDescent="0.55000000000000004">
      <c r="A30" s="131" t="s">
        <v>168</v>
      </c>
      <c r="B30" s="119"/>
      <c r="C30" s="120"/>
      <c r="D30" s="121"/>
      <c r="E30" s="121"/>
      <c r="F30" s="123" t="s">
        <v>169</v>
      </c>
      <c r="O30" s="11"/>
      <c r="P30" s="11"/>
      <c r="Q30" s="11"/>
      <c r="R30" s="11"/>
      <c r="S30" s="11"/>
    </row>
    <row r="31" spans="1:19" ht="28.5" customHeight="1" thickTop="1" thickBot="1" x14ac:dyDescent="0.55000000000000004">
      <c r="A31" s="131" t="s">
        <v>170</v>
      </c>
      <c r="B31" s="119"/>
      <c r="C31" s="120"/>
      <c r="D31" s="121"/>
      <c r="E31" s="121"/>
      <c r="F31" s="122" t="s">
        <v>171</v>
      </c>
      <c r="O31" s="11"/>
      <c r="P31" s="11"/>
      <c r="Q31" s="11"/>
      <c r="R31" s="11"/>
      <c r="S31" s="11"/>
    </row>
    <row r="32" spans="1:19" ht="27.75" customHeight="1" thickTop="1" thickBot="1" x14ac:dyDescent="0.55000000000000004">
      <c r="A32" s="131" t="s">
        <v>172</v>
      </c>
      <c r="B32" s="119"/>
      <c r="C32" s="120"/>
      <c r="D32" s="121"/>
      <c r="E32" s="121"/>
      <c r="F32" s="122" t="s">
        <v>173</v>
      </c>
      <c r="O32" s="11"/>
      <c r="P32" s="11"/>
      <c r="Q32" s="11"/>
      <c r="R32" s="11"/>
      <c r="S32" s="11"/>
    </row>
    <row r="33" spans="1:19" ht="38.25" customHeight="1" thickTop="1" thickBot="1" x14ac:dyDescent="0.55000000000000004">
      <c r="A33" s="131" t="s">
        <v>174</v>
      </c>
      <c r="B33" s="119"/>
      <c r="C33" s="120"/>
      <c r="D33" s="121"/>
      <c r="E33" s="121"/>
      <c r="F33" s="122" t="s">
        <v>175</v>
      </c>
      <c r="O33" s="11"/>
      <c r="P33" s="11"/>
      <c r="Q33" s="11"/>
      <c r="R33" s="11"/>
      <c r="S33" s="11"/>
    </row>
    <row r="34" spans="1:19" ht="28.5" customHeight="1" thickTop="1" thickBot="1" x14ac:dyDescent="0.55000000000000004">
      <c r="A34" s="131" t="s">
        <v>176</v>
      </c>
      <c r="B34" s="119"/>
      <c r="C34" s="120"/>
      <c r="D34" s="121"/>
      <c r="E34" s="121"/>
      <c r="F34" s="123" t="s">
        <v>177</v>
      </c>
      <c r="O34" s="11"/>
      <c r="P34" s="11"/>
      <c r="Q34" s="11"/>
      <c r="R34" s="11"/>
      <c r="S34" s="11"/>
    </row>
    <row r="35" spans="1:19" ht="23.25" customHeight="1" thickTop="1" thickBot="1" x14ac:dyDescent="0.55000000000000004">
      <c r="A35" s="131" t="s">
        <v>178</v>
      </c>
      <c r="B35" s="119"/>
      <c r="C35" s="120"/>
      <c r="D35" s="121"/>
      <c r="E35" s="121"/>
      <c r="F35" s="123" t="s">
        <v>179</v>
      </c>
      <c r="O35" s="11"/>
      <c r="P35" s="11"/>
      <c r="Q35" s="11"/>
      <c r="R35" s="11"/>
      <c r="S35" s="11"/>
    </row>
    <row r="36" spans="1:19" ht="27.75" customHeight="1" thickTop="1" thickBot="1" x14ac:dyDescent="0.55000000000000004">
      <c r="A36" s="131" t="s">
        <v>180</v>
      </c>
      <c r="B36" s="119"/>
      <c r="C36" s="120"/>
      <c r="D36" s="121"/>
      <c r="E36" s="121"/>
      <c r="F36" s="123" t="s">
        <v>181</v>
      </c>
      <c r="O36" s="11"/>
      <c r="P36" s="11"/>
      <c r="Q36" s="11"/>
      <c r="R36" s="11"/>
      <c r="S36" s="11"/>
    </row>
    <row r="37" spans="1:19" ht="39.75" customHeight="1" thickTop="1" thickBot="1" x14ac:dyDescent="0.55000000000000004">
      <c r="A37" s="131" t="s">
        <v>182</v>
      </c>
      <c r="B37" s="119"/>
      <c r="C37" s="120"/>
      <c r="D37" s="121"/>
      <c r="E37" s="121"/>
      <c r="F37" s="123" t="s">
        <v>328</v>
      </c>
      <c r="O37" s="11"/>
      <c r="P37" s="11"/>
      <c r="Q37" s="11"/>
      <c r="R37" s="11"/>
      <c r="S37" s="11"/>
    </row>
    <row r="38" spans="1:19" ht="23.25" customHeight="1" thickTop="1" thickBot="1" x14ac:dyDescent="0.55000000000000004">
      <c r="A38" s="131" t="s">
        <v>102</v>
      </c>
      <c r="B38" s="119"/>
      <c r="C38" s="120"/>
      <c r="D38" s="121"/>
      <c r="E38" s="121"/>
      <c r="F38" s="123" t="s">
        <v>183</v>
      </c>
      <c r="O38" s="11"/>
      <c r="P38" s="11"/>
      <c r="Q38" s="11"/>
      <c r="R38" s="11"/>
      <c r="S38" s="11"/>
    </row>
    <row r="39" spans="1:19" ht="24" customHeight="1" thickTop="1" thickBot="1" x14ac:dyDescent="0.55000000000000004">
      <c r="A39" s="131" t="s">
        <v>184</v>
      </c>
      <c r="B39" s="119"/>
      <c r="C39" s="120"/>
      <c r="D39" s="121"/>
      <c r="E39" s="121"/>
      <c r="F39" s="123" t="s">
        <v>185</v>
      </c>
      <c r="O39" s="11"/>
      <c r="P39" s="11"/>
      <c r="Q39" s="11"/>
      <c r="R39" s="11"/>
      <c r="S39" s="11"/>
    </row>
    <row r="40" spans="1:19" ht="27" customHeight="1" thickTop="1" thickBot="1" x14ac:dyDescent="0.55000000000000004">
      <c r="A40" s="131" t="s">
        <v>186</v>
      </c>
      <c r="B40" s="119"/>
      <c r="C40" s="120"/>
      <c r="D40" s="121"/>
      <c r="E40" s="121"/>
      <c r="F40" s="123" t="s">
        <v>187</v>
      </c>
      <c r="O40" s="11"/>
      <c r="P40" s="11"/>
      <c r="Q40" s="11"/>
      <c r="R40" s="11"/>
      <c r="S40" s="11"/>
    </row>
    <row r="41" spans="1:19" ht="25.5" customHeight="1" thickTop="1" thickBot="1" x14ac:dyDescent="0.55000000000000004">
      <c r="A41" s="131" t="s">
        <v>188</v>
      </c>
      <c r="B41" s="119"/>
      <c r="C41" s="120"/>
      <c r="D41" s="121"/>
      <c r="E41" s="121"/>
      <c r="F41" s="123" t="s">
        <v>189</v>
      </c>
      <c r="O41" s="11"/>
      <c r="P41" s="11"/>
      <c r="Q41" s="11"/>
      <c r="R41" s="11"/>
      <c r="S41" s="11"/>
    </row>
    <row r="42" spans="1:19" ht="21" customHeight="1" thickTop="1" thickBot="1" x14ac:dyDescent="0.55000000000000004">
      <c r="A42" s="131" t="s">
        <v>284</v>
      </c>
      <c r="B42" s="119"/>
      <c r="C42" s="120"/>
      <c r="D42" s="121"/>
      <c r="E42" s="121"/>
      <c r="F42" s="123" t="s">
        <v>190</v>
      </c>
      <c r="O42" s="11"/>
      <c r="P42" s="11"/>
      <c r="Q42" s="11"/>
      <c r="R42" s="11"/>
      <c r="S42" s="11"/>
    </row>
    <row r="43" spans="1:19" ht="27.75" customHeight="1" thickTop="1" thickBot="1" x14ac:dyDescent="0.55000000000000004">
      <c r="A43" s="131" t="s">
        <v>191</v>
      </c>
      <c r="B43" s="119"/>
      <c r="C43" s="120"/>
      <c r="D43" s="121"/>
      <c r="E43" s="121"/>
      <c r="F43" s="123" t="s">
        <v>192</v>
      </c>
      <c r="O43" s="11"/>
      <c r="P43" s="11"/>
      <c r="Q43" s="11"/>
      <c r="R43" s="11"/>
      <c r="S43" s="11"/>
    </row>
    <row r="44" spans="1:19" ht="21.75" customHeight="1" thickTop="1" thickBot="1" x14ac:dyDescent="0.55000000000000004">
      <c r="A44" s="132" t="s">
        <v>193</v>
      </c>
      <c r="B44" s="119"/>
      <c r="C44" s="120"/>
      <c r="D44" s="121"/>
      <c r="E44" s="121"/>
      <c r="F44" s="123" t="s">
        <v>194</v>
      </c>
      <c r="O44" s="11"/>
      <c r="P44" s="11"/>
      <c r="Q44" s="11"/>
      <c r="R44" s="11"/>
      <c r="S44" s="11"/>
    </row>
    <row r="45" spans="1:19" ht="21" customHeight="1" thickTop="1" thickBot="1" x14ac:dyDescent="0.55000000000000004">
      <c r="A45" s="131" t="s">
        <v>195</v>
      </c>
      <c r="B45" s="119"/>
      <c r="C45" s="120"/>
      <c r="D45" s="121"/>
      <c r="E45" s="121"/>
      <c r="F45" s="123" t="s">
        <v>196</v>
      </c>
      <c r="O45" s="11"/>
      <c r="P45" s="11"/>
      <c r="Q45" s="11"/>
      <c r="R45" s="11"/>
      <c r="S45" s="11"/>
    </row>
    <row r="46" spans="1:19" ht="25.5" customHeight="1" thickTop="1" thickBot="1" x14ac:dyDescent="0.55000000000000004">
      <c r="A46" s="131" t="s">
        <v>197</v>
      </c>
      <c r="B46" s="124"/>
      <c r="C46" s="125"/>
      <c r="D46" s="126"/>
      <c r="E46" s="126"/>
      <c r="F46" s="123" t="s">
        <v>285</v>
      </c>
      <c r="O46" s="11"/>
      <c r="P46" s="11"/>
      <c r="Q46" s="11"/>
      <c r="R46" s="11"/>
      <c r="S46" s="11"/>
    </row>
    <row r="47" spans="1:19" ht="19.2" thickTop="1" thickBot="1" x14ac:dyDescent="0.55000000000000004">
      <c r="A47" s="133"/>
      <c r="B47" s="114"/>
      <c r="C47" s="114"/>
      <c r="D47" s="114"/>
      <c r="E47" s="114"/>
      <c r="F47" s="114"/>
      <c r="O47" s="11"/>
      <c r="P47" s="11"/>
      <c r="Q47" s="11"/>
      <c r="R47" s="11"/>
      <c r="S47" s="11"/>
    </row>
    <row r="48" spans="1:19" ht="19.2" thickTop="1" thickBot="1" x14ac:dyDescent="0.55000000000000004">
      <c r="A48" s="134" t="s">
        <v>251</v>
      </c>
      <c r="B48" s="127"/>
      <c r="C48" s="128"/>
      <c r="D48" s="128"/>
      <c r="E48" s="128"/>
      <c r="F48" s="128"/>
      <c r="O48" s="11"/>
      <c r="P48" s="11"/>
      <c r="Q48" s="11"/>
      <c r="R48" s="11"/>
      <c r="S48" s="11"/>
    </row>
    <row r="49" spans="1:19" ht="19.2" thickTop="1" thickBot="1" x14ac:dyDescent="0.55000000000000004">
      <c r="A49" s="135" t="s">
        <v>252</v>
      </c>
      <c r="B49" s="129"/>
      <c r="C49" s="128"/>
      <c r="D49" s="128"/>
      <c r="E49" s="128"/>
      <c r="F49" s="128"/>
      <c r="O49" s="11"/>
      <c r="P49" s="11"/>
      <c r="Q49" s="11"/>
      <c r="R49" s="11"/>
      <c r="S49" s="11"/>
    </row>
    <row r="50" spans="1:19" ht="15" thickTop="1" x14ac:dyDescent="0.3">
      <c r="A50" s="72"/>
      <c r="B50" s="11"/>
      <c r="C50" s="11"/>
      <c r="D50" s="11"/>
      <c r="E50" s="11"/>
      <c r="F50" s="11"/>
      <c r="O50" s="11"/>
      <c r="P50" s="11"/>
      <c r="Q50" s="11"/>
      <c r="R50" s="11"/>
      <c r="S50" s="11"/>
    </row>
    <row r="51" spans="1:19" x14ac:dyDescent="0.3">
      <c r="A51" s="11"/>
      <c r="B51" s="11"/>
      <c r="C51" s="11"/>
      <c r="D51" s="11"/>
      <c r="E51" s="11"/>
      <c r="F51" s="11"/>
      <c r="O51" s="11"/>
      <c r="P51" s="11"/>
      <c r="Q51" s="11"/>
      <c r="R51" s="11"/>
      <c r="S51" s="11"/>
    </row>
    <row r="52" spans="1:19" x14ac:dyDescent="0.3">
      <c r="A52" s="11"/>
      <c r="B52" s="11"/>
      <c r="C52" s="11"/>
      <c r="D52" s="11"/>
      <c r="E52" s="11"/>
      <c r="F52" s="11"/>
      <c r="O52" s="11"/>
      <c r="P52" s="11"/>
      <c r="Q52" s="11"/>
      <c r="R52" s="11"/>
      <c r="S52" s="11"/>
    </row>
    <row r="53" spans="1:19" x14ac:dyDescent="0.3">
      <c r="A53" s="11"/>
      <c r="B53" s="11"/>
      <c r="C53" s="11"/>
      <c r="D53" s="11"/>
      <c r="E53" s="11"/>
      <c r="F53" s="11"/>
      <c r="O53" s="11"/>
      <c r="P53" s="11"/>
      <c r="Q53" s="11"/>
      <c r="R53" s="11"/>
      <c r="S53" s="11"/>
    </row>
    <row r="54" spans="1:19" x14ac:dyDescent="0.3">
      <c r="A54" s="11"/>
      <c r="B54" s="11"/>
      <c r="C54" s="11"/>
      <c r="D54" s="11"/>
      <c r="E54" s="11"/>
      <c r="F54" s="11"/>
      <c r="O54" s="11"/>
      <c r="P54" s="11"/>
      <c r="Q54" s="11"/>
      <c r="R54" s="11"/>
      <c r="S54" s="11"/>
    </row>
    <row r="55" spans="1:19" x14ac:dyDescent="0.3">
      <c r="A55" s="11"/>
      <c r="B55" s="11"/>
      <c r="C55" s="11"/>
      <c r="D55" s="11"/>
      <c r="E55" s="11"/>
      <c r="F55" s="11"/>
      <c r="O55" s="11"/>
      <c r="P55" s="11"/>
      <c r="Q55" s="11"/>
      <c r="R55" s="11"/>
      <c r="S55" s="11"/>
    </row>
    <row r="56" spans="1:19" x14ac:dyDescent="0.3">
      <c r="A56" s="11"/>
      <c r="B56" s="11"/>
      <c r="C56" s="11"/>
      <c r="D56" s="11"/>
      <c r="E56" s="11"/>
      <c r="F56" s="11"/>
      <c r="O56" s="11"/>
      <c r="P56" s="11"/>
      <c r="Q56" s="11"/>
      <c r="R56" s="11"/>
      <c r="S56" s="11"/>
    </row>
    <row r="57" spans="1:19" x14ac:dyDescent="0.3">
      <c r="A57" s="11"/>
      <c r="B57" s="11"/>
      <c r="C57" s="11"/>
      <c r="D57" s="11"/>
      <c r="E57" s="11"/>
      <c r="F57" s="11"/>
      <c r="O57" s="11"/>
      <c r="P57" s="11"/>
      <c r="Q57" s="11"/>
      <c r="R57" s="11"/>
      <c r="S57" s="11"/>
    </row>
    <row r="58" spans="1:19" x14ac:dyDescent="0.3">
      <c r="A58" s="11"/>
      <c r="B58" s="11"/>
      <c r="C58" s="11"/>
      <c r="D58" s="11"/>
      <c r="E58" s="11"/>
      <c r="F58" s="11"/>
      <c r="O58" s="11"/>
      <c r="P58" s="11"/>
      <c r="Q58" s="11"/>
      <c r="R58" s="11"/>
      <c r="S58" s="11"/>
    </row>
    <row r="59" spans="1:19" x14ac:dyDescent="0.3">
      <c r="A59" s="11"/>
      <c r="B59" s="11"/>
      <c r="C59" s="11"/>
      <c r="D59" s="11"/>
      <c r="E59" s="11"/>
      <c r="F59" s="11"/>
      <c r="O59" s="11"/>
      <c r="P59" s="11"/>
      <c r="Q59" s="11"/>
      <c r="R59" s="11"/>
      <c r="S59" s="11"/>
    </row>
    <row r="60" spans="1:19" x14ac:dyDescent="0.3">
      <c r="A60" s="11"/>
      <c r="B60" s="11"/>
      <c r="C60" s="11"/>
      <c r="D60" s="11"/>
      <c r="E60" s="11"/>
      <c r="F60" s="11"/>
      <c r="O60" s="11"/>
      <c r="P60" s="11"/>
      <c r="Q60" s="11"/>
      <c r="R60" s="11"/>
      <c r="S60" s="11"/>
    </row>
    <row r="61" spans="1:19" x14ac:dyDescent="0.3">
      <c r="A61" s="11"/>
      <c r="B61" s="11"/>
      <c r="C61" s="11"/>
      <c r="D61" s="11"/>
      <c r="E61" s="11"/>
      <c r="F61" s="11"/>
      <c r="O61" s="11"/>
      <c r="P61" s="11"/>
      <c r="Q61" s="11"/>
      <c r="R61" s="11"/>
      <c r="S61" s="11"/>
    </row>
    <row r="62" spans="1:19" x14ac:dyDescent="0.3">
      <c r="A62" s="11"/>
      <c r="B62" s="11"/>
      <c r="C62" s="11"/>
      <c r="D62" s="11"/>
      <c r="E62" s="11"/>
      <c r="F62" s="11"/>
      <c r="O62" s="11"/>
      <c r="P62" s="11"/>
      <c r="Q62" s="11"/>
      <c r="R62" s="11"/>
      <c r="S62" s="11"/>
    </row>
    <row r="63" spans="1:19" x14ac:dyDescent="0.3">
      <c r="A63" s="11"/>
      <c r="B63" s="11"/>
      <c r="C63" s="11"/>
      <c r="D63" s="11"/>
      <c r="E63" s="11"/>
      <c r="F63" s="11"/>
      <c r="O63" s="11"/>
      <c r="P63" s="11"/>
      <c r="Q63" s="11"/>
      <c r="R63" s="11"/>
      <c r="S63" s="11"/>
    </row>
    <row r="64" spans="1:19" x14ac:dyDescent="0.3">
      <c r="A64" s="11"/>
      <c r="B64" s="11"/>
      <c r="C64" s="11"/>
      <c r="D64" s="11"/>
      <c r="E64" s="11"/>
      <c r="F64" s="11"/>
      <c r="O64" s="11"/>
      <c r="P64" s="11"/>
      <c r="Q64" s="11"/>
      <c r="R64" s="11"/>
      <c r="S64" s="11"/>
    </row>
    <row r="65" spans="1:19" x14ac:dyDescent="0.3">
      <c r="A65" s="11"/>
      <c r="B65" s="11"/>
      <c r="C65" s="11"/>
      <c r="D65" s="11"/>
      <c r="E65" s="11"/>
      <c r="F65" s="11"/>
      <c r="O65" s="11"/>
      <c r="P65" s="11"/>
      <c r="Q65" s="11"/>
      <c r="R65" s="11"/>
      <c r="S65" s="11"/>
    </row>
    <row r="66" spans="1:19" x14ac:dyDescent="0.3">
      <c r="A66" s="11"/>
      <c r="B66" s="11"/>
      <c r="C66" s="11"/>
      <c r="D66" s="11"/>
      <c r="E66" s="11"/>
      <c r="F66" s="11"/>
      <c r="O66" s="11"/>
      <c r="P66" s="11"/>
      <c r="Q66" s="11"/>
      <c r="R66" s="11"/>
      <c r="S66" s="11"/>
    </row>
    <row r="67" spans="1:19" x14ac:dyDescent="0.3">
      <c r="A67" s="11"/>
      <c r="B67" s="11"/>
      <c r="C67" s="11"/>
      <c r="D67" s="11"/>
      <c r="E67" s="11"/>
      <c r="F67" s="11"/>
      <c r="O67" s="11"/>
      <c r="P67" s="11"/>
      <c r="Q67" s="11"/>
      <c r="R67" s="11"/>
      <c r="S67" s="11"/>
    </row>
    <row r="68" spans="1:19" x14ac:dyDescent="0.3">
      <c r="A68" s="11"/>
      <c r="B68" s="11"/>
      <c r="C68" s="11"/>
      <c r="D68" s="11"/>
      <c r="E68" s="11"/>
      <c r="F68" s="11"/>
      <c r="O68" s="11"/>
      <c r="P68" s="11"/>
      <c r="Q68" s="11"/>
      <c r="R68" s="11"/>
      <c r="S68" s="11"/>
    </row>
    <row r="69" spans="1:19" x14ac:dyDescent="0.3">
      <c r="A69" s="11"/>
      <c r="B69" s="11"/>
      <c r="C69" s="11"/>
      <c r="D69" s="11"/>
      <c r="E69" s="11"/>
      <c r="F69" s="11"/>
      <c r="O69" s="11"/>
      <c r="P69" s="11"/>
      <c r="Q69" s="11"/>
      <c r="R69" s="11"/>
      <c r="S69" s="11"/>
    </row>
    <row r="70" spans="1:19" x14ac:dyDescent="0.3">
      <c r="A70" s="11"/>
      <c r="B70" s="11"/>
      <c r="C70" s="11"/>
      <c r="D70" s="11"/>
      <c r="E70" s="11"/>
      <c r="F70" s="11"/>
      <c r="O70" s="11"/>
      <c r="P70" s="11"/>
      <c r="Q70" s="11"/>
      <c r="R70" s="11"/>
      <c r="S70" s="11"/>
    </row>
    <row r="71" spans="1:19" x14ac:dyDescent="0.3">
      <c r="A71" s="11"/>
      <c r="B71" s="11"/>
      <c r="C71" s="11"/>
      <c r="D71" s="11"/>
      <c r="E71" s="11"/>
      <c r="F71" s="11"/>
      <c r="O71" s="11"/>
      <c r="P71" s="11"/>
      <c r="Q71" s="11"/>
      <c r="R71" s="11"/>
      <c r="S71" s="11"/>
    </row>
    <row r="72" spans="1:19" x14ac:dyDescent="0.3">
      <c r="A72" s="11"/>
      <c r="B72" s="11"/>
      <c r="C72" s="11"/>
      <c r="D72" s="11"/>
      <c r="E72" s="11"/>
      <c r="F72" s="11"/>
      <c r="O72" s="11"/>
      <c r="P72" s="11"/>
      <c r="Q72" s="11"/>
      <c r="R72" s="11"/>
      <c r="S72" s="11"/>
    </row>
    <row r="73" spans="1:19" x14ac:dyDescent="0.3">
      <c r="A73" s="11"/>
      <c r="B73" s="11"/>
      <c r="C73" s="11"/>
      <c r="D73" s="11"/>
      <c r="E73" s="11"/>
      <c r="F73" s="11"/>
      <c r="O73" s="11"/>
      <c r="P73" s="11"/>
      <c r="Q73" s="11"/>
      <c r="R73" s="11"/>
      <c r="S73" s="11"/>
    </row>
    <row r="74" spans="1:19" x14ac:dyDescent="0.3">
      <c r="A74" s="11"/>
      <c r="B74" s="11"/>
      <c r="C74" s="11"/>
      <c r="D74" s="11"/>
      <c r="E74" s="11"/>
      <c r="F74" s="11"/>
      <c r="O74" s="11"/>
      <c r="P74" s="11"/>
      <c r="Q74" s="11"/>
      <c r="R74" s="11"/>
      <c r="S74" s="11"/>
    </row>
    <row r="75" spans="1:19" x14ac:dyDescent="0.3">
      <c r="A75" s="11"/>
      <c r="B75" s="11"/>
      <c r="C75" s="11"/>
      <c r="D75" s="11"/>
      <c r="E75" s="11"/>
      <c r="F75" s="11"/>
      <c r="O75" s="11"/>
      <c r="P75" s="11"/>
      <c r="Q75" s="11"/>
      <c r="R75" s="11"/>
      <c r="S75" s="11"/>
    </row>
    <row r="76" spans="1:19" x14ac:dyDescent="0.3">
      <c r="A76" s="11"/>
      <c r="B76" s="11"/>
      <c r="C76" s="11"/>
      <c r="D76" s="11"/>
      <c r="E76" s="11"/>
      <c r="F76" s="11"/>
      <c r="O76" s="11"/>
      <c r="P76" s="11"/>
      <c r="Q76" s="11"/>
      <c r="R76" s="11"/>
      <c r="S76" s="11"/>
    </row>
    <row r="77" spans="1:19" x14ac:dyDescent="0.3">
      <c r="A77" s="11"/>
      <c r="B77" s="11"/>
      <c r="C77" s="11"/>
      <c r="D77" s="11"/>
      <c r="E77" s="11"/>
      <c r="F77" s="11"/>
      <c r="O77" s="11"/>
      <c r="P77" s="11"/>
      <c r="Q77" s="11"/>
      <c r="R77" s="11"/>
      <c r="S77" s="11"/>
    </row>
    <row r="78" spans="1:19" x14ac:dyDescent="0.3">
      <c r="A78" s="11"/>
      <c r="B78" s="11"/>
      <c r="C78" s="11"/>
      <c r="D78" s="11"/>
      <c r="E78" s="11"/>
      <c r="F78" s="11"/>
      <c r="O78" s="11"/>
      <c r="P78" s="11"/>
      <c r="Q78" s="11"/>
      <c r="R78" s="11"/>
      <c r="S78" s="11"/>
    </row>
    <row r="79" spans="1:19" x14ac:dyDescent="0.3">
      <c r="A79" s="11"/>
      <c r="B79" s="11"/>
      <c r="C79" s="11"/>
      <c r="D79" s="11"/>
      <c r="E79" s="11"/>
      <c r="F79" s="11"/>
      <c r="O79" s="11"/>
      <c r="P79" s="11"/>
      <c r="Q79" s="11"/>
      <c r="R79" s="11"/>
      <c r="S79" s="11"/>
    </row>
    <row r="80" spans="1:19" x14ac:dyDescent="0.3">
      <c r="A80" s="11"/>
      <c r="B80" s="11"/>
      <c r="C80" s="11"/>
      <c r="D80" s="11"/>
      <c r="E80" s="11"/>
      <c r="F80" s="11"/>
      <c r="O80" s="11"/>
      <c r="P80" s="11"/>
      <c r="Q80" s="11"/>
      <c r="R80" s="11"/>
      <c r="S80" s="11"/>
    </row>
    <row r="81" spans="1:19" x14ac:dyDescent="0.3">
      <c r="A81" s="11"/>
      <c r="B81" s="11"/>
      <c r="C81" s="11"/>
      <c r="D81" s="11"/>
      <c r="E81" s="11"/>
      <c r="F81" s="11"/>
      <c r="O81" s="11"/>
      <c r="P81" s="11"/>
      <c r="Q81" s="11"/>
      <c r="R81" s="11"/>
      <c r="S81" s="11"/>
    </row>
    <row r="82" spans="1:19" x14ac:dyDescent="0.3">
      <c r="A82" s="11"/>
      <c r="B82" s="11"/>
      <c r="C82" s="11"/>
      <c r="D82" s="11"/>
      <c r="E82" s="11"/>
      <c r="F82" s="11"/>
      <c r="O82" s="11"/>
      <c r="P82" s="11"/>
      <c r="Q82" s="11"/>
      <c r="R82" s="11"/>
      <c r="S82" s="11"/>
    </row>
    <row r="83" spans="1:19" x14ac:dyDescent="0.3">
      <c r="A83" s="11"/>
      <c r="B83" s="11"/>
      <c r="C83" s="11"/>
      <c r="D83" s="11"/>
      <c r="E83" s="11"/>
      <c r="F83" s="11"/>
      <c r="O83" s="11"/>
      <c r="P83" s="11"/>
      <c r="Q83" s="11"/>
      <c r="R83" s="11"/>
      <c r="S83" s="11"/>
    </row>
  </sheetData>
  <mergeCells count="18">
    <mergeCell ref="A24:A25"/>
    <mergeCell ref="B24:B25"/>
    <mergeCell ref="C24:C25"/>
    <mergeCell ref="D24:D25"/>
    <mergeCell ref="F24:F25"/>
    <mergeCell ref="E24:E25"/>
    <mergeCell ref="A1:F2"/>
    <mergeCell ref="H6:I6"/>
    <mergeCell ref="H9:I9"/>
    <mergeCell ref="H7:K7"/>
    <mergeCell ref="H12:I12"/>
    <mergeCell ref="A4:F4"/>
    <mergeCell ref="A10:A11"/>
    <mergeCell ref="B10:B11"/>
    <mergeCell ref="C10:C11"/>
    <mergeCell ref="D10:D11"/>
    <mergeCell ref="F10:F11"/>
    <mergeCell ref="E10:E1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66"/>
  </sheetPr>
  <dimension ref="A1:S194"/>
  <sheetViews>
    <sheetView zoomScale="80" zoomScaleNormal="80" workbookViewId="0">
      <pane xSplit="1" topLeftCell="B1" activePane="topRight" state="frozen"/>
      <selection pane="topRight" activeCell="C15" sqref="C15"/>
    </sheetView>
  </sheetViews>
  <sheetFormatPr baseColWidth="10" defaultRowHeight="14.4" x14ac:dyDescent="0.3"/>
  <cols>
    <col min="1" max="1" width="45.6640625" customWidth="1"/>
    <col min="2" max="2" width="15.109375" customWidth="1"/>
    <col min="3" max="3" width="15.88671875" customWidth="1"/>
    <col min="4" max="4" width="17.33203125" customWidth="1"/>
    <col min="5" max="5" width="20.44140625" customWidth="1"/>
    <col min="6" max="6" width="24.33203125" customWidth="1"/>
    <col min="7" max="8" width="22.109375" customWidth="1"/>
    <col min="9" max="9" width="13.44140625" customWidth="1"/>
    <col min="10" max="10" width="13.88671875" customWidth="1"/>
  </cols>
  <sheetData>
    <row r="1" spans="1:19" x14ac:dyDescent="0.3">
      <c r="A1" s="11"/>
      <c r="B1" s="633" t="s">
        <v>476</v>
      </c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5"/>
    </row>
    <row r="2" spans="1:19" x14ac:dyDescent="0.3">
      <c r="A2" s="11"/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8"/>
    </row>
    <row r="3" spans="1:19" x14ac:dyDescent="0.3">
      <c r="A3" s="11"/>
      <c r="B3" s="636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8"/>
    </row>
    <row r="4" spans="1:19" ht="15" thickBot="1" x14ac:dyDescent="0.35">
      <c r="A4" s="11"/>
      <c r="B4" s="639"/>
      <c r="C4" s="640"/>
      <c r="D4" s="640"/>
      <c r="E4" s="640"/>
      <c r="F4" s="640"/>
      <c r="G4" s="640"/>
      <c r="H4" s="640"/>
      <c r="I4" s="640"/>
      <c r="J4" s="640"/>
      <c r="K4" s="640"/>
      <c r="L4" s="640"/>
      <c r="M4" s="640"/>
      <c r="N4" s="641"/>
    </row>
    <row r="5" spans="1:19" ht="18" x14ac:dyDescent="0.3">
      <c r="A5" s="375" t="s">
        <v>304</v>
      </c>
      <c r="B5" s="376">
        <v>1</v>
      </c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376"/>
      <c r="O5" s="282"/>
      <c r="P5" s="284"/>
      <c r="Q5" s="284"/>
      <c r="R5" s="284"/>
      <c r="S5" s="284"/>
    </row>
    <row r="6" spans="1:19" ht="18" x14ac:dyDescent="0.3">
      <c r="A6" s="277" t="s">
        <v>332</v>
      </c>
      <c r="B6" s="363"/>
      <c r="C6" s="363">
        <f>HISTORIA!C2</f>
        <v>0</v>
      </c>
      <c r="D6" s="363">
        <f>HISTORIA!D2</f>
        <v>0</v>
      </c>
      <c r="E6" s="363">
        <f>HISTORIA!E2</f>
        <v>0</v>
      </c>
      <c r="F6" s="363">
        <f>HISTORIA!F2</f>
        <v>0</v>
      </c>
      <c r="G6" s="363">
        <f>HISTORIA!G2</f>
        <v>0</v>
      </c>
      <c r="H6" s="363">
        <f>HISTORIA!H2</f>
        <v>0</v>
      </c>
      <c r="I6" s="363">
        <f>HISTORIA!I2</f>
        <v>0</v>
      </c>
      <c r="J6" s="363">
        <f>HISTORIA!J2</f>
        <v>0</v>
      </c>
      <c r="K6" s="363">
        <f>HISTORIA!K2</f>
        <v>0</v>
      </c>
      <c r="L6" s="363">
        <f>HISTORIA!L2</f>
        <v>0</v>
      </c>
      <c r="M6" s="363">
        <f>HISTORIA!M2</f>
        <v>0</v>
      </c>
      <c r="N6" s="363">
        <f>HISTORIA!N2</f>
        <v>0</v>
      </c>
      <c r="O6" s="113"/>
      <c r="P6" s="224"/>
      <c r="Q6" s="224"/>
      <c r="R6" s="224"/>
      <c r="S6" s="224"/>
    </row>
    <row r="7" spans="1:19" ht="16.8" x14ac:dyDescent="0.3">
      <c r="A7" s="189" t="s">
        <v>327</v>
      </c>
      <c r="B7" s="188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24"/>
      <c r="Q7" s="224"/>
      <c r="R7" s="224"/>
      <c r="S7" s="224"/>
    </row>
    <row r="8" spans="1:19" ht="16.8" x14ac:dyDescent="0.3">
      <c r="A8" s="102" t="s">
        <v>313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224"/>
      <c r="Q8" s="224"/>
      <c r="R8" s="224"/>
      <c r="S8" s="224"/>
    </row>
    <row r="9" spans="1:19" ht="16.8" x14ac:dyDescent="0.3">
      <c r="A9" s="102" t="s">
        <v>5</v>
      </c>
      <c r="B9" s="21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224"/>
      <c r="Q9" s="224"/>
      <c r="R9" s="224"/>
      <c r="S9" s="224"/>
    </row>
    <row r="10" spans="1:19" ht="16.8" x14ac:dyDescent="0.3">
      <c r="A10" s="102" t="s">
        <v>330</v>
      </c>
      <c r="B10" s="21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224"/>
      <c r="Q10" s="224"/>
      <c r="R10" s="224"/>
      <c r="S10" s="224"/>
    </row>
    <row r="11" spans="1:19" ht="18" x14ac:dyDescent="0.3">
      <c r="A11" s="278" t="s">
        <v>474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224"/>
      <c r="Q11" s="224"/>
      <c r="R11" s="224"/>
      <c r="S11" s="224"/>
    </row>
    <row r="12" spans="1:19" ht="16.8" x14ac:dyDescent="0.3">
      <c r="A12" s="276" t="s">
        <v>457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224"/>
      <c r="Q12" s="224"/>
      <c r="R12" s="224"/>
      <c r="S12" s="224"/>
    </row>
    <row r="13" spans="1:19" ht="16.8" x14ac:dyDescent="0.3">
      <c r="A13" s="276" t="s">
        <v>461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224"/>
      <c r="Q13" s="224"/>
      <c r="R13" s="224"/>
      <c r="S13" s="224"/>
    </row>
    <row r="14" spans="1:19" ht="16.8" x14ac:dyDescent="0.3">
      <c r="A14" s="276" t="s">
        <v>458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224"/>
      <c r="Q14" s="224"/>
      <c r="R14" s="224"/>
      <c r="S14" s="224"/>
    </row>
    <row r="15" spans="1:19" ht="16.8" x14ac:dyDescent="0.3">
      <c r="A15" s="276" t="s">
        <v>462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224"/>
      <c r="Q15" s="224"/>
      <c r="R15" s="224"/>
      <c r="S15" s="224"/>
    </row>
    <row r="16" spans="1:19" ht="16.8" x14ac:dyDescent="0.3">
      <c r="A16" s="276" t="s">
        <v>464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224"/>
      <c r="Q16" s="224"/>
      <c r="R16" s="224"/>
      <c r="S16" s="224"/>
    </row>
    <row r="17" spans="1:19" ht="16.8" x14ac:dyDescent="0.3">
      <c r="A17" s="276" t="s">
        <v>463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224"/>
      <c r="Q17" s="224"/>
      <c r="R17" s="224"/>
      <c r="S17" s="224"/>
    </row>
    <row r="18" spans="1:19" ht="16.8" x14ac:dyDescent="0.3">
      <c r="A18" s="276" t="s">
        <v>459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224"/>
      <c r="Q18" s="224"/>
      <c r="R18" s="224"/>
      <c r="S18" s="224"/>
    </row>
    <row r="19" spans="1:19" ht="16.8" x14ac:dyDescent="0.3">
      <c r="A19" s="276" t="s">
        <v>460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224"/>
      <c r="Q19" s="224"/>
      <c r="R19" s="224"/>
      <c r="S19" s="224"/>
    </row>
    <row r="20" spans="1:19" ht="16.8" x14ac:dyDescent="0.3">
      <c r="A20" s="276" t="s">
        <v>465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224"/>
      <c r="Q20" s="224"/>
      <c r="R20" s="224"/>
      <c r="S20" s="224"/>
    </row>
    <row r="21" spans="1:19" ht="18" x14ac:dyDescent="0.3">
      <c r="A21" s="278" t="s">
        <v>475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224"/>
      <c r="Q21" s="224"/>
      <c r="R21" s="224"/>
      <c r="S21" s="224"/>
    </row>
    <row r="22" spans="1:19" ht="16.8" x14ac:dyDescent="0.3">
      <c r="A22" s="276" t="s">
        <v>466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224"/>
      <c r="Q22" s="224"/>
      <c r="R22" s="224"/>
      <c r="S22" s="224"/>
    </row>
    <row r="23" spans="1:19" ht="16.8" x14ac:dyDescent="0.3">
      <c r="A23" s="276" t="s">
        <v>467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224"/>
      <c r="Q23" s="224"/>
      <c r="R23" s="224"/>
      <c r="S23" s="224"/>
    </row>
    <row r="24" spans="1:19" ht="16.8" x14ac:dyDescent="0.3">
      <c r="A24" s="276" t="s">
        <v>468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224"/>
      <c r="Q24" s="224"/>
      <c r="R24" s="224"/>
      <c r="S24" s="224"/>
    </row>
    <row r="25" spans="1:19" ht="16.8" x14ac:dyDescent="0.3">
      <c r="A25" s="276" t="s">
        <v>473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224"/>
      <c r="Q25" s="224"/>
      <c r="R25" s="224"/>
      <c r="S25" s="224"/>
    </row>
    <row r="26" spans="1:19" ht="16.8" x14ac:dyDescent="0.3">
      <c r="A26" s="276" t="s">
        <v>472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224"/>
      <c r="Q26" s="224"/>
      <c r="R26" s="224"/>
      <c r="S26" s="224"/>
    </row>
    <row r="27" spans="1:19" ht="16.8" x14ac:dyDescent="0.3">
      <c r="A27" s="276" t="s">
        <v>469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224"/>
      <c r="Q27" s="224"/>
      <c r="R27" s="224"/>
      <c r="S27" s="224"/>
    </row>
    <row r="28" spans="1:19" ht="16.8" x14ac:dyDescent="0.3">
      <c r="A28" s="276" t="s">
        <v>470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224"/>
      <c r="Q28" s="224"/>
      <c r="R28" s="224"/>
      <c r="S28" s="224"/>
    </row>
    <row r="29" spans="1:19" ht="16.8" x14ac:dyDescent="0.3">
      <c r="A29" s="276" t="s">
        <v>471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224"/>
      <c r="Q29" s="224"/>
      <c r="R29" s="224"/>
      <c r="S29" s="224"/>
    </row>
    <row r="30" spans="1:19" ht="18" x14ac:dyDescent="0.3">
      <c r="A30" s="278" t="s">
        <v>480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224"/>
      <c r="Q30" s="224"/>
      <c r="R30" s="224"/>
      <c r="S30" s="224"/>
    </row>
    <row r="31" spans="1:19" ht="16.8" x14ac:dyDescent="0.3">
      <c r="A31" s="276" t="s">
        <v>481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224"/>
      <c r="Q31" s="224"/>
      <c r="R31" s="224"/>
      <c r="S31" s="224"/>
    </row>
    <row r="32" spans="1:19" ht="16.8" x14ac:dyDescent="0.3">
      <c r="A32" s="276" t="s">
        <v>482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224"/>
      <c r="Q32" s="224"/>
      <c r="R32" s="224"/>
      <c r="S32" s="224"/>
    </row>
    <row r="33" spans="1:19" ht="16.8" x14ac:dyDescent="0.3">
      <c r="A33" s="276" t="s">
        <v>483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224"/>
      <c r="Q33" s="224"/>
      <c r="R33" s="224"/>
      <c r="S33" s="224"/>
    </row>
    <row r="34" spans="1:19" ht="16.8" x14ac:dyDescent="0.3">
      <c r="A34" s="276" t="s">
        <v>484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224"/>
      <c r="Q34" s="224"/>
      <c r="R34" s="224"/>
      <c r="S34" s="224"/>
    </row>
    <row r="35" spans="1:19" ht="16.8" x14ac:dyDescent="0.3">
      <c r="A35" s="276" t="s">
        <v>485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224"/>
      <c r="Q35" s="224"/>
      <c r="R35" s="224"/>
      <c r="S35" s="224"/>
    </row>
    <row r="36" spans="1:19" ht="16.8" x14ac:dyDescent="0.3">
      <c r="A36" s="276" t="s">
        <v>486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224"/>
      <c r="Q36" s="224"/>
      <c r="R36" s="224"/>
      <c r="S36" s="224"/>
    </row>
    <row r="37" spans="1:19" ht="18" x14ac:dyDescent="0.3">
      <c r="A37" s="278" t="s">
        <v>477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224"/>
      <c r="Q37" s="224"/>
      <c r="R37" s="224"/>
      <c r="S37" s="224"/>
    </row>
    <row r="38" spans="1:19" ht="16.8" x14ac:dyDescent="0.3">
      <c r="A38" s="276" t="s">
        <v>457</v>
      </c>
      <c r="B38" s="107">
        <f>B12-(3.1416*B23)/10</f>
        <v>0</v>
      </c>
      <c r="C38" s="107">
        <f t="shared" ref="C38:F38" si="0">C12-(3.1416*C23)/10</f>
        <v>0</v>
      </c>
      <c r="D38" s="107">
        <f t="shared" si="0"/>
        <v>0</v>
      </c>
      <c r="E38" s="107">
        <f t="shared" si="0"/>
        <v>0</v>
      </c>
      <c r="F38" s="107">
        <f t="shared" si="0"/>
        <v>0</v>
      </c>
      <c r="G38" s="107"/>
      <c r="H38" s="107"/>
      <c r="I38" s="107"/>
      <c r="J38" s="107"/>
      <c r="K38" s="107"/>
      <c r="L38" s="107"/>
      <c r="M38" s="107"/>
      <c r="N38" s="107"/>
      <c r="O38" s="107"/>
      <c r="P38" s="224"/>
      <c r="Q38" s="224"/>
      <c r="R38" s="224"/>
      <c r="S38" s="224"/>
    </row>
    <row r="39" spans="1:19" ht="16.8" x14ac:dyDescent="0.3">
      <c r="A39" s="276" t="s">
        <v>478</v>
      </c>
      <c r="B39" s="107">
        <f>B15-(3.1416*B24)/10</f>
        <v>0</v>
      </c>
      <c r="C39" s="107">
        <f t="shared" ref="C39:F39" si="1">C15-(3.1416*C24)/10</f>
        <v>0</v>
      </c>
      <c r="D39" s="107">
        <f t="shared" si="1"/>
        <v>0</v>
      </c>
      <c r="E39" s="107">
        <f t="shared" si="1"/>
        <v>0</v>
      </c>
      <c r="F39" s="107">
        <f t="shared" si="1"/>
        <v>0</v>
      </c>
      <c r="G39" s="107"/>
      <c r="H39" s="107"/>
      <c r="I39" s="107"/>
      <c r="J39" s="107"/>
      <c r="K39" s="107"/>
      <c r="L39" s="107"/>
      <c r="M39" s="107"/>
      <c r="N39" s="107"/>
      <c r="O39" s="107"/>
      <c r="P39" s="224"/>
      <c r="Q39" s="224"/>
      <c r="R39" s="224"/>
      <c r="S39" s="224"/>
    </row>
    <row r="40" spans="1:19" ht="16.8" x14ac:dyDescent="0.3">
      <c r="A40" s="276" t="s">
        <v>479</v>
      </c>
      <c r="B40" s="333">
        <f>B16-(3.1416*B27)/10</f>
        <v>0</v>
      </c>
      <c r="C40" s="333">
        <f t="shared" ref="C40:F40" si="2">C16-(3.1416*C27)/10</f>
        <v>0</v>
      </c>
      <c r="D40" s="333">
        <f t="shared" si="2"/>
        <v>0</v>
      </c>
      <c r="E40" s="333">
        <f t="shared" si="2"/>
        <v>0</v>
      </c>
      <c r="F40" s="333">
        <f t="shared" si="2"/>
        <v>0</v>
      </c>
      <c r="G40" s="107"/>
      <c r="H40" s="107"/>
      <c r="I40" s="107"/>
      <c r="J40" s="107"/>
      <c r="K40" s="107"/>
      <c r="L40" s="107"/>
      <c r="M40" s="107"/>
      <c r="N40" s="107"/>
      <c r="O40" s="107"/>
      <c r="P40" s="224"/>
      <c r="Q40" s="224"/>
      <c r="R40" s="224"/>
      <c r="S40" s="224"/>
    </row>
    <row r="41" spans="1:19" ht="16.8" x14ac:dyDescent="0.3">
      <c r="A41" s="276" t="s">
        <v>459</v>
      </c>
      <c r="B41" s="107">
        <f>B18-(3.1416*B28)/10</f>
        <v>0</v>
      </c>
      <c r="C41" s="107">
        <f t="shared" ref="C41:F41" si="3">C18-(3.1416*C28)/10</f>
        <v>0</v>
      </c>
      <c r="D41" s="107">
        <f t="shared" si="3"/>
        <v>0</v>
      </c>
      <c r="E41" s="107">
        <f t="shared" si="3"/>
        <v>0</v>
      </c>
      <c r="F41" s="107">
        <f t="shared" si="3"/>
        <v>0</v>
      </c>
      <c r="G41" s="107"/>
      <c r="H41" s="107"/>
      <c r="I41" s="107"/>
      <c r="J41" s="107"/>
      <c r="K41" s="107"/>
      <c r="L41" s="107"/>
      <c r="M41" s="107"/>
      <c r="N41" s="107"/>
      <c r="O41" s="107"/>
      <c r="P41" s="224"/>
      <c r="Q41" s="224"/>
      <c r="R41" s="224"/>
      <c r="S41" s="224"/>
    </row>
    <row r="42" spans="1:19" ht="16.8" x14ac:dyDescent="0.3">
      <c r="A42" s="276" t="s">
        <v>465</v>
      </c>
      <c r="B42" s="107">
        <f>B20-(3.1416*B29)/10</f>
        <v>0</v>
      </c>
      <c r="C42" s="107">
        <f t="shared" ref="C42:F42" si="4">C20-(3.1416*C29)/10</f>
        <v>0</v>
      </c>
      <c r="D42" s="107">
        <f t="shared" si="4"/>
        <v>0</v>
      </c>
      <c r="E42" s="107">
        <f t="shared" si="4"/>
        <v>0</v>
      </c>
      <c r="F42" s="107">
        <f t="shared" si="4"/>
        <v>0</v>
      </c>
      <c r="G42" s="107"/>
      <c r="H42" s="107"/>
      <c r="I42" s="107"/>
      <c r="J42" s="107"/>
      <c r="K42" s="107"/>
      <c r="L42" s="107"/>
      <c r="M42" s="107"/>
      <c r="N42" s="107"/>
      <c r="O42" s="107"/>
      <c r="P42" s="224"/>
      <c r="Q42" s="224"/>
      <c r="R42" s="224"/>
      <c r="S42" s="224"/>
    </row>
    <row r="43" spans="1:19" ht="18" x14ac:dyDescent="0.3">
      <c r="A43" s="282" t="s">
        <v>489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4"/>
      <c r="Q43" s="284"/>
      <c r="R43" s="284"/>
      <c r="S43" s="284"/>
    </row>
    <row r="44" spans="1:19" ht="17.399999999999999" x14ac:dyDescent="0.3">
      <c r="A44" s="285" t="s">
        <v>320</v>
      </c>
      <c r="B44" s="286" t="e">
        <f t="shared" ref="B44:S44" si="5">B7/(B8*B8)</f>
        <v>#DIV/0!</v>
      </c>
      <c r="C44" s="286" t="e">
        <f t="shared" si="5"/>
        <v>#DIV/0!</v>
      </c>
      <c r="D44" s="286" t="e">
        <f t="shared" si="5"/>
        <v>#DIV/0!</v>
      </c>
      <c r="E44" s="286" t="e">
        <f t="shared" si="5"/>
        <v>#DIV/0!</v>
      </c>
      <c r="F44" s="286" t="e">
        <f t="shared" si="5"/>
        <v>#DIV/0!</v>
      </c>
      <c r="G44" s="286" t="e">
        <f t="shared" si="5"/>
        <v>#DIV/0!</v>
      </c>
      <c r="H44" s="286" t="e">
        <f t="shared" si="5"/>
        <v>#DIV/0!</v>
      </c>
      <c r="I44" s="286" t="e">
        <f t="shared" si="5"/>
        <v>#DIV/0!</v>
      </c>
      <c r="J44" s="286" t="e">
        <f t="shared" si="5"/>
        <v>#DIV/0!</v>
      </c>
      <c r="K44" s="286" t="e">
        <f t="shared" si="5"/>
        <v>#DIV/0!</v>
      </c>
      <c r="L44" s="286" t="e">
        <f t="shared" si="5"/>
        <v>#DIV/0!</v>
      </c>
      <c r="M44" s="286" t="e">
        <f t="shared" si="5"/>
        <v>#DIV/0!</v>
      </c>
      <c r="N44" s="286" t="e">
        <f t="shared" si="5"/>
        <v>#DIV/0!</v>
      </c>
      <c r="O44" s="286" t="e">
        <f t="shared" si="5"/>
        <v>#DIV/0!</v>
      </c>
      <c r="P44" s="286" t="e">
        <f t="shared" si="5"/>
        <v>#DIV/0!</v>
      </c>
      <c r="Q44" s="286" t="e">
        <f t="shared" si="5"/>
        <v>#DIV/0!</v>
      </c>
      <c r="R44" s="286" t="e">
        <f t="shared" si="5"/>
        <v>#DIV/0!</v>
      </c>
      <c r="S44" s="286" t="e">
        <f t="shared" si="5"/>
        <v>#DIV/0!</v>
      </c>
    </row>
    <row r="45" spans="1:19" ht="16.8" x14ac:dyDescent="0.3">
      <c r="A45" s="287" t="s">
        <v>493</v>
      </c>
      <c r="B45" s="288" t="e">
        <f t="shared" ref="B45:S45" si="6">(B35/(B9/100))*10</f>
        <v>#DIV/0!</v>
      </c>
      <c r="C45" s="288" t="e">
        <f t="shared" si="6"/>
        <v>#DIV/0!</v>
      </c>
      <c r="D45" s="288" t="e">
        <f t="shared" si="6"/>
        <v>#DIV/0!</v>
      </c>
      <c r="E45" s="288" t="e">
        <f t="shared" si="6"/>
        <v>#DIV/0!</v>
      </c>
      <c r="F45" s="288" t="e">
        <f t="shared" si="6"/>
        <v>#DIV/0!</v>
      </c>
      <c r="G45" s="288" t="e">
        <f t="shared" si="6"/>
        <v>#DIV/0!</v>
      </c>
      <c r="H45" s="288" t="e">
        <f t="shared" si="6"/>
        <v>#DIV/0!</v>
      </c>
      <c r="I45" s="288" t="e">
        <f t="shared" si="6"/>
        <v>#DIV/0!</v>
      </c>
      <c r="J45" s="288" t="e">
        <f t="shared" si="6"/>
        <v>#DIV/0!</v>
      </c>
      <c r="K45" s="288" t="e">
        <f t="shared" si="6"/>
        <v>#DIV/0!</v>
      </c>
      <c r="L45" s="288" t="e">
        <f t="shared" si="6"/>
        <v>#DIV/0!</v>
      </c>
      <c r="M45" s="288" t="e">
        <f t="shared" si="6"/>
        <v>#DIV/0!</v>
      </c>
      <c r="N45" s="288" t="e">
        <f t="shared" si="6"/>
        <v>#DIV/0!</v>
      </c>
      <c r="O45" s="288" t="e">
        <f t="shared" si="6"/>
        <v>#DIV/0!</v>
      </c>
      <c r="P45" s="288" t="e">
        <f t="shared" si="6"/>
        <v>#DIV/0!</v>
      </c>
      <c r="Q45" s="288" t="e">
        <f t="shared" si="6"/>
        <v>#DIV/0!</v>
      </c>
      <c r="R45" s="288" t="e">
        <f t="shared" si="6"/>
        <v>#DIV/0!</v>
      </c>
      <c r="S45" s="288" t="e">
        <f t="shared" si="6"/>
        <v>#DIV/0!</v>
      </c>
    </row>
    <row r="46" spans="1:19" ht="17.399999999999999" x14ac:dyDescent="0.3">
      <c r="A46" s="103" t="s">
        <v>321</v>
      </c>
      <c r="B46" s="214">
        <f t="shared" ref="B46:S46" si="7">(B23/10)*B12/2-((B23/10)*(B23/10)*3.1416/4)</f>
        <v>0</v>
      </c>
      <c r="C46" s="214">
        <f t="shared" si="7"/>
        <v>0</v>
      </c>
      <c r="D46" s="214">
        <f t="shared" si="7"/>
        <v>0</v>
      </c>
      <c r="E46" s="214">
        <f t="shared" si="7"/>
        <v>0</v>
      </c>
      <c r="F46" s="214">
        <f t="shared" si="7"/>
        <v>0</v>
      </c>
      <c r="G46" s="214">
        <f t="shared" si="7"/>
        <v>0</v>
      </c>
      <c r="H46" s="214">
        <f t="shared" si="7"/>
        <v>0</v>
      </c>
      <c r="I46" s="214">
        <f t="shared" si="7"/>
        <v>0</v>
      </c>
      <c r="J46" s="214">
        <f t="shared" si="7"/>
        <v>0</v>
      </c>
      <c r="K46" s="214">
        <f t="shared" si="7"/>
        <v>0</v>
      </c>
      <c r="L46" s="214">
        <f t="shared" si="7"/>
        <v>0</v>
      </c>
      <c r="M46" s="214">
        <f t="shared" si="7"/>
        <v>0</v>
      </c>
      <c r="N46" s="214">
        <f t="shared" si="7"/>
        <v>0</v>
      </c>
      <c r="O46" s="214">
        <f t="shared" si="7"/>
        <v>0</v>
      </c>
      <c r="P46" s="214">
        <f t="shared" si="7"/>
        <v>0</v>
      </c>
      <c r="Q46" s="214">
        <f t="shared" si="7"/>
        <v>0</v>
      </c>
      <c r="R46" s="214">
        <f t="shared" si="7"/>
        <v>0</v>
      </c>
      <c r="S46" s="214">
        <f t="shared" si="7"/>
        <v>0</v>
      </c>
    </row>
    <row r="47" spans="1:19" ht="17.399999999999999" x14ac:dyDescent="0.3">
      <c r="A47" s="103" t="s">
        <v>322</v>
      </c>
      <c r="B47" s="259">
        <f t="shared" ref="B47:S47" si="8">(B12-((B23/10)*3.1416))^2/(4*3.1416)</f>
        <v>0</v>
      </c>
      <c r="C47" s="259">
        <f t="shared" si="8"/>
        <v>0</v>
      </c>
      <c r="D47" s="259">
        <f t="shared" si="8"/>
        <v>0</v>
      </c>
      <c r="E47" s="259">
        <f t="shared" si="8"/>
        <v>0</v>
      </c>
      <c r="F47" s="259">
        <f t="shared" si="8"/>
        <v>0</v>
      </c>
      <c r="G47" s="259">
        <f t="shared" si="8"/>
        <v>0</v>
      </c>
      <c r="H47" s="259">
        <f t="shared" si="8"/>
        <v>0</v>
      </c>
      <c r="I47" s="259">
        <f t="shared" si="8"/>
        <v>0</v>
      </c>
      <c r="J47" s="259">
        <f t="shared" si="8"/>
        <v>0</v>
      </c>
      <c r="K47" s="259">
        <f t="shared" si="8"/>
        <v>0</v>
      </c>
      <c r="L47" s="259">
        <f t="shared" si="8"/>
        <v>0</v>
      </c>
      <c r="M47" s="259">
        <f t="shared" si="8"/>
        <v>0</v>
      </c>
      <c r="N47" s="259">
        <f t="shared" si="8"/>
        <v>0</v>
      </c>
      <c r="O47" s="259">
        <f t="shared" si="8"/>
        <v>0</v>
      </c>
      <c r="P47" s="259">
        <f t="shared" si="8"/>
        <v>0</v>
      </c>
      <c r="Q47" s="259">
        <f t="shared" si="8"/>
        <v>0</v>
      </c>
      <c r="R47" s="259">
        <f t="shared" si="8"/>
        <v>0</v>
      </c>
      <c r="S47" s="259">
        <f t="shared" si="8"/>
        <v>0</v>
      </c>
    </row>
    <row r="48" spans="1:19" ht="17.399999999999999" x14ac:dyDescent="0.3">
      <c r="A48" s="103" t="s">
        <v>323</v>
      </c>
      <c r="B48" s="111">
        <f>((B19-(B28/10)*3.1416)*(B19-(B28/10)*3.1416)/12.5664)</f>
        <v>0</v>
      </c>
      <c r="C48" s="111">
        <f t="shared" ref="C48:S48" si="9">((C19-(C28/10)*3.1416)*(C19-(C28/10)*3.1416)/12.5664)</f>
        <v>0</v>
      </c>
      <c r="D48" s="111">
        <f t="shared" si="9"/>
        <v>0</v>
      </c>
      <c r="E48" s="111">
        <f t="shared" si="9"/>
        <v>0</v>
      </c>
      <c r="F48" s="111">
        <f t="shared" si="9"/>
        <v>0</v>
      </c>
      <c r="G48" s="111">
        <f t="shared" si="9"/>
        <v>0</v>
      </c>
      <c r="H48" s="111">
        <f t="shared" si="9"/>
        <v>0</v>
      </c>
      <c r="I48" s="111">
        <f t="shared" si="9"/>
        <v>0</v>
      </c>
      <c r="J48" s="111">
        <f t="shared" si="9"/>
        <v>0</v>
      </c>
      <c r="K48" s="111">
        <f t="shared" si="9"/>
        <v>0</v>
      </c>
      <c r="L48" s="111">
        <f t="shared" si="9"/>
        <v>0</v>
      </c>
      <c r="M48" s="111">
        <f t="shared" si="9"/>
        <v>0</v>
      </c>
      <c r="N48" s="111">
        <f t="shared" si="9"/>
        <v>0</v>
      </c>
      <c r="O48" s="111">
        <f t="shared" si="9"/>
        <v>0</v>
      </c>
      <c r="P48" s="111">
        <f t="shared" si="9"/>
        <v>0</v>
      </c>
      <c r="Q48" s="111">
        <f t="shared" si="9"/>
        <v>0</v>
      </c>
      <c r="R48" s="111">
        <f t="shared" si="9"/>
        <v>0</v>
      </c>
      <c r="S48" s="111">
        <f t="shared" si="9"/>
        <v>0</v>
      </c>
    </row>
    <row r="49" spans="1:19" ht="17.399999999999999" x14ac:dyDescent="0.3">
      <c r="A49" s="103" t="s">
        <v>324</v>
      </c>
      <c r="B49" s="259">
        <f>(B19/10)*B28/2-((B19/10)*(B28/10)*3.1416/4)</f>
        <v>0</v>
      </c>
      <c r="C49" s="259">
        <f t="shared" ref="C49:S49" si="10">(C19/10)*C28/2-((C19/10)*(C28/10)*3.1416/4)</f>
        <v>0</v>
      </c>
      <c r="D49" s="259">
        <f t="shared" si="10"/>
        <v>0</v>
      </c>
      <c r="E49" s="259">
        <f t="shared" si="10"/>
        <v>0</v>
      </c>
      <c r="F49" s="259">
        <f t="shared" si="10"/>
        <v>0</v>
      </c>
      <c r="G49" s="259">
        <f t="shared" si="10"/>
        <v>0</v>
      </c>
      <c r="H49" s="259">
        <f t="shared" si="10"/>
        <v>0</v>
      </c>
      <c r="I49" s="259">
        <f t="shared" si="10"/>
        <v>0</v>
      </c>
      <c r="J49" s="259">
        <f t="shared" si="10"/>
        <v>0</v>
      </c>
      <c r="K49" s="259">
        <f t="shared" si="10"/>
        <v>0</v>
      </c>
      <c r="L49" s="259">
        <f t="shared" si="10"/>
        <v>0</v>
      </c>
      <c r="M49" s="259">
        <f t="shared" si="10"/>
        <v>0</v>
      </c>
      <c r="N49" s="259">
        <f t="shared" si="10"/>
        <v>0</v>
      </c>
      <c r="O49" s="259">
        <f t="shared" si="10"/>
        <v>0</v>
      </c>
      <c r="P49" s="259">
        <f t="shared" si="10"/>
        <v>0</v>
      </c>
      <c r="Q49" s="259">
        <f t="shared" si="10"/>
        <v>0</v>
      </c>
      <c r="R49" s="259">
        <f t="shared" si="10"/>
        <v>0</v>
      </c>
      <c r="S49" s="259">
        <f t="shared" si="10"/>
        <v>0</v>
      </c>
    </row>
    <row r="50" spans="1:19" ht="17.399999999999999" x14ac:dyDescent="0.3">
      <c r="A50" s="103" t="s">
        <v>325</v>
      </c>
      <c r="B50" s="111">
        <f>((B20-(B29/10)*3.1416)*(B20-(B29/10)*3.1416)/12.5664)</f>
        <v>0</v>
      </c>
      <c r="C50" s="111">
        <f t="shared" ref="C50:S50" si="11">((C20-(C29/10)*3.1416)*(C20-(C29/10)*3.1416)/12.5664)</f>
        <v>0</v>
      </c>
      <c r="D50" s="111">
        <f t="shared" si="11"/>
        <v>0</v>
      </c>
      <c r="E50" s="111">
        <f t="shared" si="11"/>
        <v>0</v>
      </c>
      <c r="F50" s="111">
        <f t="shared" si="11"/>
        <v>0</v>
      </c>
      <c r="G50" s="111">
        <f t="shared" si="11"/>
        <v>0</v>
      </c>
      <c r="H50" s="111">
        <f t="shared" si="11"/>
        <v>0</v>
      </c>
      <c r="I50" s="111">
        <f t="shared" si="11"/>
        <v>0</v>
      </c>
      <c r="J50" s="111">
        <f t="shared" si="11"/>
        <v>0</v>
      </c>
      <c r="K50" s="111">
        <f t="shared" si="11"/>
        <v>0</v>
      </c>
      <c r="L50" s="111">
        <f t="shared" si="11"/>
        <v>0</v>
      </c>
      <c r="M50" s="111">
        <f t="shared" si="11"/>
        <v>0</v>
      </c>
      <c r="N50" s="111">
        <f t="shared" si="11"/>
        <v>0</v>
      </c>
      <c r="O50" s="111">
        <f t="shared" si="11"/>
        <v>0</v>
      </c>
      <c r="P50" s="111">
        <f t="shared" si="11"/>
        <v>0</v>
      </c>
      <c r="Q50" s="111">
        <f t="shared" si="11"/>
        <v>0</v>
      </c>
      <c r="R50" s="111">
        <f t="shared" si="11"/>
        <v>0</v>
      </c>
      <c r="S50" s="111">
        <f t="shared" si="11"/>
        <v>0</v>
      </c>
    </row>
    <row r="51" spans="1:19" ht="17.399999999999999" x14ac:dyDescent="0.3">
      <c r="A51" s="204" t="s">
        <v>326</v>
      </c>
      <c r="B51" s="260">
        <f>(B20/10)*B29/2-((B20/10)*(B29/10)*3.1416/4)</f>
        <v>0</v>
      </c>
      <c r="C51" s="260">
        <f t="shared" ref="C51:S51" si="12">(C20/10)*C29/2-((C20/10)*(C29/10)*3.1416/4)</f>
        <v>0</v>
      </c>
      <c r="D51" s="260">
        <f t="shared" si="12"/>
        <v>0</v>
      </c>
      <c r="E51" s="260">
        <f t="shared" si="12"/>
        <v>0</v>
      </c>
      <c r="F51" s="260">
        <f t="shared" si="12"/>
        <v>0</v>
      </c>
      <c r="G51" s="260">
        <f t="shared" si="12"/>
        <v>0</v>
      </c>
      <c r="H51" s="260">
        <f t="shared" si="12"/>
        <v>0</v>
      </c>
      <c r="I51" s="260">
        <f t="shared" si="12"/>
        <v>0</v>
      </c>
      <c r="J51" s="260">
        <f t="shared" si="12"/>
        <v>0</v>
      </c>
      <c r="K51" s="260">
        <f t="shared" si="12"/>
        <v>0</v>
      </c>
      <c r="L51" s="260">
        <f t="shared" si="12"/>
        <v>0</v>
      </c>
      <c r="M51" s="260">
        <f t="shared" si="12"/>
        <v>0</v>
      </c>
      <c r="N51" s="260">
        <f t="shared" si="12"/>
        <v>0</v>
      </c>
      <c r="O51" s="260">
        <f t="shared" si="12"/>
        <v>0</v>
      </c>
      <c r="P51" s="260">
        <f t="shared" si="12"/>
        <v>0</v>
      </c>
      <c r="Q51" s="260">
        <f t="shared" si="12"/>
        <v>0</v>
      </c>
      <c r="R51" s="260">
        <f t="shared" si="12"/>
        <v>0</v>
      </c>
      <c r="S51" s="260">
        <f t="shared" si="12"/>
        <v>0</v>
      </c>
    </row>
    <row r="52" spans="1:19" ht="16.8" x14ac:dyDescent="0.3">
      <c r="A52" s="104" t="s">
        <v>487</v>
      </c>
      <c r="B52" s="109">
        <f>(3.5803)+(0.1548*(B24+B23+B26+B27+B28+B29))</f>
        <v>3.5802999999999998</v>
      </c>
      <c r="C52" s="109">
        <f t="shared" ref="C52:S52" si="13">(3.5803)+(0.1548*(C24+C23+C26+C27+C28+C29))</f>
        <v>3.5802999999999998</v>
      </c>
      <c r="D52" s="109">
        <f t="shared" si="13"/>
        <v>3.5802999999999998</v>
      </c>
      <c r="E52" s="109">
        <f t="shared" si="13"/>
        <v>3.5802999999999998</v>
      </c>
      <c r="F52" s="109">
        <f t="shared" si="13"/>
        <v>3.5802999999999998</v>
      </c>
      <c r="G52" s="109">
        <f t="shared" si="13"/>
        <v>3.5802999999999998</v>
      </c>
      <c r="H52" s="109">
        <f t="shared" si="13"/>
        <v>3.5802999999999998</v>
      </c>
      <c r="I52" s="109">
        <f t="shared" si="13"/>
        <v>3.5802999999999998</v>
      </c>
      <c r="J52" s="109">
        <f t="shared" si="13"/>
        <v>3.5802999999999998</v>
      </c>
      <c r="K52" s="109">
        <f t="shared" si="13"/>
        <v>3.5802999999999998</v>
      </c>
      <c r="L52" s="109">
        <f t="shared" si="13"/>
        <v>3.5802999999999998</v>
      </c>
      <c r="M52" s="109">
        <f t="shared" si="13"/>
        <v>3.5802999999999998</v>
      </c>
      <c r="N52" s="109">
        <f t="shared" si="13"/>
        <v>3.5802999999999998</v>
      </c>
      <c r="O52" s="109">
        <f t="shared" si="13"/>
        <v>3.5802999999999998</v>
      </c>
      <c r="P52" s="109">
        <f t="shared" si="13"/>
        <v>3.5802999999999998</v>
      </c>
      <c r="Q52" s="109">
        <f t="shared" si="13"/>
        <v>3.5802999999999998</v>
      </c>
      <c r="R52" s="109">
        <f t="shared" si="13"/>
        <v>3.5802999999999998</v>
      </c>
      <c r="S52" s="109">
        <f t="shared" si="13"/>
        <v>3.5802999999999998</v>
      </c>
    </row>
    <row r="53" spans="1:19" ht="16.8" x14ac:dyDescent="0.3">
      <c r="A53" s="280" t="s">
        <v>488</v>
      </c>
      <c r="B53" s="281" t="e">
        <f>((4.95 / (VLOOKUP(HISTORIA!C7, I104:K109, 2, 1) - (VLOOKUP(HISTORIA!C7, I104:K109, 3, 1) *LOG10(SUM(B22:B25))))) - 4.5) * 100</f>
        <v>#NUM!</v>
      </c>
      <c r="C53" s="281" t="e">
        <f t="shared" ref="C53:S53" si="14">((4.95 / (1.1339 - (0.064 *LOG10(C22+C23+C24+C25)))) - 4.5) * 100</f>
        <v>#NUM!</v>
      </c>
      <c r="D53" s="281" t="e">
        <f t="shared" si="14"/>
        <v>#NUM!</v>
      </c>
      <c r="E53" s="281" t="e">
        <f t="shared" si="14"/>
        <v>#NUM!</v>
      </c>
      <c r="F53" s="281" t="e">
        <f t="shared" si="14"/>
        <v>#NUM!</v>
      </c>
      <c r="G53" s="281"/>
      <c r="H53" s="281" t="e">
        <f t="shared" si="14"/>
        <v>#NUM!</v>
      </c>
      <c r="I53" s="281" t="e">
        <f t="shared" si="14"/>
        <v>#NUM!</v>
      </c>
      <c r="J53" s="281" t="e">
        <f t="shared" si="14"/>
        <v>#NUM!</v>
      </c>
      <c r="K53" s="281" t="e">
        <f t="shared" si="14"/>
        <v>#NUM!</v>
      </c>
      <c r="L53" s="281" t="e">
        <f t="shared" si="14"/>
        <v>#NUM!</v>
      </c>
      <c r="M53" s="281" t="e">
        <f t="shared" si="14"/>
        <v>#NUM!</v>
      </c>
      <c r="N53" s="281" t="e">
        <f t="shared" si="14"/>
        <v>#NUM!</v>
      </c>
      <c r="O53" s="281" t="e">
        <f t="shared" si="14"/>
        <v>#NUM!</v>
      </c>
      <c r="P53" s="281" t="e">
        <f t="shared" si="14"/>
        <v>#NUM!</v>
      </c>
      <c r="Q53" s="281" t="e">
        <f t="shared" si="14"/>
        <v>#NUM!</v>
      </c>
      <c r="R53" s="281" t="e">
        <f t="shared" si="14"/>
        <v>#NUM!</v>
      </c>
      <c r="S53" s="281" t="e">
        <f t="shared" si="14"/>
        <v>#NUM!</v>
      </c>
    </row>
    <row r="54" spans="1:19" ht="16.8" x14ac:dyDescent="0.3">
      <c r="A54" s="105" t="s">
        <v>77</v>
      </c>
      <c r="B54" s="110">
        <f>B29+B28+B27+B26+B23+B24</f>
        <v>0</v>
      </c>
      <c r="C54" s="110">
        <f t="shared" ref="C54:S54" si="15">C29+C28+C27+C26+C23+C24</f>
        <v>0</v>
      </c>
      <c r="D54" s="110">
        <f t="shared" si="15"/>
        <v>0</v>
      </c>
      <c r="E54" s="110">
        <f t="shared" si="15"/>
        <v>0</v>
      </c>
      <c r="F54" s="110">
        <f t="shared" si="15"/>
        <v>0</v>
      </c>
      <c r="G54" s="110">
        <f t="shared" si="15"/>
        <v>0</v>
      </c>
      <c r="H54" s="110">
        <f t="shared" si="15"/>
        <v>0</v>
      </c>
      <c r="I54" s="110">
        <f t="shared" si="15"/>
        <v>0</v>
      </c>
      <c r="J54" s="110">
        <f t="shared" si="15"/>
        <v>0</v>
      </c>
      <c r="K54" s="110">
        <f t="shared" si="15"/>
        <v>0</v>
      </c>
      <c r="L54" s="110">
        <f t="shared" si="15"/>
        <v>0</v>
      </c>
      <c r="M54" s="110">
        <f t="shared" si="15"/>
        <v>0</v>
      </c>
      <c r="N54" s="110">
        <f t="shared" si="15"/>
        <v>0</v>
      </c>
      <c r="O54" s="110">
        <f t="shared" si="15"/>
        <v>0</v>
      </c>
      <c r="P54" s="110">
        <f t="shared" si="15"/>
        <v>0</v>
      </c>
      <c r="Q54" s="110">
        <f t="shared" si="15"/>
        <v>0</v>
      </c>
      <c r="R54" s="110">
        <f t="shared" si="15"/>
        <v>0</v>
      </c>
      <c r="S54" s="110">
        <f t="shared" si="15"/>
        <v>0</v>
      </c>
    </row>
    <row r="55" spans="1:19" ht="16.8" x14ac:dyDescent="0.3">
      <c r="A55" s="105" t="s">
        <v>78</v>
      </c>
      <c r="B55" s="110">
        <f>B26+B29+B28+B27+B25+B22+B23+B24</f>
        <v>0</v>
      </c>
      <c r="C55" s="110">
        <f t="shared" ref="C55:S55" si="16">C26+C29+C28+C27+C25+C22+C23+C24</f>
        <v>0</v>
      </c>
      <c r="D55" s="110">
        <f t="shared" si="16"/>
        <v>0</v>
      </c>
      <c r="E55" s="110">
        <f t="shared" si="16"/>
        <v>0</v>
      </c>
      <c r="F55" s="110">
        <f t="shared" si="16"/>
        <v>0</v>
      </c>
      <c r="G55" s="110">
        <f t="shared" si="16"/>
        <v>0</v>
      </c>
      <c r="H55" s="110">
        <f t="shared" si="16"/>
        <v>0</v>
      </c>
      <c r="I55" s="110">
        <f t="shared" si="16"/>
        <v>0</v>
      </c>
      <c r="J55" s="110">
        <f t="shared" si="16"/>
        <v>0</v>
      </c>
      <c r="K55" s="110">
        <f t="shared" si="16"/>
        <v>0</v>
      </c>
      <c r="L55" s="110">
        <f t="shared" si="16"/>
        <v>0</v>
      </c>
      <c r="M55" s="110">
        <f t="shared" si="16"/>
        <v>0</v>
      </c>
      <c r="N55" s="110">
        <f t="shared" si="16"/>
        <v>0</v>
      </c>
      <c r="O55" s="110">
        <f t="shared" si="16"/>
        <v>0</v>
      </c>
      <c r="P55" s="110">
        <f t="shared" si="16"/>
        <v>0</v>
      </c>
      <c r="Q55" s="110">
        <f t="shared" si="16"/>
        <v>0</v>
      </c>
      <c r="R55" s="110">
        <f t="shared" si="16"/>
        <v>0</v>
      </c>
      <c r="S55" s="110">
        <f t="shared" si="16"/>
        <v>0</v>
      </c>
    </row>
    <row r="56" spans="1:19" ht="16.8" x14ac:dyDescent="0.3">
      <c r="A56" s="103" t="s">
        <v>314</v>
      </c>
      <c r="B56" s="111" t="e">
        <f>B16/B17</f>
        <v>#DIV/0!</v>
      </c>
      <c r="C56" s="111" t="e">
        <f t="shared" ref="C56:S56" si="17">C16/C17</f>
        <v>#DIV/0!</v>
      </c>
      <c r="D56" s="111" t="e">
        <f t="shared" si="17"/>
        <v>#DIV/0!</v>
      </c>
      <c r="E56" s="111" t="e">
        <f t="shared" si="17"/>
        <v>#DIV/0!</v>
      </c>
      <c r="F56" s="111" t="e">
        <f t="shared" si="17"/>
        <v>#DIV/0!</v>
      </c>
      <c r="G56" s="111" t="e">
        <f t="shared" si="17"/>
        <v>#DIV/0!</v>
      </c>
      <c r="H56" s="111" t="e">
        <f t="shared" si="17"/>
        <v>#DIV/0!</v>
      </c>
      <c r="I56" s="111" t="e">
        <f t="shared" si="17"/>
        <v>#DIV/0!</v>
      </c>
      <c r="J56" s="111" t="e">
        <f t="shared" si="17"/>
        <v>#DIV/0!</v>
      </c>
      <c r="K56" s="111" t="e">
        <f t="shared" si="17"/>
        <v>#DIV/0!</v>
      </c>
      <c r="L56" s="111" t="e">
        <f t="shared" si="17"/>
        <v>#DIV/0!</v>
      </c>
      <c r="M56" s="111" t="e">
        <f t="shared" si="17"/>
        <v>#DIV/0!</v>
      </c>
      <c r="N56" s="111" t="e">
        <f t="shared" si="17"/>
        <v>#DIV/0!</v>
      </c>
      <c r="O56" s="111" t="e">
        <f t="shared" si="17"/>
        <v>#DIV/0!</v>
      </c>
      <c r="P56" s="111" t="e">
        <f t="shared" si="17"/>
        <v>#DIV/0!</v>
      </c>
      <c r="Q56" s="111" t="e">
        <f t="shared" si="17"/>
        <v>#DIV/0!</v>
      </c>
      <c r="R56" s="111" t="e">
        <f t="shared" si="17"/>
        <v>#DIV/0!</v>
      </c>
      <c r="S56" s="111" t="e">
        <f t="shared" si="17"/>
        <v>#DIV/0!</v>
      </c>
    </row>
    <row r="57" spans="1:19" ht="16.8" x14ac:dyDescent="0.3">
      <c r="A57" s="291" t="s">
        <v>315</v>
      </c>
      <c r="B57" s="292">
        <f>B52</f>
        <v>3.5802999999999998</v>
      </c>
      <c r="C57" s="292">
        <f t="shared" ref="C57:S57" si="18">C52</f>
        <v>3.5802999999999998</v>
      </c>
      <c r="D57" s="292">
        <f t="shared" si="18"/>
        <v>3.5802999999999998</v>
      </c>
      <c r="E57" s="292">
        <f t="shared" si="18"/>
        <v>3.5802999999999998</v>
      </c>
      <c r="F57" s="292">
        <f t="shared" si="18"/>
        <v>3.5802999999999998</v>
      </c>
      <c r="G57" s="292">
        <f t="shared" si="18"/>
        <v>3.5802999999999998</v>
      </c>
      <c r="H57" s="292">
        <f t="shared" si="18"/>
        <v>3.5802999999999998</v>
      </c>
      <c r="I57" s="292">
        <f t="shared" si="18"/>
        <v>3.5802999999999998</v>
      </c>
      <c r="J57" s="292">
        <f t="shared" si="18"/>
        <v>3.5802999999999998</v>
      </c>
      <c r="K57" s="292">
        <f t="shared" si="18"/>
        <v>3.5802999999999998</v>
      </c>
      <c r="L57" s="292">
        <f t="shared" si="18"/>
        <v>3.5802999999999998</v>
      </c>
      <c r="M57" s="292">
        <f t="shared" si="18"/>
        <v>3.5802999999999998</v>
      </c>
      <c r="N57" s="292">
        <f t="shared" si="18"/>
        <v>3.5802999999999998</v>
      </c>
      <c r="O57" s="292">
        <f t="shared" si="18"/>
        <v>3.5802999999999998</v>
      </c>
      <c r="P57" s="292">
        <f t="shared" si="18"/>
        <v>3.5802999999999998</v>
      </c>
      <c r="Q57" s="292">
        <f t="shared" si="18"/>
        <v>3.5802999999999998</v>
      </c>
      <c r="R57" s="292">
        <f t="shared" si="18"/>
        <v>3.5802999999999998</v>
      </c>
      <c r="S57" s="292">
        <f t="shared" si="18"/>
        <v>3.5802999999999998</v>
      </c>
    </row>
    <row r="58" spans="1:19" ht="16.8" x14ac:dyDescent="0.3">
      <c r="A58" s="103" t="s">
        <v>316</v>
      </c>
      <c r="B58" s="111">
        <f t="shared" ref="B58:S58" si="19">(100-B57)/100*B7</f>
        <v>0</v>
      </c>
      <c r="C58" s="111">
        <f t="shared" si="19"/>
        <v>0</v>
      </c>
      <c r="D58" s="111">
        <f t="shared" si="19"/>
        <v>0</v>
      </c>
      <c r="E58" s="111">
        <f t="shared" si="19"/>
        <v>0</v>
      </c>
      <c r="F58" s="111">
        <f t="shared" si="19"/>
        <v>0</v>
      </c>
      <c r="G58" s="111">
        <f t="shared" si="19"/>
        <v>0</v>
      </c>
      <c r="H58" s="111">
        <f t="shared" si="19"/>
        <v>0</v>
      </c>
      <c r="I58" s="111">
        <f t="shared" si="19"/>
        <v>0</v>
      </c>
      <c r="J58" s="111">
        <f t="shared" si="19"/>
        <v>0</v>
      </c>
      <c r="K58" s="111">
        <f t="shared" si="19"/>
        <v>0</v>
      </c>
      <c r="L58" s="111">
        <f t="shared" si="19"/>
        <v>0</v>
      </c>
      <c r="M58" s="111">
        <f t="shared" si="19"/>
        <v>0</v>
      </c>
      <c r="N58" s="111">
        <f t="shared" si="19"/>
        <v>0</v>
      </c>
      <c r="O58" s="111">
        <f t="shared" si="19"/>
        <v>0</v>
      </c>
      <c r="P58" s="111">
        <f t="shared" si="19"/>
        <v>0</v>
      </c>
      <c r="Q58" s="111">
        <f t="shared" si="19"/>
        <v>0</v>
      </c>
      <c r="R58" s="111">
        <f t="shared" si="19"/>
        <v>0</v>
      </c>
      <c r="S58" s="111">
        <f t="shared" si="19"/>
        <v>0</v>
      </c>
    </row>
    <row r="59" spans="1:19" ht="16.8" x14ac:dyDescent="0.3">
      <c r="A59" s="103" t="s">
        <v>317</v>
      </c>
      <c r="B59" s="111">
        <f t="shared" ref="B59:S59" si="20">B7-B58</f>
        <v>0</v>
      </c>
      <c r="C59" s="111">
        <f t="shared" si="20"/>
        <v>0</v>
      </c>
      <c r="D59" s="111">
        <f t="shared" si="20"/>
        <v>0</v>
      </c>
      <c r="E59" s="111">
        <f t="shared" si="20"/>
        <v>0</v>
      </c>
      <c r="F59" s="111">
        <f t="shared" si="20"/>
        <v>0</v>
      </c>
      <c r="G59" s="111">
        <f t="shared" si="20"/>
        <v>0</v>
      </c>
      <c r="H59" s="111">
        <f t="shared" si="20"/>
        <v>0</v>
      </c>
      <c r="I59" s="111">
        <f t="shared" si="20"/>
        <v>0</v>
      </c>
      <c r="J59" s="111">
        <f t="shared" si="20"/>
        <v>0</v>
      </c>
      <c r="K59" s="111">
        <f t="shared" si="20"/>
        <v>0</v>
      </c>
      <c r="L59" s="111">
        <f t="shared" si="20"/>
        <v>0</v>
      </c>
      <c r="M59" s="111">
        <f t="shared" si="20"/>
        <v>0</v>
      </c>
      <c r="N59" s="111">
        <f t="shared" si="20"/>
        <v>0</v>
      </c>
      <c r="O59" s="111">
        <f t="shared" si="20"/>
        <v>0</v>
      </c>
      <c r="P59" s="111">
        <f t="shared" si="20"/>
        <v>0</v>
      </c>
      <c r="Q59" s="111">
        <f t="shared" si="20"/>
        <v>0</v>
      </c>
      <c r="R59" s="111">
        <f t="shared" si="20"/>
        <v>0</v>
      </c>
      <c r="S59" s="111">
        <f t="shared" si="20"/>
        <v>0</v>
      </c>
    </row>
    <row r="60" spans="1:19" ht="16.8" x14ac:dyDescent="0.3">
      <c r="A60" s="103" t="s">
        <v>342</v>
      </c>
      <c r="B60" s="111">
        <f t="shared" ref="B60:S60" si="21">B7-B57</f>
        <v>-3.5802999999999998</v>
      </c>
      <c r="C60" s="111">
        <f t="shared" si="21"/>
        <v>-3.5802999999999998</v>
      </c>
      <c r="D60" s="111">
        <f t="shared" si="21"/>
        <v>-3.5802999999999998</v>
      </c>
      <c r="E60" s="111">
        <f t="shared" si="21"/>
        <v>-3.5802999999999998</v>
      </c>
      <c r="F60" s="111">
        <f t="shared" si="21"/>
        <v>-3.5802999999999998</v>
      </c>
      <c r="G60" s="111">
        <f t="shared" si="21"/>
        <v>-3.5802999999999998</v>
      </c>
      <c r="H60" s="111">
        <f t="shared" si="21"/>
        <v>-3.5802999999999998</v>
      </c>
      <c r="I60" s="111">
        <f t="shared" si="21"/>
        <v>-3.5802999999999998</v>
      </c>
      <c r="J60" s="111">
        <f t="shared" si="21"/>
        <v>-3.5802999999999998</v>
      </c>
      <c r="K60" s="111">
        <f t="shared" si="21"/>
        <v>-3.5802999999999998</v>
      </c>
      <c r="L60" s="111">
        <f t="shared" si="21"/>
        <v>-3.5802999999999998</v>
      </c>
      <c r="M60" s="111">
        <f t="shared" si="21"/>
        <v>-3.5802999999999998</v>
      </c>
      <c r="N60" s="111">
        <f t="shared" si="21"/>
        <v>-3.5802999999999998</v>
      </c>
      <c r="O60" s="111">
        <f t="shared" si="21"/>
        <v>-3.5802999999999998</v>
      </c>
      <c r="P60" s="111">
        <f t="shared" si="21"/>
        <v>-3.5802999999999998</v>
      </c>
      <c r="Q60" s="111">
        <f t="shared" si="21"/>
        <v>-3.5802999999999998</v>
      </c>
      <c r="R60" s="111">
        <f t="shared" si="21"/>
        <v>-3.5802999999999998</v>
      </c>
      <c r="S60" s="111">
        <f t="shared" si="21"/>
        <v>-3.5802999999999998</v>
      </c>
    </row>
    <row r="61" spans="1:19" ht="16.8" x14ac:dyDescent="0.3">
      <c r="A61" s="103" t="s">
        <v>343</v>
      </c>
      <c r="B61" s="111">
        <f t="shared" ref="B61:S61" si="22">B7*B57/100</f>
        <v>0</v>
      </c>
      <c r="C61" s="111">
        <f t="shared" si="22"/>
        <v>0</v>
      </c>
      <c r="D61" s="111">
        <f t="shared" si="22"/>
        <v>0</v>
      </c>
      <c r="E61" s="111">
        <f t="shared" si="22"/>
        <v>0</v>
      </c>
      <c r="F61" s="111">
        <f t="shared" si="22"/>
        <v>0</v>
      </c>
      <c r="G61" s="111">
        <f t="shared" si="22"/>
        <v>0</v>
      </c>
      <c r="H61" s="111">
        <f t="shared" si="22"/>
        <v>0</v>
      </c>
      <c r="I61" s="111">
        <f t="shared" si="22"/>
        <v>0</v>
      </c>
      <c r="J61" s="111">
        <f t="shared" si="22"/>
        <v>0</v>
      </c>
      <c r="K61" s="111">
        <f t="shared" si="22"/>
        <v>0</v>
      </c>
      <c r="L61" s="111">
        <f t="shared" si="22"/>
        <v>0</v>
      </c>
      <c r="M61" s="111">
        <f t="shared" si="22"/>
        <v>0</v>
      </c>
      <c r="N61" s="111">
        <f t="shared" si="22"/>
        <v>0</v>
      </c>
      <c r="O61" s="111">
        <f t="shared" si="22"/>
        <v>0</v>
      </c>
      <c r="P61" s="111">
        <f t="shared" si="22"/>
        <v>0</v>
      </c>
      <c r="Q61" s="111">
        <f t="shared" si="22"/>
        <v>0</v>
      </c>
      <c r="R61" s="111">
        <f t="shared" si="22"/>
        <v>0</v>
      </c>
      <c r="S61" s="111">
        <f t="shared" si="22"/>
        <v>0</v>
      </c>
    </row>
    <row r="62" spans="1:19" ht="16.8" x14ac:dyDescent="0.3">
      <c r="A62" s="291" t="s">
        <v>494</v>
      </c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</row>
    <row r="63" spans="1:19" ht="16.8" x14ac:dyDescent="0.3">
      <c r="A63" s="289" t="s">
        <v>495</v>
      </c>
      <c r="B63" s="111" t="e">
        <f t="shared" ref="B63:S63" si="23">(((((B24+B23+B26+B27+B28+B29)*(170.18/B9)-116.41)/34.79)*5.85)+25.6)/((170.18/B9)^3)</f>
        <v>#DIV/0!</v>
      </c>
      <c r="C63" s="111" t="e">
        <f t="shared" si="23"/>
        <v>#DIV/0!</v>
      </c>
      <c r="D63" s="111" t="e">
        <f t="shared" si="23"/>
        <v>#DIV/0!</v>
      </c>
      <c r="E63" s="111" t="e">
        <f t="shared" si="23"/>
        <v>#DIV/0!</v>
      </c>
      <c r="F63" s="111" t="e">
        <f t="shared" si="23"/>
        <v>#DIV/0!</v>
      </c>
      <c r="G63" s="111" t="e">
        <f t="shared" si="23"/>
        <v>#DIV/0!</v>
      </c>
      <c r="H63" s="111" t="e">
        <f t="shared" si="23"/>
        <v>#DIV/0!</v>
      </c>
      <c r="I63" s="111" t="e">
        <f t="shared" si="23"/>
        <v>#DIV/0!</v>
      </c>
      <c r="J63" s="111" t="e">
        <f t="shared" si="23"/>
        <v>#DIV/0!</v>
      </c>
      <c r="K63" s="111" t="e">
        <f t="shared" si="23"/>
        <v>#DIV/0!</v>
      </c>
      <c r="L63" s="111" t="e">
        <f t="shared" si="23"/>
        <v>#DIV/0!</v>
      </c>
      <c r="M63" s="111" t="e">
        <f t="shared" si="23"/>
        <v>#DIV/0!</v>
      </c>
      <c r="N63" s="111" t="e">
        <f t="shared" si="23"/>
        <v>#DIV/0!</v>
      </c>
      <c r="O63" s="111" t="e">
        <f t="shared" si="23"/>
        <v>#DIV/0!</v>
      </c>
      <c r="P63" s="111" t="e">
        <f t="shared" si="23"/>
        <v>#DIV/0!</v>
      </c>
      <c r="Q63" s="111" t="e">
        <f t="shared" si="23"/>
        <v>#DIV/0!</v>
      </c>
      <c r="R63" s="111" t="e">
        <f t="shared" si="23"/>
        <v>#DIV/0!</v>
      </c>
      <c r="S63" s="111" t="e">
        <f t="shared" si="23"/>
        <v>#DIV/0!</v>
      </c>
    </row>
    <row r="64" spans="1:19" ht="16.8" x14ac:dyDescent="0.3">
      <c r="A64" s="289" t="s">
        <v>496</v>
      </c>
      <c r="B64" s="111" t="e">
        <f t="shared" ref="B64:S64" si="24">(((((B38+B14+B39+B41+B42)*(170.18/B9))-207.21)/13.74*5.4)+24.5)/((170.18/B9)^3)</f>
        <v>#DIV/0!</v>
      </c>
      <c r="C64" s="111" t="e">
        <f t="shared" si="24"/>
        <v>#DIV/0!</v>
      </c>
      <c r="D64" s="111" t="e">
        <f t="shared" si="24"/>
        <v>#DIV/0!</v>
      </c>
      <c r="E64" s="111" t="e">
        <f t="shared" si="24"/>
        <v>#DIV/0!</v>
      </c>
      <c r="F64" s="111" t="e">
        <f t="shared" si="24"/>
        <v>#DIV/0!</v>
      </c>
      <c r="G64" s="111" t="e">
        <f t="shared" si="24"/>
        <v>#DIV/0!</v>
      </c>
      <c r="H64" s="111" t="e">
        <f t="shared" si="24"/>
        <v>#DIV/0!</v>
      </c>
      <c r="I64" s="111" t="e">
        <f t="shared" si="24"/>
        <v>#DIV/0!</v>
      </c>
      <c r="J64" s="111" t="e">
        <f t="shared" si="24"/>
        <v>#DIV/0!</v>
      </c>
      <c r="K64" s="111" t="e">
        <f t="shared" si="24"/>
        <v>#DIV/0!</v>
      </c>
      <c r="L64" s="111" t="e">
        <f t="shared" si="24"/>
        <v>#DIV/0!</v>
      </c>
      <c r="M64" s="111" t="e">
        <f t="shared" si="24"/>
        <v>#DIV/0!</v>
      </c>
      <c r="N64" s="111" t="e">
        <f t="shared" si="24"/>
        <v>#DIV/0!</v>
      </c>
      <c r="O64" s="111" t="e">
        <f t="shared" si="24"/>
        <v>#DIV/0!</v>
      </c>
      <c r="P64" s="111" t="e">
        <f t="shared" si="24"/>
        <v>#DIV/0!</v>
      </c>
      <c r="Q64" s="111" t="e">
        <f t="shared" si="24"/>
        <v>#DIV/0!</v>
      </c>
      <c r="R64" s="111" t="e">
        <f t="shared" si="24"/>
        <v>#DIV/0!</v>
      </c>
      <c r="S64" s="111" t="e">
        <f t="shared" si="24"/>
        <v>#DIV/0!</v>
      </c>
    </row>
    <row r="65" spans="1:19" ht="16.8" x14ac:dyDescent="0.3">
      <c r="A65" s="291" t="s">
        <v>498</v>
      </c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</row>
    <row r="66" spans="1:19" ht="16.8" x14ac:dyDescent="0.3">
      <c r="A66" s="290" t="s">
        <v>43</v>
      </c>
      <c r="B66" s="297" t="e">
        <f>(0.732*B99)-28.58</f>
        <v>#DIV/0!</v>
      </c>
      <c r="C66" s="297" t="e">
        <f t="shared" ref="C66:S66" si="25">(0.732*C99)-28.58</f>
        <v>#DIV/0!</v>
      </c>
      <c r="D66" s="297" t="e">
        <f t="shared" si="25"/>
        <v>#DIV/0!</v>
      </c>
      <c r="E66" s="297" t="e">
        <f t="shared" si="25"/>
        <v>#DIV/0!</v>
      </c>
      <c r="F66" s="297" t="e">
        <f t="shared" si="25"/>
        <v>#DIV/0!</v>
      </c>
      <c r="G66" s="297" t="e">
        <f t="shared" si="25"/>
        <v>#DIV/0!</v>
      </c>
      <c r="H66" s="297" t="e">
        <f t="shared" si="25"/>
        <v>#DIV/0!</v>
      </c>
      <c r="I66" s="297" t="e">
        <f t="shared" si="25"/>
        <v>#DIV/0!</v>
      </c>
      <c r="J66" s="297" t="e">
        <f t="shared" si="25"/>
        <v>#DIV/0!</v>
      </c>
      <c r="K66" s="297" t="e">
        <f t="shared" si="25"/>
        <v>#DIV/0!</v>
      </c>
      <c r="L66" s="297" t="e">
        <f t="shared" si="25"/>
        <v>#DIV/0!</v>
      </c>
      <c r="M66" s="297" t="e">
        <f t="shared" si="25"/>
        <v>#DIV/0!</v>
      </c>
      <c r="N66" s="297" t="e">
        <f t="shared" si="25"/>
        <v>#DIV/0!</v>
      </c>
      <c r="O66" s="297" t="e">
        <f t="shared" si="25"/>
        <v>#DIV/0!</v>
      </c>
      <c r="P66" s="297" t="e">
        <f t="shared" si="25"/>
        <v>#DIV/0!</v>
      </c>
      <c r="Q66" s="297" t="e">
        <f t="shared" si="25"/>
        <v>#DIV/0!</v>
      </c>
      <c r="R66" s="297" t="e">
        <f t="shared" si="25"/>
        <v>#DIV/0!</v>
      </c>
      <c r="S66" s="297" t="e">
        <f t="shared" si="25"/>
        <v>#DIV/0!</v>
      </c>
    </row>
    <row r="67" spans="1:19" ht="16.8" x14ac:dyDescent="0.3">
      <c r="A67" s="290" t="s">
        <v>42</v>
      </c>
      <c r="B67" s="297">
        <f t="shared" ref="B67:S67" si="26">(0.858*B35)+(0.601*B36)+(0.188*B97)+(0.161*B98)-(0.131*B9)+4.5</f>
        <v>4.5</v>
      </c>
      <c r="C67" s="297">
        <f t="shared" si="26"/>
        <v>4.5</v>
      </c>
      <c r="D67" s="297">
        <f t="shared" si="26"/>
        <v>4.5</v>
      </c>
      <c r="E67" s="297">
        <f t="shared" si="26"/>
        <v>4.5</v>
      </c>
      <c r="F67" s="297">
        <f t="shared" si="26"/>
        <v>4.5</v>
      </c>
      <c r="G67" s="297">
        <f t="shared" si="26"/>
        <v>4.5</v>
      </c>
      <c r="H67" s="297">
        <f t="shared" si="26"/>
        <v>4.5</v>
      </c>
      <c r="I67" s="297">
        <f t="shared" si="26"/>
        <v>4.5</v>
      </c>
      <c r="J67" s="297">
        <f t="shared" si="26"/>
        <v>4.5</v>
      </c>
      <c r="K67" s="297">
        <f t="shared" si="26"/>
        <v>4.5</v>
      </c>
      <c r="L67" s="297">
        <f t="shared" si="26"/>
        <v>4.5</v>
      </c>
      <c r="M67" s="297">
        <f t="shared" si="26"/>
        <v>4.5</v>
      </c>
      <c r="N67" s="297">
        <f t="shared" si="26"/>
        <v>4.5</v>
      </c>
      <c r="O67" s="297">
        <f t="shared" si="26"/>
        <v>4.5</v>
      </c>
      <c r="P67" s="297">
        <f t="shared" si="26"/>
        <v>4.5</v>
      </c>
      <c r="Q67" s="297">
        <f t="shared" si="26"/>
        <v>4.5</v>
      </c>
      <c r="R67" s="297">
        <f t="shared" si="26"/>
        <v>4.5</v>
      </c>
      <c r="S67" s="297">
        <f t="shared" si="26"/>
        <v>4.5</v>
      </c>
    </row>
    <row r="68" spans="1:19" ht="16.8" x14ac:dyDescent="0.3">
      <c r="A68" s="290" t="s">
        <v>41</v>
      </c>
      <c r="B68" s="297" t="e">
        <f>(-0.7182+(0.1451*B94)-(0.00068*B95)+(0.0000014*B96))</f>
        <v>#DIV/0!</v>
      </c>
      <c r="C68" s="297" t="e">
        <f t="shared" ref="C68:S68" si="27">(-0.7182+(0.1451*C94)-(0.00068*C95)+(0.0000014*C96))</f>
        <v>#DIV/0!</v>
      </c>
      <c r="D68" s="297" t="e">
        <f t="shared" si="27"/>
        <v>#DIV/0!</v>
      </c>
      <c r="E68" s="297" t="e">
        <f t="shared" si="27"/>
        <v>#DIV/0!</v>
      </c>
      <c r="F68" s="297" t="e">
        <f t="shared" si="27"/>
        <v>#DIV/0!</v>
      </c>
      <c r="G68" s="297" t="e">
        <f t="shared" si="27"/>
        <v>#DIV/0!</v>
      </c>
      <c r="H68" s="297" t="e">
        <f t="shared" si="27"/>
        <v>#DIV/0!</v>
      </c>
      <c r="I68" s="297" t="e">
        <f t="shared" si="27"/>
        <v>#DIV/0!</v>
      </c>
      <c r="J68" s="297" t="e">
        <f t="shared" si="27"/>
        <v>#DIV/0!</v>
      </c>
      <c r="K68" s="297" t="e">
        <f t="shared" si="27"/>
        <v>#DIV/0!</v>
      </c>
      <c r="L68" s="297" t="e">
        <f t="shared" si="27"/>
        <v>#DIV/0!</v>
      </c>
      <c r="M68" s="297" t="e">
        <f t="shared" si="27"/>
        <v>#DIV/0!</v>
      </c>
      <c r="N68" s="297" t="e">
        <f t="shared" si="27"/>
        <v>#DIV/0!</v>
      </c>
      <c r="O68" s="297" t="e">
        <f t="shared" si="27"/>
        <v>#DIV/0!</v>
      </c>
      <c r="P68" s="297" t="e">
        <f t="shared" si="27"/>
        <v>#DIV/0!</v>
      </c>
      <c r="Q68" s="297" t="e">
        <f t="shared" si="27"/>
        <v>#DIV/0!</v>
      </c>
      <c r="R68" s="297" t="e">
        <f t="shared" si="27"/>
        <v>#DIV/0!</v>
      </c>
      <c r="S68" s="297" t="e">
        <f t="shared" si="27"/>
        <v>#DIV/0!</v>
      </c>
    </row>
    <row r="69" spans="1:19" ht="16.8" x14ac:dyDescent="0.3">
      <c r="A69" s="293" t="s">
        <v>497</v>
      </c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</row>
    <row r="70" spans="1:19" ht="16.8" x14ac:dyDescent="0.3">
      <c r="A70" s="300" t="s">
        <v>509</v>
      </c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</row>
    <row r="71" spans="1:19" ht="16.8" x14ac:dyDescent="0.3">
      <c r="A71" s="290" t="s">
        <v>510</v>
      </c>
      <c r="B71" s="214" t="e">
        <f>B66-B68</f>
        <v>#DIV/0!</v>
      </c>
      <c r="C71" s="214" t="e">
        <f t="shared" ref="C71:S71" si="28">C66-C68</f>
        <v>#DIV/0!</v>
      </c>
      <c r="D71" s="214" t="e">
        <f t="shared" si="28"/>
        <v>#DIV/0!</v>
      </c>
      <c r="E71" s="214" t="e">
        <f t="shared" si="28"/>
        <v>#DIV/0!</v>
      </c>
      <c r="F71" s="214" t="e">
        <f t="shared" si="28"/>
        <v>#DIV/0!</v>
      </c>
      <c r="G71" s="214" t="e">
        <f t="shared" si="28"/>
        <v>#DIV/0!</v>
      </c>
      <c r="H71" s="214" t="e">
        <f t="shared" si="28"/>
        <v>#DIV/0!</v>
      </c>
      <c r="I71" s="214" t="e">
        <f t="shared" si="28"/>
        <v>#DIV/0!</v>
      </c>
      <c r="J71" s="214" t="e">
        <f t="shared" si="28"/>
        <v>#DIV/0!</v>
      </c>
      <c r="K71" s="214" t="e">
        <f t="shared" si="28"/>
        <v>#DIV/0!</v>
      </c>
      <c r="L71" s="214" t="e">
        <f t="shared" si="28"/>
        <v>#DIV/0!</v>
      </c>
      <c r="M71" s="214" t="e">
        <f t="shared" si="28"/>
        <v>#DIV/0!</v>
      </c>
      <c r="N71" s="214" t="e">
        <f t="shared" si="28"/>
        <v>#DIV/0!</v>
      </c>
      <c r="O71" s="214" t="e">
        <f t="shared" si="28"/>
        <v>#DIV/0!</v>
      </c>
      <c r="P71" s="214" t="e">
        <f t="shared" si="28"/>
        <v>#DIV/0!</v>
      </c>
      <c r="Q71" s="214" t="e">
        <f t="shared" si="28"/>
        <v>#DIV/0!</v>
      </c>
      <c r="R71" s="214" t="e">
        <f t="shared" si="28"/>
        <v>#DIV/0!</v>
      </c>
      <c r="S71" s="214" t="e">
        <f t="shared" si="28"/>
        <v>#DIV/0!</v>
      </c>
    </row>
    <row r="72" spans="1:19" ht="16.8" x14ac:dyDescent="0.3">
      <c r="A72" s="290" t="s">
        <v>511</v>
      </c>
      <c r="B72" s="214" t="e">
        <f>(2*B67)-(B68+B66)</f>
        <v>#DIV/0!</v>
      </c>
      <c r="C72" s="214" t="e">
        <f t="shared" ref="C72:S72" si="29">(2*C67)-(C68+C66)</f>
        <v>#DIV/0!</v>
      </c>
      <c r="D72" s="214" t="e">
        <f t="shared" si="29"/>
        <v>#DIV/0!</v>
      </c>
      <c r="E72" s="214" t="e">
        <f t="shared" si="29"/>
        <v>#DIV/0!</v>
      </c>
      <c r="F72" s="214" t="e">
        <f t="shared" si="29"/>
        <v>#DIV/0!</v>
      </c>
      <c r="G72" s="214" t="e">
        <f t="shared" si="29"/>
        <v>#DIV/0!</v>
      </c>
      <c r="H72" s="214" t="e">
        <f t="shared" si="29"/>
        <v>#DIV/0!</v>
      </c>
      <c r="I72" s="214" t="e">
        <f t="shared" si="29"/>
        <v>#DIV/0!</v>
      </c>
      <c r="J72" s="214" t="e">
        <f t="shared" si="29"/>
        <v>#DIV/0!</v>
      </c>
      <c r="K72" s="214" t="e">
        <f t="shared" si="29"/>
        <v>#DIV/0!</v>
      </c>
      <c r="L72" s="214" t="e">
        <f t="shared" si="29"/>
        <v>#DIV/0!</v>
      </c>
      <c r="M72" s="214" t="e">
        <f t="shared" si="29"/>
        <v>#DIV/0!</v>
      </c>
      <c r="N72" s="214" t="e">
        <f t="shared" si="29"/>
        <v>#DIV/0!</v>
      </c>
      <c r="O72" s="214" t="e">
        <f t="shared" si="29"/>
        <v>#DIV/0!</v>
      </c>
      <c r="P72" s="214" t="e">
        <f t="shared" si="29"/>
        <v>#DIV/0!</v>
      </c>
      <c r="Q72" s="214" t="e">
        <f t="shared" si="29"/>
        <v>#DIV/0!</v>
      </c>
      <c r="R72" s="214" t="e">
        <f t="shared" si="29"/>
        <v>#DIV/0!</v>
      </c>
      <c r="S72" s="214" t="e">
        <f t="shared" si="29"/>
        <v>#DIV/0!</v>
      </c>
    </row>
    <row r="73" spans="1:19" ht="16.8" x14ac:dyDescent="0.3">
      <c r="A73" s="225" t="s">
        <v>318</v>
      </c>
      <c r="B73" s="226">
        <v>11</v>
      </c>
      <c r="C73" s="226">
        <v>12</v>
      </c>
      <c r="D73" s="226">
        <v>13</v>
      </c>
      <c r="E73" s="226">
        <v>14</v>
      </c>
      <c r="F73" s="226">
        <v>15</v>
      </c>
      <c r="G73" s="226">
        <v>16</v>
      </c>
      <c r="H73" s="226">
        <v>17</v>
      </c>
      <c r="I73" s="226">
        <v>18</v>
      </c>
      <c r="J73" s="226">
        <v>19</v>
      </c>
      <c r="K73" s="226">
        <v>20</v>
      </c>
      <c r="L73" s="226">
        <v>21</v>
      </c>
      <c r="M73" s="226">
        <v>22</v>
      </c>
      <c r="N73" s="226">
        <v>23</v>
      </c>
      <c r="O73" s="226">
        <v>24</v>
      </c>
      <c r="P73" s="226">
        <v>25</v>
      </c>
      <c r="Q73" s="226">
        <v>26</v>
      </c>
      <c r="R73" s="226">
        <v>27</v>
      </c>
      <c r="S73" s="226">
        <v>28</v>
      </c>
    </row>
    <row r="74" spans="1:19" ht="16.8" x14ac:dyDescent="0.3">
      <c r="A74" s="215" t="s">
        <v>345</v>
      </c>
      <c r="B74" s="214">
        <f>B57-B73</f>
        <v>-7.4197000000000006</v>
      </c>
      <c r="C74" s="214">
        <f t="shared" ref="C74:S74" si="30">C57-C73</f>
        <v>-8.4197000000000006</v>
      </c>
      <c r="D74" s="214">
        <f t="shared" si="30"/>
        <v>-9.4197000000000006</v>
      </c>
      <c r="E74" s="214">
        <f t="shared" si="30"/>
        <v>-10.419700000000001</v>
      </c>
      <c r="F74" s="214">
        <f t="shared" si="30"/>
        <v>-11.419700000000001</v>
      </c>
      <c r="G74" s="214">
        <f t="shared" si="30"/>
        <v>-12.419700000000001</v>
      </c>
      <c r="H74" s="214">
        <f t="shared" si="30"/>
        <v>-13.419700000000001</v>
      </c>
      <c r="I74" s="214">
        <f t="shared" si="30"/>
        <v>-14.419700000000001</v>
      </c>
      <c r="J74" s="214">
        <f t="shared" si="30"/>
        <v>-15.419700000000001</v>
      </c>
      <c r="K74" s="214">
        <f t="shared" si="30"/>
        <v>-16.419699999999999</v>
      </c>
      <c r="L74" s="214">
        <f t="shared" si="30"/>
        <v>-17.419699999999999</v>
      </c>
      <c r="M74" s="214">
        <f t="shared" si="30"/>
        <v>-18.419699999999999</v>
      </c>
      <c r="N74" s="214">
        <f t="shared" si="30"/>
        <v>-19.419699999999999</v>
      </c>
      <c r="O74" s="214">
        <f t="shared" si="30"/>
        <v>-20.419699999999999</v>
      </c>
      <c r="P74" s="214">
        <f t="shared" si="30"/>
        <v>-21.419699999999999</v>
      </c>
      <c r="Q74" s="214">
        <f t="shared" si="30"/>
        <v>-22.419699999999999</v>
      </c>
      <c r="R74" s="214">
        <f t="shared" si="30"/>
        <v>-23.419699999999999</v>
      </c>
      <c r="S74" s="214">
        <f t="shared" si="30"/>
        <v>-24.419699999999999</v>
      </c>
    </row>
    <row r="75" spans="1:19" ht="16.8" x14ac:dyDescent="0.3">
      <c r="A75" s="216" t="s">
        <v>346</v>
      </c>
      <c r="B75" s="214">
        <f t="shared" ref="B75:S75" si="31">(B7*B74)/100</f>
        <v>0</v>
      </c>
      <c r="C75" s="214">
        <f t="shared" si="31"/>
        <v>0</v>
      </c>
      <c r="D75" s="214">
        <f t="shared" si="31"/>
        <v>0</v>
      </c>
      <c r="E75" s="214">
        <f t="shared" si="31"/>
        <v>0</v>
      </c>
      <c r="F75" s="214">
        <f t="shared" si="31"/>
        <v>0</v>
      </c>
      <c r="G75" s="214">
        <f t="shared" si="31"/>
        <v>0</v>
      </c>
      <c r="H75" s="214">
        <f t="shared" si="31"/>
        <v>0</v>
      </c>
      <c r="I75" s="214">
        <f t="shared" si="31"/>
        <v>0</v>
      </c>
      <c r="J75" s="214">
        <f t="shared" si="31"/>
        <v>0</v>
      </c>
      <c r="K75" s="214">
        <f t="shared" si="31"/>
        <v>0</v>
      </c>
      <c r="L75" s="214">
        <f t="shared" si="31"/>
        <v>0</v>
      </c>
      <c r="M75" s="214">
        <f t="shared" si="31"/>
        <v>0</v>
      </c>
      <c r="N75" s="214">
        <f t="shared" si="31"/>
        <v>0</v>
      </c>
      <c r="O75" s="214">
        <f t="shared" si="31"/>
        <v>0</v>
      </c>
      <c r="P75" s="214">
        <f t="shared" si="31"/>
        <v>0</v>
      </c>
      <c r="Q75" s="214">
        <f t="shared" si="31"/>
        <v>0</v>
      </c>
      <c r="R75" s="214">
        <f t="shared" si="31"/>
        <v>0</v>
      </c>
      <c r="S75" s="214">
        <f t="shared" si="31"/>
        <v>0</v>
      </c>
    </row>
    <row r="76" spans="1:19" ht="16.8" x14ac:dyDescent="0.3">
      <c r="A76" s="106" t="s">
        <v>80</v>
      </c>
      <c r="B76" s="112">
        <f>(B58)/(1-B73/100)</f>
        <v>0</v>
      </c>
      <c r="C76" s="112">
        <f t="shared" ref="C76:S76" si="32">(C58)/(1-C73/100)</f>
        <v>0</v>
      </c>
      <c r="D76" s="112">
        <f t="shared" si="32"/>
        <v>0</v>
      </c>
      <c r="E76" s="112">
        <f t="shared" si="32"/>
        <v>0</v>
      </c>
      <c r="F76" s="112">
        <f t="shared" si="32"/>
        <v>0</v>
      </c>
      <c r="G76" s="112">
        <f t="shared" si="32"/>
        <v>0</v>
      </c>
      <c r="H76" s="112">
        <f t="shared" si="32"/>
        <v>0</v>
      </c>
      <c r="I76" s="112">
        <f t="shared" si="32"/>
        <v>0</v>
      </c>
      <c r="J76" s="112">
        <f t="shared" si="32"/>
        <v>0</v>
      </c>
      <c r="K76" s="112">
        <f t="shared" si="32"/>
        <v>0</v>
      </c>
      <c r="L76" s="112">
        <f t="shared" si="32"/>
        <v>0</v>
      </c>
      <c r="M76" s="112">
        <f t="shared" si="32"/>
        <v>0</v>
      </c>
      <c r="N76" s="112">
        <f t="shared" si="32"/>
        <v>0</v>
      </c>
      <c r="O76" s="112">
        <f t="shared" si="32"/>
        <v>0</v>
      </c>
      <c r="P76" s="112">
        <f t="shared" si="32"/>
        <v>0</v>
      </c>
      <c r="Q76" s="112">
        <f t="shared" si="32"/>
        <v>0</v>
      </c>
      <c r="R76" s="112">
        <f t="shared" si="32"/>
        <v>0</v>
      </c>
      <c r="S76" s="112">
        <f t="shared" si="32"/>
        <v>0</v>
      </c>
    </row>
    <row r="77" spans="1:19" ht="16.8" x14ac:dyDescent="0.3">
      <c r="A77" s="219" t="s">
        <v>349</v>
      </c>
      <c r="B77" s="214">
        <f>B75/0.8</f>
        <v>0</v>
      </c>
      <c r="C77" s="214">
        <f t="shared" ref="C77:S77" si="33">C75/0.8</f>
        <v>0</v>
      </c>
      <c r="D77" s="214">
        <f t="shared" si="33"/>
        <v>0</v>
      </c>
      <c r="E77" s="214">
        <f t="shared" si="33"/>
        <v>0</v>
      </c>
      <c r="F77" s="214">
        <f t="shared" si="33"/>
        <v>0</v>
      </c>
      <c r="G77" s="214">
        <f t="shared" si="33"/>
        <v>0</v>
      </c>
      <c r="H77" s="214">
        <f t="shared" si="33"/>
        <v>0</v>
      </c>
      <c r="I77" s="214">
        <f t="shared" si="33"/>
        <v>0</v>
      </c>
      <c r="J77" s="214">
        <f t="shared" si="33"/>
        <v>0</v>
      </c>
      <c r="K77" s="214">
        <f t="shared" si="33"/>
        <v>0</v>
      </c>
      <c r="L77" s="214">
        <f t="shared" si="33"/>
        <v>0</v>
      </c>
      <c r="M77" s="214">
        <f t="shared" si="33"/>
        <v>0</v>
      </c>
      <c r="N77" s="214">
        <f t="shared" si="33"/>
        <v>0</v>
      </c>
      <c r="O77" s="214">
        <f t="shared" si="33"/>
        <v>0</v>
      </c>
      <c r="P77" s="214">
        <f t="shared" si="33"/>
        <v>0</v>
      </c>
      <c r="Q77" s="214">
        <f t="shared" si="33"/>
        <v>0</v>
      </c>
      <c r="R77" s="214">
        <f t="shared" si="33"/>
        <v>0</v>
      </c>
      <c r="S77" s="214">
        <f t="shared" si="33"/>
        <v>0</v>
      </c>
    </row>
    <row r="78" spans="1:19" ht="16.8" x14ac:dyDescent="0.3">
      <c r="A78" s="103" t="s">
        <v>319</v>
      </c>
      <c r="B78" s="111">
        <f t="shared" ref="B78:S78" si="34">B7-B76</f>
        <v>0</v>
      </c>
      <c r="C78" s="111">
        <f t="shared" si="34"/>
        <v>0</v>
      </c>
      <c r="D78" s="111">
        <f t="shared" si="34"/>
        <v>0</v>
      </c>
      <c r="E78" s="111">
        <f t="shared" si="34"/>
        <v>0</v>
      </c>
      <c r="F78" s="111">
        <f t="shared" si="34"/>
        <v>0</v>
      </c>
      <c r="G78" s="111">
        <f t="shared" si="34"/>
        <v>0</v>
      </c>
      <c r="H78" s="111">
        <f t="shared" si="34"/>
        <v>0</v>
      </c>
      <c r="I78" s="111">
        <f t="shared" si="34"/>
        <v>0</v>
      </c>
      <c r="J78" s="111">
        <f t="shared" si="34"/>
        <v>0</v>
      </c>
      <c r="K78" s="111">
        <f t="shared" si="34"/>
        <v>0</v>
      </c>
      <c r="L78" s="111">
        <f t="shared" si="34"/>
        <v>0</v>
      </c>
      <c r="M78" s="111">
        <f t="shared" si="34"/>
        <v>0</v>
      </c>
      <c r="N78" s="111">
        <f t="shared" si="34"/>
        <v>0</v>
      </c>
      <c r="O78" s="111">
        <f t="shared" si="34"/>
        <v>0</v>
      </c>
      <c r="P78" s="111">
        <f t="shared" si="34"/>
        <v>0</v>
      </c>
      <c r="Q78" s="111">
        <f t="shared" si="34"/>
        <v>0</v>
      </c>
      <c r="R78" s="111">
        <f t="shared" si="34"/>
        <v>0</v>
      </c>
      <c r="S78" s="111">
        <f t="shared" si="34"/>
        <v>0</v>
      </c>
    </row>
    <row r="79" spans="1:19" ht="16.8" x14ac:dyDescent="0.3">
      <c r="A79" s="217" t="s">
        <v>347</v>
      </c>
      <c r="B79" s="111">
        <f>(B77*0.8)*1000</f>
        <v>0</v>
      </c>
      <c r="C79" s="111">
        <f t="shared" ref="C79:S79" si="35">(C77*0.8)*1000</f>
        <v>0</v>
      </c>
      <c r="D79" s="111">
        <f t="shared" si="35"/>
        <v>0</v>
      </c>
      <c r="E79" s="111">
        <f t="shared" si="35"/>
        <v>0</v>
      </c>
      <c r="F79" s="111">
        <f t="shared" si="35"/>
        <v>0</v>
      </c>
      <c r="G79" s="111">
        <f t="shared" si="35"/>
        <v>0</v>
      </c>
      <c r="H79" s="111">
        <f t="shared" si="35"/>
        <v>0</v>
      </c>
      <c r="I79" s="111">
        <f t="shared" si="35"/>
        <v>0</v>
      </c>
      <c r="J79" s="111">
        <f t="shared" si="35"/>
        <v>0</v>
      </c>
      <c r="K79" s="111">
        <f t="shared" si="35"/>
        <v>0</v>
      </c>
      <c r="L79" s="111">
        <f t="shared" si="35"/>
        <v>0</v>
      </c>
      <c r="M79" s="111">
        <f t="shared" si="35"/>
        <v>0</v>
      </c>
      <c r="N79" s="111">
        <f t="shared" si="35"/>
        <v>0</v>
      </c>
      <c r="O79" s="111">
        <f t="shared" si="35"/>
        <v>0</v>
      </c>
      <c r="P79" s="111">
        <f t="shared" si="35"/>
        <v>0</v>
      </c>
      <c r="Q79" s="111">
        <f t="shared" si="35"/>
        <v>0</v>
      </c>
      <c r="R79" s="111">
        <f t="shared" si="35"/>
        <v>0</v>
      </c>
      <c r="S79" s="111">
        <f t="shared" si="35"/>
        <v>0</v>
      </c>
    </row>
    <row r="80" spans="1:19" ht="16.8" x14ac:dyDescent="0.3">
      <c r="A80" s="217" t="s">
        <v>348</v>
      </c>
      <c r="B80" s="111">
        <f>(B77*0.2)*1000</f>
        <v>0</v>
      </c>
      <c r="C80" s="111">
        <f t="shared" ref="C80:S80" si="36">(C77*0.2)*1000</f>
        <v>0</v>
      </c>
      <c r="D80" s="111">
        <f t="shared" si="36"/>
        <v>0</v>
      </c>
      <c r="E80" s="111">
        <f t="shared" si="36"/>
        <v>0</v>
      </c>
      <c r="F80" s="111">
        <f t="shared" si="36"/>
        <v>0</v>
      </c>
      <c r="G80" s="111">
        <f t="shared" si="36"/>
        <v>0</v>
      </c>
      <c r="H80" s="111">
        <f t="shared" si="36"/>
        <v>0</v>
      </c>
      <c r="I80" s="111">
        <f t="shared" si="36"/>
        <v>0</v>
      </c>
      <c r="J80" s="111">
        <f t="shared" si="36"/>
        <v>0</v>
      </c>
      <c r="K80" s="111">
        <f t="shared" si="36"/>
        <v>0</v>
      </c>
      <c r="L80" s="111">
        <f t="shared" si="36"/>
        <v>0</v>
      </c>
      <c r="M80" s="111">
        <f t="shared" si="36"/>
        <v>0</v>
      </c>
      <c r="N80" s="111">
        <f t="shared" si="36"/>
        <v>0</v>
      </c>
      <c r="O80" s="111">
        <f t="shared" si="36"/>
        <v>0</v>
      </c>
      <c r="P80" s="111">
        <f t="shared" si="36"/>
        <v>0</v>
      </c>
      <c r="Q80" s="111">
        <f t="shared" si="36"/>
        <v>0</v>
      </c>
      <c r="R80" s="111">
        <f t="shared" si="36"/>
        <v>0</v>
      </c>
      <c r="S80" s="111">
        <f t="shared" si="36"/>
        <v>0</v>
      </c>
    </row>
    <row r="81" spans="1:19" x14ac:dyDescent="0.3">
      <c r="A81" s="220" t="s">
        <v>350</v>
      </c>
      <c r="B81" s="111">
        <f t="shared" ref="B81:S81" si="37">(B7*0.6)*10</f>
        <v>0</v>
      </c>
      <c r="C81" s="111">
        <f t="shared" si="37"/>
        <v>0</v>
      </c>
      <c r="D81" s="111">
        <f t="shared" si="37"/>
        <v>0</v>
      </c>
      <c r="E81" s="111">
        <f t="shared" si="37"/>
        <v>0</v>
      </c>
      <c r="F81" s="111">
        <f t="shared" si="37"/>
        <v>0</v>
      </c>
      <c r="G81" s="111">
        <f t="shared" si="37"/>
        <v>0</v>
      </c>
      <c r="H81" s="111">
        <f t="shared" si="37"/>
        <v>0</v>
      </c>
      <c r="I81" s="111">
        <f t="shared" si="37"/>
        <v>0</v>
      </c>
      <c r="J81" s="111">
        <f t="shared" si="37"/>
        <v>0</v>
      </c>
      <c r="K81" s="111">
        <f t="shared" si="37"/>
        <v>0</v>
      </c>
      <c r="L81" s="111">
        <f t="shared" si="37"/>
        <v>0</v>
      </c>
      <c r="M81" s="111">
        <f t="shared" si="37"/>
        <v>0</v>
      </c>
      <c r="N81" s="111">
        <f t="shared" si="37"/>
        <v>0</v>
      </c>
      <c r="O81" s="111">
        <f t="shared" si="37"/>
        <v>0</v>
      </c>
      <c r="P81" s="111">
        <f t="shared" si="37"/>
        <v>0</v>
      </c>
      <c r="Q81" s="111">
        <f t="shared" si="37"/>
        <v>0</v>
      </c>
      <c r="R81" s="111">
        <f t="shared" si="37"/>
        <v>0</v>
      </c>
      <c r="S81" s="111">
        <f t="shared" si="37"/>
        <v>0</v>
      </c>
    </row>
    <row r="82" spans="1:19" x14ac:dyDescent="0.3">
      <c r="A82" s="220" t="s">
        <v>351</v>
      </c>
      <c r="B82" s="111">
        <f>B81*4</f>
        <v>0</v>
      </c>
      <c r="C82" s="111">
        <f t="shared" ref="C82:S82" si="38">C81*4</f>
        <v>0</v>
      </c>
      <c r="D82" s="111">
        <f t="shared" si="38"/>
        <v>0</v>
      </c>
      <c r="E82" s="111">
        <f t="shared" si="38"/>
        <v>0</v>
      </c>
      <c r="F82" s="111">
        <f t="shared" si="38"/>
        <v>0</v>
      </c>
      <c r="G82" s="111">
        <f t="shared" si="38"/>
        <v>0</v>
      </c>
      <c r="H82" s="111">
        <f t="shared" si="38"/>
        <v>0</v>
      </c>
      <c r="I82" s="111">
        <f t="shared" si="38"/>
        <v>0</v>
      </c>
      <c r="J82" s="111">
        <f t="shared" si="38"/>
        <v>0</v>
      </c>
      <c r="K82" s="111">
        <f t="shared" si="38"/>
        <v>0</v>
      </c>
      <c r="L82" s="111">
        <f t="shared" si="38"/>
        <v>0</v>
      </c>
      <c r="M82" s="111">
        <f t="shared" si="38"/>
        <v>0</v>
      </c>
      <c r="N82" s="111">
        <f t="shared" si="38"/>
        <v>0</v>
      </c>
      <c r="O82" s="111">
        <f t="shared" si="38"/>
        <v>0</v>
      </c>
      <c r="P82" s="111">
        <f t="shared" si="38"/>
        <v>0</v>
      </c>
      <c r="Q82" s="111">
        <f t="shared" si="38"/>
        <v>0</v>
      </c>
      <c r="R82" s="111">
        <f t="shared" si="38"/>
        <v>0</v>
      </c>
      <c r="S82" s="111">
        <f t="shared" si="38"/>
        <v>0</v>
      </c>
    </row>
    <row r="83" spans="1:19" x14ac:dyDescent="0.3">
      <c r="A83" s="220" t="s">
        <v>352</v>
      </c>
      <c r="B83" s="111">
        <f>B81*0.8</f>
        <v>0</v>
      </c>
      <c r="C83" s="111">
        <f t="shared" ref="C83:S83" si="39">C81*0.8</f>
        <v>0</v>
      </c>
      <c r="D83" s="111">
        <f t="shared" si="39"/>
        <v>0</v>
      </c>
      <c r="E83" s="111">
        <f t="shared" si="39"/>
        <v>0</v>
      </c>
      <c r="F83" s="111">
        <f t="shared" si="39"/>
        <v>0</v>
      </c>
      <c r="G83" s="111">
        <f t="shared" si="39"/>
        <v>0</v>
      </c>
      <c r="H83" s="111">
        <f t="shared" si="39"/>
        <v>0</v>
      </c>
      <c r="I83" s="111">
        <f t="shared" si="39"/>
        <v>0</v>
      </c>
      <c r="J83" s="111">
        <f t="shared" si="39"/>
        <v>0</v>
      </c>
      <c r="K83" s="111">
        <f t="shared" si="39"/>
        <v>0</v>
      </c>
      <c r="L83" s="111">
        <f t="shared" si="39"/>
        <v>0</v>
      </c>
      <c r="M83" s="111">
        <f t="shared" si="39"/>
        <v>0</v>
      </c>
      <c r="N83" s="111">
        <f t="shared" si="39"/>
        <v>0</v>
      </c>
      <c r="O83" s="111">
        <f t="shared" si="39"/>
        <v>0</v>
      </c>
      <c r="P83" s="111">
        <f t="shared" si="39"/>
        <v>0</v>
      </c>
      <c r="Q83" s="111">
        <f t="shared" si="39"/>
        <v>0</v>
      </c>
      <c r="R83" s="111">
        <f t="shared" si="39"/>
        <v>0</v>
      </c>
      <c r="S83" s="111">
        <f t="shared" si="39"/>
        <v>0</v>
      </c>
    </row>
    <row r="84" spans="1:19" x14ac:dyDescent="0.3">
      <c r="A84" s="220" t="s">
        <v>353</v>
      </c>
      <c r="B84" s="111">
        <f>B81*0.2</f>
        <v>0</v>
      </c>
      <c r="C84" s="111">
        <f t="shared" ref="C84:S84" si="40">C81*0.2</f>
        <v>0</v>
      </c>
      <c r="D84" s="111">
        <f t="shared" si="40"/>
        <v>0</v>
      </c>
      <c r="E84" s="111">
        <f t="shared" si="40"/>
        <v>0</v>
      </c>
      <c r="F84" s="111">
        <f t="shared" si="40"/>
        <v>0</v>
      </c>
      <c r="G84" s="111">
        <f t="shared" si="40"/>
        <v>0</v>
      </c>
      <c r="H84" s="111">
        <f t="shared" si="40"/>
        <v>0</v>
      </c>
      <c r="I84" s="111">
        <f t="shared" si="40"/>
        <v>0</v>
      </c>
      <c r="J84" s="111">
        <f t="shared" si="40"/>
        <v>0</v>
      </c>
      <c r="K84" s="111">
        <f t="shared" si="40"/>
        <v>0</v>
      </c>
      <c r="L84" s="111">
        <f t="shared" si="40"/>
        <v>0</v>
      </c>
      <c r="M84" s="111">
        <f t="shared" si="40"/>
        <v>0</v>
      </c>
      <c r="N84" s="111">
        <f t="shared" si="40"/>
        <v>0</v>
      </c>
      <c r="O84" s="111">
        <f t="shared" si="40"/>
        <v>0</v>
      </c>
      <c r="P84" s="111">
        <f t="shared" si="40"/>
        <v>0</v>
      </c>
      <c r="Q84" s="111">
        <f t="shared" si="40"/>
        <v>0</v>
      </c>
      <c r="R84" s="111">
        <f t="shared" si="40"/>
        <v>0</v>
      </c>
      <c r="S84" s="111">
        <f t="shared" si="40"/>
        <v>0</v>
      </c>
    </row>
    <row r="85" spans="1:19" x14ac:dyDescent="0.3">
      <c r="A85" s="221" t="s">
        <v>490</v>
      </c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</row>
    <row r="86" spans="1:19" ht="16.8" x14ac:dyDescent="0.3">
      <c r="A86" s="222" t="s">
        <v>354</v>
      </c>
      <c r="B86" s="110" t="e">
        <f>(B77/B81)*1000</f>
        <v>#DIV/0!</v>
      </c>
      <c r="C86" s="110" t="e">
        <f t="shared" ref="C86:S86" si="41">(C77/C81)*1000</f>
        <v>#DIV/0!</v>
      </c>
      <c r="D86" s="110" t="e">
        <f t="shared" si="41"/>
        <v>#DIV/0!</v>
      </c>
      <c r="E86" s="110" t="e">
        <f t="shared" si="41"/>
        <v>#DIV/0!</v>
      </c>
      <c r="F86" s="110" t="e">
        <f t="shared" si="41"/>
        <v>#DIV/0!</v>
      </c>
      <c r="G86" s="110" t="e">
        <f t="shared" si="41"/>
        <v>#DIV/0!</v>
      </c>
      <c r="H86" s="110" t="e">
        <f t="shared" si="41"/>
        <v>#DIV/0!</v>
      </c>
      <c r="I86" s="110" t="e">
        <f t="shared" si="41"/>
        <v>#DIV/0!</v>
      </c>
      <c r="J86" s="110" t="e">
        <f t="shared" si="41"/>
        <v>#DIV/0!</v>
      </c>
      <c r="K86" s="110" t="e">
        <f t="shared" si="41"/>
        <v>#DIV/0!</v>
      </c>
      <c r="L86" s="110" t="e">
        <f t="shared" si="41"/>
        <v>#DIV/0!</v>
      </c>
      <c r="M86" s="110" t="e">
        <f t="shared" si="41"/>
        <v>#DIV/0!</v>
      </c>
      <c r="N86" s="110" t="e">
        <f t="shared" si="41"/>
        <v>#DIV/0!</v>
      </c>
      <c r="O86" s="110" t="e">
        <f t="shared" si="41"/>
        <v>#DIV/0!</v>
      </c>
      <c r="P86" s="110" t="e">
        <f t="shared" si="41"/>
        <v>#DIV/0!</v>
      </c>
      <c r="Q86" s="110" t="e">
        <f t="shared" si="41"/>
        <v>#DIV/0!</v>
      </c>
      <c r="R86" s="110" t="e">
        <f t="shared" si="41"/>
        <v>#DIV/0!</v>
      </c>
      <c r="S86" s="110" t="e">
        <f t="shared" si="41"/>
        <v>#DIV/0!</v>
      </c>
    </row>
    <row r="87" spans="1:19" ht="16.8" x14ac:dyDescent="0.35">
      <c r="A87" s="222" t="s">
        <v>355</v>
      </c>
      <c r="B87" s="258" t="e">
        <f>B86/4</f>
        <v>#DIV/0!</v>
      </c>
      <c r="C87" s="258" t="e">
        <f t="shared" ref="C87:S87" si="42">C86/4</f>
        <v>#DIV/0!</v>
      </c>
      <c r="D87" s="258" t="e">
        <f t="shared" si="42"/>
        <v>#DIV/0!</v>
      </c>
      <c r="E87" s="258" t="e">
        <f t="shared" si="42"/>
        <v>#DIV/0!</v>
      </c>
      <c r="F87" s="258" t="e">
        <f t="shared" si="42"/>
        <v>#DIV/0!</v>
      </c>
      <c r="G87" s="258" t="e">
        <f t="shared" si="42"/>
        <v>#DIV/0!</v>
      </c>
      <c r="H87" s="258" t="e">
        <f t="shared" si="42"/>
        <v>#DIV/0!</v>
      </c>
      <c r="I87" s="258" t="e">
        <f t="shared" si="42"/>
        <v>#DIV/0!</v>
      </c>
      <c r="J87" s="258" t="e">
        <f t="shared" si="42"/>
        <v>#DIV/0!</v>
      </c>
      <c r="K87" s="258" t="e">
        <f t="shared" si="42"/>
        <v>#DIV/0!</v>
      </c>
      <c r="L87" s="258" t="e">
        <f t="shared" si="42"/>
        <v>#DIV/0!</v>
      </c>
      <c r="M87" s="258" t="e">
        <f t="shared" si="42"/>
        <v>#DIV/0!</v>
      </c>
      <c r="N87" s="258" t="e">
        <f t="shared" si="42"/>
        <v>#DIV/0!</v>
      </c>
      <c r="O87" s="258" t="e">
        <f t="shared" si="42"/>
        <v>#DIV/0!</v>
      </c>
      <c r="P87" s="258" t="e">
        <f t="shared" si="42"/>
        <v>#DIV/0!</v>
      </c>
      <c r="Q87" s="258" t="e">
        <f t="shared" si="42"/>
        <v>#DIV/0!</v>
      </c>
      <c r="R87" s="258" t="e">
        <f t="shared" si="42"/>
        <v>#DIV/0!</v>
      </c>
      <c r="S87" s="258" t="e">
        <f t="shared" si="42"/>
        <v>#DIV/0!</v>
      </c>
    </row>
    <row r="88" spans="1:19" ht="15" x14ac:dyDescent="0.35">
      <c r="A88" s="223" t="s">
        <v>356</v>
      </c>
      <c r="B88" s="257">
        <f>(B83*0.87)*9</f>
        <v>0</v>
      </c>
      <c r="C88" s="257">
        <f t="shared" ref="C88:S88" si="43">(C83*0.87)*9</f>
        <v>0</v>
      </c>
      <c r="D88" s="257">
        <f t="shared" si="43"/>
        <v>0</v>
      </c>
      <c r="E88" s="257">
        <f t="shared" si="43"/>
        <v>0</v>
      </c>
      <c r="F88" s="257">
        <f t="shared" si="43"/>
        <v>0</v>
      </c>
      <c r="G88" s="257">
        <f t="shared" si="43"/>
        <v>0</v>
      </c>
      <c r="H88" s="257">
        <f t="shared" si="43"/>
        <v>0</v>
      </c>
      <c r="I88" s="257">
        <f t="shared" si="43"/>
        <v>0</v>
      </c>
      <c r="J88" s="257">
        <f t="shared" si="43"/>
        <v>0</v>
      </c>
      <c r="K88" s="257">
        <f t="shared" si="43"/>
        <v>0</v>
      </c>
      <c r="L88" s="257">
        <f t="shared" si="43"/>
        <v>0</v>
      </c>
      <c r="M88" s="257">
        <f t="shared" si="43"/>
        <v>0</v>
      </c>
      <c r="N88" s="257">
        <f t="shared" si="43"/>
        <v>0</v>
      </c>
      <c r="O88" s="257">
        <f t="shared" si="43"/>
        <v>0</v>
      </c>
      <c r="P88" s="257">
        <f t="shared" si="43"/>
        <v>0</v>
      </c>
      <c r="Q88" s="257">
        <f t="shared" si="43"/>
        <v>0</v>
      </c>
      <c r="R88" s="257">
        <f t="shared" si="43"/>
        <v>0</v>
      </c>
      <c r="S88" s="257">
        <f t="shared" si="43"/>
        <v>0</v>
      </c>
    </row>
    <row r="89" spans="1:19" ht="15" x14ac:dyDescent="0.35">
      <c r="A89" s="223" t="s">
        <v>357</v>
      </c>
      <c r="B89" s="257">
        <f>(B84*0.3)*4</f>
        <v>0</v>
      </c>
      <c r="C89" s="257">
        <f t="shared" ref="C89:S89" si="44">(C84*0.3)*4</f>
        <v>0</v>
      </c>
      <c r="D89" s="257">
        <f t="shared" si="44"/>
        <v>0</v>
      </c>
      <c r="E89" s="257">
        <f t="shared" si="44"/>
        <v>0</v>
      </c>
      <c r="F89" s="257">
        <f t="shared" si="44"/>
        <v>0</v>
      </c>
      <c r="G89" s="257">
        <f t="shared" si="44"/>
        <v>0</v>
      </c>
      <c r="H89" s="257">
        <f t="shared" si="44"/>
        <v>0</v>
      </c>
      <c r="I89" s="257">
        <f t="shared" si="44"/>
        <v>0</v>
      </c>
      <c r="J89" s="257">
        <f t="shared" si="44"/>
        <v>0</v>
      </c>
      <c r="K89" s="257">
        <f t="shared" si="44"/>
        <v>0</v>
      </c>
      <c r="L89" s="257">
        <f t="shared" si="44"/>
        <v>0</v>
      </c>
      <c r="M89" s="257">
        <f t="shared" si="44"/>
        <v>0</v>
      </c>
      <c r="N89" s="257">
        <f t="shared" si="44"/>
        <v>0</v>
      </c>
      <c r="O89" s="257">
        <f t="shared" si="44"/>
        <v>0</v>
      </c>
      <c r="P89" s="257">
        <f t="shared" si="44"/>
        <v>0</v>
      </c>
      <c r="Q89" s="257">
        <f t="shared" si="44"/>
        <v>0</v>
      </c>
      <c r="R89" s="257">
        <f t="shared" si="44"/>
        <v>0</v>
      </c>
      <c r="S89" s="257">
        <f t="shared" si="44"/>
        <v>0</v>
      </c>
    </row>
    <row r="90" spans="1:19" ht="16.8" x14ac:dyDescent="0.35">
      <c r="A90" s="301" t="s">
        <v>358</v>
      </c>
      <c r="B90" s="302">
        <f>(B88+B89)/7</f>
        <v>0</v>
      </c>
      <c r="C90" s="302">
        <f t="shared" ref="C90:S90" si="45">(C88+C89)/7</f>
        <v>0</v>
      </c>
      <c r="D90" s="302">
        <f t="shared" si="45"/>
        <v>0</v>
      </c>
      <c r="E90" s="302">
        <f t="shared" si="45"/>
        <v>0</v>
      </c>
      <c r="F90" s="302">
        <f t="shared" si="45"/>
        <v>0</v>
      </c>
      <c r="G90" s="302">
        <f t="shared" si="45"/>
        <v>0</v>
      </c>
      <c r="H90" s="302">
        <f t="shared" si="45"/>
        <v>0</v>
      </c>
      <c r="I90" s="302">
        <f t="shared" si="45"/>
        <v>0</v>
      </c>
      <c r="J90" s="302">
        <f t="shared" si="45"/>
        <v>0</v>
      </c>
      <c r="K90" s="302">
        <f t="shared" si="45"/>
        <v>0</v>
      </c>
      <c r="L90" s="302">
        <f t="shared" si="45"/>
        <v>0</v>
      </c>
      <c r="M90" s="302">
        <f t="shared" si="45"/>
        <v>0</v>
      </c>
      <c r="N90" s="302">
        <f t="shared" si="45"/>
        <v>0</v>
      </c>
      <c r="O90" s="302">
        <f t="shared" si="45"/>
        <v>0</v>
      </c>
      <c r="P90" s="302">
        <f t="shared" si="45"/>
        <v>0</v>
      </c>
      <c r="Q90" s="302">
        <f t="shared" si="45"/>
        <v>0</v>
      </c>
      <c r="R90" s="302">
        <f t="shared" si="45"/>
        <v>0</v>
      </c>
      <c r="S90" s="302">
        <f t="shared" si="45"/>
        <v>0</v>
      </c>
    </row>
    <row r="91" spans="1:19" x14ac:dyDescent="0.3">
      <c r="A91" s="201"/>
    </row>
    <row r="92" spans="1:19" x14ac:dyDescent="0.3">
      <c r="A92" s="303" t="s">
        <v>499</v>
      </c>
      <c r="B92" s="304"/>
      <c r="C92" s="304"/>
      <c r="D92" s="304"/>
      <c r="E92" s="304"/>
      <c r="F92" s="304"/>
      <c r="G92" s="304"/>
      <c r="H92" s="304"/>
      <c r="I92" s="304"/>
      <c r="J92" s="304"/>
      <c r="K92" s="304"/>
      <c r="L92" s="304"/>
      <c r="M92" s="304"/>
      <c r="N92" s="304"/>
      <c r="O92" s="304"/>
      <c r="P92" s="304"/>
      <c r="Q92" s="304"/>
      <c r="R92" s="304"/>
      <c r="S92" s="304"/>
    </row>
    <row r="93" spans="1:19" ht="15" x14ac:dyDescent="0.35">
      <c r="A93" s="296" t="s">
        <v>500</v>
      </c>
      <c r="B93" s="258">
        <f>B24+B23+B26</f>
        <v>0</v>
      </c>
      <c r="C93" s="258">
        <f t="shared" ref="C93:S93" si="46">C24+C23+C26</f>
        <v>0</v>
      </c>
      <c r="D93" s="258">
        <f t="shared" si="46"/>
        <v>0</v>
      </c>
      <c r="E93" s="258">
        <f t="shared" si="46"/>
        <v>0</v>
      </c>
      <c r="F93" s="258">
        <f t="shared" si="46"/>
        <v>0</v>
      </c>
      <c r="G93" s="258">
        <f t="shared" si="46"/>
        <v>0</v>
      </c>
      <c r="H93" s="258">
        <f t="shared" si="46"/>
        <v>0</v>
      </c>
      <c r="I93" s="258">
        <f t="shared" si="46"/>
        <v>0</v>
      </c>
      <c r="J93" s="258">
        <f t="shared" si="46"/>
        <v>0</v>
      </c>
      <c r="K93" s="258">
        <f t="shared" si="46"/>
        <v>0</v>
      </c>
      <c r="L93" s="258">
        <f t="shared" si="46"/>
        <v>0</v>
      </c>
      <c r="M93" s="258">
        <f t="shared" si="46"/>
        <v>0</v>
      </c>
      <c r="N93" s="258">
        <f t="shared" si="46"/>
        <v>0</v>
      </c>
      <c r="O93" s="258">
        <f t="shared" si="46"/>
        <v>0</v>
      </c>
      <c r="P93" s="258">
        <f t="shared" si="46"/>
        <v>0</v>
      </c>
      <c r="Q93" s="258">
        <f t="shared" si="46"/>
        <v>0</v>
      </c>
      <c r="R93" s="258">
        <f t="shared" si="46"/>
        <v>0</v>
      </c>
      <c r="S93" s="258">
        <f t="shared" si="46"/>
        <v>0</v>
      </c>
    </row>
    <row r="94" spans="1:19" x14ac:dyDescent="0.3">
      <c r="A94" s="296" t="s">
        <v>501</v>
      </c>
      <c r="B94" s="298" t="e">
        <f t="shared" ref="B94:S94" si="47">(170.18/B9)*B93</f>
        <v>#DIV/0!</v>
      </c>
      <c r="C94" s="298" t="e">
        <f t="shared" si="47"/>
        <v>#DIV/0!</v>
      </c>
      <c r="D94" s="298" t="e">
        <f t="shared" si="47"/>
        <v>#DIV/0!</v>
      </c>
      <c r="E94" s="298" t="e">
        <f t="shared" si="47"/>
        <v>#DIV/0!</v>
      </c>
      <c r="F94" s="298" t="e">
        <f t="shared" si="47"/>
        <v>#DIV/0!</v>
      </c>
      <c r="G94" s="298" t="e">
        <f t="shared" si="47"/>
        <v>#DIV/0!</v>
      </c>
      <c r="H94" s="298" t="e">
        <f t="shared" si="47"/>
        <v>#DIV/0!</v>
      </c>
      <c r="I94" s="298" t="e">
        <f t="shared" si="47"/>
        <v>#DIV/0!</v>
      </c>
      <c r="J94" s="298" t="e">
        <f t="shared" si="47"/>
        <v>#DIV/0!</v>
      </c>
      <c r="K94" s="298" t="e">
        <f t="shared" si="47"/>
        <v>#DIV/0!</v>
      </c>
      <c r="L94" s="298" t="e">
        <f t="shared" si="47"/>
        <v>#DIV/0!</v>
      </c>
      <c r="M94" s="298" t="e">
        <f t="shared" si="47"/>
        <v>#DIV/0!</v>
      </c>
      <c r="N94" s="298" t="e">
        <f t="shared" si="47"/>
        <v>#DIV/0!</v>
      </c>
      <c r="O94" s="298" t="e">
        <f t="shared" si="47"/>
        <v>#DIV/0!</v>
      </c>
      <c r="P94" s="298" t="e">
        <f t="shared" si="47"/>
        <v>#DIV/0!</v>
      </c>
      <c r="Q94" s="298" t="e">
        <f t="shared" si="47"/>
        <v>#DIV/0!</v>
      </c>
      <c r="R94" s="298" t="e">
        <f t="shared" si="47"/>
        <v>#DIV/0!</v>
      </c>
      <c r="S94" s="298" t="e">
        <f t="shared" si="47"/>
        <v>#DIV/0!</v>
      </c>
    </row>
    <row r="95" spans="1:19" x14ac:dyDescent="0.3">
      <c r="A95" s="296" t="s">
        <v>502</v>
      </c>
      <c r="B95" s="111" t="e">
        <f>(B94^2)</f>
        <v>#DIV/0!</v>
      </c>
      <c r="C95" s="111" t="e">
        <f t="shared" ref="C95:S95" si="48">(C94^2)</f>
        <v>#DIV/0!</v>
      </c>
      <c r="D95" s="111" t="e">
        <f t="shared" si="48"/>
        <v>#DIV/0!</v>
      </c>
      <c r="E95" s="111" t="e">
        <f t="shared" si="48"/>
        <v>#DIV/0!</v>
      </c>
      <c r="F95" s="111" t="e">
        <f t="shared" si="48"/>
        <v>#DIV/0!</v>
      </c>
      <c r="G95" s="111" t="e">
        <f t="shared" si="48"/>
        <v>#DIV/0!</v>
      </c>
      <c r="H95" s="111" t="e">
        <f t="shared" si="48"/>
        <v>#DIV/0!</v>
      </c>
      <c r="I95" s="111" t="e">
        <f t="shared" si="48"/>
        <v>#DIV/0!</v>
      </c>
      <c r="J95" s="111" t="e">
        <f t="shared" si="48"/>
        <v>#DIV/0!</v>
      </c>
      <c r="K95" s="111" t="e">
        <f t="shared" si="48"/>
        <v>#DIV/0!</v>
      </c>
      <c r="L95" s="111" t="e">
        <f t="shared" si="48"/>
        <v>#DIV/0!</v>
      </c>
      <c r="M95" s="111" t="e">
        <f t="shared" si="48"/>
        <v>#DIV/0!</v>
      </c>
      <c r="N95" s="111" t="e">
        <f t="shared" si="48"/>
        <v>#DIV/0!</v>
      </c>
      <c r="O95" s="111" t="e">
        <f t="shared" si="48"/>
        <v>#DIV/0!</v>
      </c>
      <c r="P95" s="111" t="e">
        <f t="shared" si="48"/>
        <v>#DIV/0!</v>
      </c>
      <c r="Q95" s="111" t="e">
        <f t="shared" si="48"/>
        <v>#DIV/0!</v>
      </c>
      <c r="R95" s="111" t="e">
        <f t="shared" si="48"/>
        <v>#DIV/0!</v>
      </c>
      <c r="S95" s="111" t="e">
        <f t="shared" si="48"/>
        <v>#DIV/0!</v>
      </c>
    </row>
    <row r="96" spans="1:19" x14ac:dyDescent="0.3">
      <c r="A96" s="296" t="s">
        <v>503</v>
      </c>
      <c r="B96" s="111" t="e">
        <f>(B94^3)</f>
        <v>#DIV/0!</v>
      </c>
      <c r="C96" s="111" t="e">
        <f t="shared" ref="C96:S96" si="49">(C94^3)</f>
        <v>#DIV/0!</v>
      </c>
      <c r="D96" s="111" t="e">
        <f t="shared" si="49"/>
        <v>#DIV/0!</v>
      </c>
      <c r="E96" s="111" t="e">
        <f t="shared" si="49"/>
        <v>#DIV/0!</v>
      </c>
      <c r="F96" s="111" t="e">
        <f t="shared" si="49"/>
        <v>#DIV/0!</v>
      </c>
      <c r="G96" s="111" t="e">
        <f t="shared" si="49"/>
        <v>#DIV/0!</v>
      </c>
      <c r="H96" s="111" t="e">
        <f t="shared" si="49"/>
        <v>#DIV/0!</v>
      </c>
      <c r="I96" s="111" t="e">
        <f t="shared" si="49"/>
        <v>#DIV/0!</v>
      </c>
      <c r="J96" s="111" t="e">
        <f t="shared" si="49"/>
        <v>#DIV/0!</v>
      </c>
      <c r="K96" s="111" t="e">
        <f t="shared" si="49"/>
        <v>#DIV/0!</v>
      </c>
      <c r="L96" s="111" t="e">
        <f t="shared" si="49"/>
        <v>#DIV/0!</v>
      </c>
      <c r="M96" s="111" t="e">
        <f t="shared" si="49"/>
        <v>#DIV/0!</v>
      </c>
      <c r="N96" s="111" t="e">
        <f t="shared" si="49"/>
        <v>#DIV/0!</v>
      </c>
      <c r="O96" s="111" t="e">
        <f t="shared" si="49"/>
        <v>#DIV/0!</v>
      </c>
      <c r="P96" s="111" t="e">
        <f t="shared" si="49"/>
        <v>#DIV/0!</v>
      </c>
      <c r="Q96" s="111" t="e">
        <f t="shared" si="49"/>
        <v>#DIV/0!</v>
      </c>
      <c r="R96" s="111" t="e">
        <f t="shared" si="49"/>
        <v>#DIV/0!</v>
      </c>
      <c r="S96" s="111" t="e">
        <f t="shared" si="49"/>
        <v>#DIV/0!</v>
      </c>
    </row>
    <row r="97" spans="1:19" ht="15" x14ac:dyDescent="0.35">
      <c r="A97" s="296" t="s">
        <v>504</v>
      </c>
      <c r="B97" s="294">
        <f t="shared" ref="B97:S97" si="50">(B13-(B23/10))</f>
        <v>0</v>
      </c>
      <c r="C97" s="294">
        <f t="shared" si="50"/>
        <v>0</v>
      </c>
      <c r="D97" s="294">
        <f t="shared" si="50"/>
        <v>0</v>
      </c>
      <c r="E97" s="294">
        <f t="shared" si="50"/>
        <v>0</v>
      </c>
      <c r="F97" s="294">
        <f t="shared" si="50"/>
        <v>0</v>
      </c>
      <c r="G97" s="294">
        <f t="shared" si="50"/>
        <v>0</v>
      </c>
      <c r="H97" s="294">
        <f t="shared" si="50"/>
        <v>0</v>
      </c>
      <c r="I97" s="294">
        <f t="shared" si="50"/>
        <v>0</v>
      </c>
      <c r="J97" s="294">
        <f t="shared" si="50"/>
        <v>0</v>
      </c>
      <c r="K97" s="294">
        <f t="shared" si="50"/>
        <v>0</v>
      </c>
      <c r="L97" s="294">
        <f t="shared" si="50"/>
        <v>0</v>
      </c>
      <c r="M97" s="294">
        <f t="shared" si="50"/>
        <v>0</v>
      </c>
      <c r="N97" s="294">
        <f t="shared" si="50"/>
        <v>0</v>
      </c>
      <c r="O97" s="294">
        <f t="shared" si="50"/>
        <v>0</v>
      </c>
      <c r="P97" s="294">
        <f t="shared" si="50"/>
        <v>0</v>
      </c>
      <c r="Q97" s="294">
        <f t="shared" si="50"/>
        <v>0</v>
      </c>
      <c r="R97" s="294">
        <f t="shared" si="50"/>
        <v>0</v>
      </c>
      <c r="S97" s="294">
        <f t="shared" si="50"/>
        <v>0</v>
      </c>
    </row>
    <row r="98" spans="1:19" ht="15" x14ac:dyDescent="0.35">
      <c r="A98" s="296" t="s">
        <v>505</v>
      </c>
      <c r="B98" s="294">
        <f>(B20-(B29/10))</f>
        <v>0</v>
      </c>
      <c r="C98" s="294">
        <f t="shared" ref="C98:S98" si="51">(C20-(C29/10))</f>
        <v>0</v>
      </c>
      <c r="D98" s="294">
        <f t="shared" si="51"/>
        <v>0</v>
      </c>
      <c r="E98" s="294">
        <f t="shared" si="51"/>
        <v>0</v>
      </c>
      <c r="F98" s="294">
        <f t="shared" si="51"/>
        <v>0</v>
      </c>
      <c r="G98" s="294">
        <f t="shared" si="51"/>
        <v>0</v>
      </c>
      <c r="H98" s="294">
        <f t="shared" si="51"/>
        <v>0</v>
      </c>
      <c r="I98" s="294">
        <f t="shared" si="51"/>
        <v>0</v>
      </c>
      <c r="J98" s="294">
        <f t="shared" si="51"/>
        <v>0</v>
      </c>
      <c r="K98" s="294">
        <f t="shared" si="51"/>
        <v>0</v>
      </c>
      <c r="L98" s="294">
        <f t="shared" si="51"/>
        <v>0</v>
      </c>
      <c r="M98" s="294">
        <f t="shared" si="51"/>
        <v>0</v>
      </c>
      <c r="N98" s="294">
        <f t="shared" si="51"/>
        <v>0</v>
      </c>
      <c r="O98" s="294">
        <f t="shared" si="51"/>
        <v>0</v>
      </c>
      <c r="P98" s="294">
        <f t="shared" si="51"/>
        <v>0</v>
      </c>
      <c r="Q98" s="294">
        <f t="shared" si="51"/>
        <v>0</v>
      </c>
      <c r="R98" s="294">
        <f t="shared" si="51"/>
        <v>0</v>
      </c>
      <c r="S98" s="294">
        <f t="shared" si="51"/>
        <v>0</v>
      </c>
    </row>
    <row r="99" spans="1:19" ht="15" x14ac:dyDescent="0.35">
      <c r="A99" s="296" t="s">
        <v>506</v>
      </c>
      <c r="B99" s="258" t="e">
        <f t="shared" ref="B99:S99" si="52">B9/(B7^0.3333)</f>
        <v>#DIV/0!</v>
      </c>
      <c r="C99" s="258" t="e">
        <f t="shared" si="52"/>
        <v>#DIV/0!</v>
      </c>
      <c r="D99" s="258" t="e">
        <f t="shared" si="52"/>
        <v>#DIV/0!</v>
      </c>
      <c r="E99" s="258" t="e">
        <f t="shared" si="52"/>
        <v>#DIV/0!</v>
      </c>
      <c r="F99" s="258" t="e">
        <f t="shared" si="52"/>
        <v>#DIV/0!</v>
      </c>
      <c r="G99" s="258" t="e">
        <f t="shared" si="52"/>
        <v>#DIV/0!</v>
      </c>
      <c r="H99" s="258" t="e">
        <f t="shared" si="52"/>
        <v>#DIV/0!</v>
      </c>
      <c r="I99" s="258" t="e">
        <f t="shared" si="52"/>
        <v>#DIV/0!</v>
      </c>
      <c r="J99" s="258" t="e">
        <f t="shared" si="52"/>
        <v>#DIV/0!</v>
      </c>
      <c r="K99" s="258" t="e">
        <f t="shared" si="52"/>
        <v>#DIV/0!</v>
      </c>
      <c r="L99" s="258" t="e">
        <f t="shared" si="52"/>
        <v>#DIV/0!</v>
      </c>
      <c r="M99" s="258" t="e">
        <f t="shared" si="52"/>
        <v>#DIV/0!</v>
      </c>
      <c r="N99" s="258" t="e">
        <f t="shared" si="52"/>
        <v>#DIV/0!</v>
      </c>
      <c r="O99" s="258" t="e">
        <f t="shared" si="52"/>
        <v>#DIV/0!</v>
      </c>
      <c r="P99" s="258" t="e">
        <f t="shared" si="52"/>
        <v>#DIV/0!</v>
      </c>
      <c r="Q99" s="258" t="e">
        <f t="shared" si="52"/>
        <v>#DIV/0!</v>
      </c>
      <c r="R99" s="258" t="e">
        <f t="shared" si="52"/>
        <v>#DIV/0!</v>
      </c>
      <c r="S99" s="258" t="e">
        <f t="shared" si="52"/>
        <v>#DIV/0!</v>
      </c>
    </row>
    <row r="100" spans="1:19" ht="15" x14ac:dyDescent="0.35">
      <c r="A100" s="201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</row>
    <row r="101" spans="1:19" x14ac:dyDescent="0.3">
      <c r="A101" s="201"/>
      <c r="B101" s="642" t="s">
        <v>130</v>
      </c>
      <c r="C101" s="642"/>
      <c r="D101" s="642"/>
      <c r="E101" s="642"/>
      <c r="F101" s="642"/>
      <c r="G101" s="642"/>
      <c r="H101" s="642"/>
      <c r="I101" s="642"/>
    </row>
    <row r="102" spans="1:19" ht="19.2" x14ac:dyDescent="0.3">
      <c r="A102" s="202"/>
      <c r="B102" s="642"/>
      <c r="C102" s="642"/>
      <c r="D102" s="642"/>
      <c r="E102" s="642"/>
      <c r="F102" s="642"/>
      <c r="G102" s="642"/>
      <c r="H102" s="642"/>
      <c r="I102" s="642"/>
    </row>
    <row r="103" spans="1:19" ht="18.600000000000001" thickBot="1" x14ac:dyDescent="0.35">
      <c r="A103" s="203"/>
    </row>
    <row r="104" spans="1:19" ht="15.75" customHeight="1" thickBot="1" x14ac:dyDescent="0.35">
      <c r="B104" s="650" t="s">
        <v>512</v>
      </c>
      <c r="C104" s="651"/>
      <c r="D104" s="652"/>
      <c r="E104" s="656" t="s">
        <v>40</v>
      </c>
      <c r="F104" s="657"/>
      <c r="G104" s="657"/>
      <c r="I104" s="942" t="s">
        <v>845</v>
      </c>
      <c r="J104" s="942" t="s">
        <v>846</v>
      </c>
      <c r="K104" s="942" t="s">
        <v>847</v>
      </c>
    </row>
    <row r="105" spans="1:19" ht="15" thickBot="1" x14ac:dyDescent="0.35">
      <c r="B105" s="653"/>
      <c r="C105" s="654"/>
      <c r="D105" s="655"/>
      <c r="E105" s="656"/>
      <c r="F105" s="657"/>
      <c r="G105" s="657"/>
      <c r="I105" s="941">
        <v>16</v>
      </c>
      <c r="J105" s="941">
        <v>1.1549</v>
      </c>
      <c r="K105" s="941">
        <v>6.7799999999999999E-2</v>
      </c>
    </row>
    <row r="106" spans="1:19" ht="15" thickBot="1" x14ac:dyDescent="0.35">
      <c r="B106" s="279" t="s">
        <v>198</v>
      </c>
      <c r="C106" s="279" t="s">
        <v>344</v>
      </c>
      <c r="D106" s="279" t="s">
        <v>491</v>
      </c>
      <c r="E106" s="279" t="s">
        <v>198</v>
      </c>
      <c r="F106" s="279" t="s">
        <v>344</v>
      </c>
      <c r="G106" s="279" t="s">
        <v>491</v>
      </c>
      <c r="I106" s="941">
        <v>20</v>
      </c>
      <c r="J106" s="941">
        <v>1.1598999999999999</v>
      </c>
      <c r="K106" s="941">
        <v>7.17E-2</v>
      </c>
    </row>
    <row r="107" spans="1:19" ht="18.600000000000001" thickBot="1" x14ac:dyDescent="0.35">
      <c r="B107" s="205" t="s">
        <v>333</v>
      </c>
      <c r="C107" s="206"/>
      <c r="D107" s="209"/>
      <c r="E107" s="305" t="s">
        <v>333</v>
      </c>
      <c r="F107" s="306"/>
      <c r="G107" s="307"/>
      <c r="I107" s="941">
        <v>30</v>
      </c>
      <c r="J107" s="941">
        <v>1.1423000000000001</v>
      </c>
      <c r="K107" s="941">
        <v>6.3200000000000006E-2</v>
      </c>
    </row>
    <row r="108" spans="1:19" ht="18.600000000000001" thickBot="1" x14ac:dyDescent="0.35">
      <c r="B108" s="207" t="s">
        <v>334</v>
      </c>
      <c r="C108" s="208"/>
      <c r="D108" s="208"/>
      <c r="E108" s="207" t="s">
        <v>334</v>
      </c>
      <c r="F108" s="208"/>
      <c r="G108" s="208"/>
      <c r="I108" s="941">
        <v>40</v>
      </c>
      <c r="J108" s="941">
        <v>1.1333</v>
      </c>
      <c r="K108" s="941">
        <v>6.1199999999999997E-2</v>
      </c>
    </row>
    <row r="109" spans="1:19" ht="18.600000000000001" thickBot="1" x14ac:dyDescent="0.35">
      <c r="B109" s="205" t="s">
        <v>335</v>
      </c>
      <c r="C109" s="209"/>
      <c r="D109" s="209"/>
      <c r="E109" s="305" t="s">
        <v>335</v>
      </c>
      <c r="F109" s="307"/>
      <c r="G109" s="307"/>
      <c r="I109" s="941">
        <v>50</v>
      </c>
      <c r="J109" s="941">
        <v>1.1338999999999999</v>
      </c>
      <c r="K109" s="941">
        <v>6.4000000000000001E-2</v>
      </c>
    </row>
    <row r="110" spans="1:19" ht="18.600000000000001" thickBot="1" x14ac:dyDescent="0.35">
      <c r="B110" s="207" t="s">
        <v>336</v>
      </c>
      <c r="C110" s="208"/>
      <c r="D110" s="208"/>
      <c r="E110" s="207" t="s">
        <v>336</v>
      </c>
      <c r="F110" s="208"/>
      <c r="G110" s="208"/>
    </row>
    <row r="111" spans="1:19" ht="18.600000000000001" thickBot="1" x14ac:dyDescent="0.35">
      <c r="B111" s="205" t="s">
        <v>337</v>
      </c>
      <c r="C111" s="209"/>
      <c r="D111" s="209"/>
      <c r="E111" s="305" t="s">
        <v>337</v>
      </c>
      <c r="F111" s="307"/>
      <c r="G111" s="307"/>
      <c r="I111" t="s">
        <v>849</v>
      </c>
      <c r="J111" t="s">
        <v>850</v>
      </c>
      <c r="K111" t="s">
        <v>851</v>
      </c>
      <c r="L111" t="s">
        <v>852</v>
      </c>
      <c r="M111" t="s">
        <v>853</v>
      </c>
    </row>
    <row r="112" spans="1:19" ht="15" thickBot="1" x14ac:dyDescent="0.35">
      <c r="B112" s="210" t="s">
        <v>338</v>
      </c>
      <c r="C112" s="211"/>
      <c r="D112" s="213" t="s">
        <v>492</v>
      </c>
      <c r="E112" s="210" t="s">
        <v>338</v>
      </c>
      <c r="F112" s="211"/>
      <c r="G112" s="213"/>
      <c r="I112">
        <v>20</v>
      </c>
      <c r="J112" t="s">
        <v>854</v>
      </c>
      <c r="K112" t="s">
        <v>855</v>
      </c>
      <c r="L112" t="s">
        <v>856</v>
      </c>
      <c r="M112" t="s">
        <v>857</v>
      </c>
    </row>
    <row r="113" spans="2:13" ht="15" thickBot="1" x14ac:dyDescent="0.35">
      <c r="B113" s="212" t="s">
        <v>339</v>
      </c>
      <c r="C113" s="209"/>
      <c r="D113" s="209"/>
      <c r="E113" s="308" t="s">
        <v>339</v>
      </c>
      <c r="F113" s="307"/>
      <c r="G113" s="307"/>
      <c r="I113">
        <v>40</v>
      </c>
      <c r="J113" t="s">
        <v>858</v>
      </c>
      <c r="K113" t="s">
        <v>859</v>
      </c>
      <c r="L113" t="s">
        <v>860</v>
      </c>
      <c r="M113" t="s">
        <v>861</v>
      </c>
    </row>
    <row r="114" spans="2:13" ht="15" thickBot="1" x14ac:dyDescent="0.35">
      <c r="B114" s="210" t="s">
        <v>340</v>
      </c>
      <c r="C114" s="213"/>
      <c r="D114" s="213"/>
      <c r="E114" s="210" t="s">
        <v>340</v>
      </c>
      <c r="F114" s="213"/>
      <c r="G114" s="213"/>
      <c r="I114">
        <v>60</v>
      </c>
      <c r="J114" t="s">
        <v>862</v>
      </c>
      <c r="K114" t="s">
        <v>863</v>
      </c>
      <c r="L114" t="s">
        <v>864</v>
      </c>
      <c r="M114" t="s">
        <v>865</v>
      </c>
    </row>
    <row r="115" spans="2:13" ht="15" thickBot="1" x14ac:dyDescent="0.35">
      <c r="B115" s="212" t="s">
        <v>341</v>
      </c>
      <c r="C115" s="209" t="s">
        <v>717</v>
      </c>
      <c r="D115" s="209"/>
      <c r="E115" s="308" t="s">
        <v>341</v>
      </c>
      <c r="F115" s="307"/>
      <c r="G115" s="307"/>
    </row>
    <row r="116" spans="2:13" ht="15" thickBot="1" x14ac:dyDescent="0.35">
      <c r="B116" s="213"/>
      <c r="C116" s="213"/>
      <c r="D116" s="213"/>
      <c r="E116" s="213"/>
      <c r="F116" s="213"/>
      <c r="G116" s="213"/>
    </row>
    <row r="117" spans="2:13" ht="15" thickBot="1" x14ac:dyDescent="0.35">
      <c r="B117" s="209"/>
      <c r="C117" s="209"/>
      <c r="D117" s="209"/>
      <c r="E117" s="307"/>
      <c r="F117" s="307"/>
      <c r="G117" s="307"/>
    </row>
    <row r="118" spans="2:13" ht="15" thickBot="1" x14ac:dyDescent="0.35">
      <c r="B118" s="213"/>
      <c r="C118" s="213"/>
      <c r="D118" s="213"/>
      <c r="E118" s="213"/>
      <c r="F118" s="213"/>
      <c r="G118" s="213"/>
    </row>
    <row r="123" spans="2:13" x14ac:dyDescent="0.3">
      <c r="B123" s="643" t="s">
        <v>564</v>
      </c>
      <c r="C123" s="643"/>
      <c r="D123" s="643"/>
      <c r="E123" s="643"/>
      <c r="F123" s="643"/>
      <c r="G123" s="643"/>
      <c r="H123" s="643"/>
      <c r="I123" s="643"/>
      <c r="J123" s="643"/>
      <c r="K123" s="644"/>
    </row>
    <row r="124" spans="2:13" x14ac:dyDescent="0.3">
      <c r="B124" s="643"/>
      <c r="C124" s="643"/>
      <c r="D124" s="643"/>
      <c r="E124" s="643"/>
      <c r="F124" s="643"/>
      <c r="G124" s="643"/>
      <c r="H124" s="643"/>
      <c r="I124" s="643"/>
      <c r="J124" s="643"/>
      <c r="K124" s="644"/>
    </row>
    <row r="125" spans="2:13" x14ac:dyDescent="0.3">
      <c r="B125" s="643"/>
      <c r="C125" s="643"/>
      <c r="D125" s="643"/>
      <c r="E125" s="643"/>
      <c r="F125" s="643"/>
      <c r="G125" s="643"/>
      <c r="H125" s="643"/>
      <c r="I125" s="643"/>
      <c r="J125" s="643"/>
      <c r="K125" s="644"/>
    </row>
    <row r="126" spans="2:13" x14ac:dyDescent="0.3">
      <c r="B126" s="309"/>
      <c r="C126" s="309"/>
      <c r="D126" s="309"/>
      <c r="E126" s="309"/>
      <c r="F126" s="309"/>
      <c r="G126" s="309"/>
      <c r="H126" s="309"/>
      <c r="I126" s="309"/>
      <c r="J126" s="309"/>
      <c r="K126" s="310"/>
    </row>
    <row r="127" spans="2:13" x14ac:dyDescent="0.3">
      <c r="B127" s="309"/>
      <c r="C127" s="309"/>
      <c r="D127" s="645" t="s">
        <v>513</v>
      </c>
      <c r="E127" s="646"/>
      <c r="F127" s="646"/>
      <c r="G127" s="646"/>
      <c r="H127" s="646"/>
      <c r="I127" s="646"/>
      <c r="J127" s="646"/>
      <c r="K127" s="647"/>
    </row>
    <row r="128" spans="2:13" ht="16.8" x14ac:dyDescent="0.45">
      <c r="B128" s="311"/>
      <c r="C128" s="312" t="s">
        <v>514</v>
      </c>
      <c r="D128" s="648" t="s">
        <v>515</v>
      </c>
      <c r="E128" s="649"/>
      <c r="F128" s="648" t="s">
        <v>516</v>
      </c>
      <c r="G128" s="649"/>
      <c r="H128" s="648" t="s">
        <v>517</v>
      </c>
      <c r="I128" s="649"/>
      <c r="J128" s="648" t="s">
        <v>518</v>
      </c>
      <c r="K128" s="658"/>
    </row>
    <row r="129" spans="2:11" ht="16.8" x14ac:dyDescent="0.45">
      <c r="B129" s="626" t="s">
        <v>261</v>
      </c>
      <c r="C129" s="313" t="s">
        <v>519</v>
      </c>
      <c r="D129" s="629" t="s">
        <v>520</v>
      </c>
      <c r="E129" s="630"/>
      <c r="F129" s="629" t="s">
        <v>521</v>
      </c>
      <c r="G129" s="630"/>
      <c r="H129" s="629" t="s">
        <v>522</v>
      </c>
      <c r="I129" s="630"/>
      <c r="J129" s="629" t="s">
        <v>523</v>
      </c>
      <c r="K129" s="631"/>
    </row>
    <row r="130" spans="2:11" ht="16.8" x14ac:dyDescent="0.45">
      <c r="B130" s="627"/>
      <c r="C130" s="314" t="s">
        <v>524</v>
      </c>
      <c r="D130" s="621" t="s">
        <v>525</v>
      </c>
      <c r="E130" s="622"/>
      <c r="F130" s="621" t="s">
        <v>526</v>
      </c>
      <c r="G130" s="622"/>
      <c r="H130" s="621" t="s">
        <v>527</v>
      </c>
      <c r="I130" s="622"/>
      <c r="J130" s="621" t="s">
        <v>528</v>
      </c>
      <c r="K130" s="623"/>
    </row>
    <row r="131" spans="2:11" ht="16.8" x14ac:dyDescent="0.45">
      <c r="B131" s="627"/>
      <c r="C131" s="314" t="s">
        <v>529</v>
      </c>
      <c r="D131" s="621" t="s">
        <v>530</v>
      </c>
      <c r="E131" s="622"/>
      <c r="F131" s="621" t="s">
        <v>531</v>
      </c>
      <c r="G131" s="622"/>
      <c r="H131" s="621" t="s">
        <v>532</v>
      </c>
      <c r="I131" s="622"/>
      <c r="J131" s="621" t="s">
        <v>533</v>
      </c>
      <c r="K131" s="623"/>
    </row>
    <row r="132" spans="2:11" ht="16.8" x14ac:dyDescent="0.45">
      <c r="B132" s="627"/>
      <c r="C132" s="314" t="s">
        <v>534</v>
      </c>
      <c r="D132" s="621" t="s">
        <v>535</v>
      </c>
      <c r="E132" s="622"/>
      <c r="F132" s="621" t="s">
        <v>536</v>
      </c>
      <c r="G132" s="622"/>
      <c r="H132" s="621" t="s">
        <v>537</v>
      </c>
      <c r="I132" s="622"/>
      <c r="J132" s="621" t="s">
        <v>538</v>
      </c>
      <c r="K132" s="623"/>
    </row>
    <row r="133" spans="2:11" ht="16.8" x14ac:dyDescent="0.45">
      <c r="B133" s="628"/>
      <c r="C133" s="315" t="s">
        <v>539</v>
      </c>
      <c r="D133" s="624" t="s">
        <v>540</v>
      </c>
      <c r="E133" s="625"/>
      <c r="F133" s="624" t="s">
        <v>541</v>
      </c>
      <c r="G133" s="625"/>
      <c r="H133" s="624" t="s">
        <v>542</v>
      </c>
      <c r="I133" s="625"/>
      <c r="J133" s="624" t="s">
        <v>543</v>
      </c>
      <c r="K133" s="632"/>
    </row>
    <row r="134" spans="2:11" ht="16.8" x14ac:dyDescent="0.45">
      <c r="B134" s="626" t="s">
        <v>262</v>
      </c>
      <c r="C134" s="313" t="s">
        <v>519</v>
      </c>
      <c r="D134" s="629" t="s">
        <v>544</v>
      </c>
      <c r="E134" s="630"/>
      <c r="F134" s="629" t="s">
        <v>545</v>
      </c>
      <c r="G134" s="630"/>
      <c r="H134" s="629" t="s">
        <v>546</v>
      </c>
      <c r="I134" s="630"/>
      <c r="J134" s="629" t="s">
        <v>547</v>
      </c>
      <c r="K134" s="631"/>
    </row>
    <row r="135" spans="2:11" ht="16.8" x14ac:dyDescent="0.45">
      <c r="B135" s="627"/>
      <c r="C135" s="314" t="s">
        <v>524</v>
      </c>
      <c r="D135" s="621" t="s">
        <v>548</v>
      </c>
      <c r="E135" s="622"/>
      <c r="F135" s="621" t="s">
        <v>549</v>
      </c>
      <c r="G135" s="622"/>
      <c r="H135" s="621" t="s">
        <v>550</v>
      </c>
      <c r="I135" s="622"/>
      <c r="J135" s="621" t="s">
        <v>551</v>
      </c>
      <c r="K135" s="623"/>
    </row>
    <row r="136" spans="2:11" ht="16.8" x14ac:dyDescent="0.45">
      <c r="B136" s="627"/>
      <c r="C136" s="314" t="s">
        <v>529</v>
      </c>
      <c r="D136" s="621" t="s">
        <v>552</v>
      </c>
      <c r="E136" s="622"/>
      <c r="F136" s="621" t="s">
        <v>553</v>
      </c>
      <c r="G136" s="622"/>
      <c r="H136" s="621" t="s">
        <v>554</v>
      </c>
      <c r="I136" s="622"/>
      <c r="J136" s="621" t="s">
        <v>555</v>
      </c>
      <c r="K136" s="623"/>
    </row>
    <row r="137" spans="2:11" ht="16.8" x14ac:dyDescent="0.45">
      <c r="B137" s="627"/>
      <c r="C137" s="314" t="s">
        <v>534</v>
      </c>
      <c r="D137" s="621" t="s">
        <v>556</v>
      </c>
      <c r="E137" s="622"/>
      <c r="F137" s="621" t="s">
        <v>557</v>
      </c>
      <c r="G137" s="622"/>
      <c r="H137" s="621" t="s">
        <v>558</v>
      </c>
      <c r="I137" s="622"/>
      <c r="J137" s="621" t="s">
        <v>559</v>
      </c>
      <c r="K137" s="623"/>
    </row>
    <row r="138" spans="2:11" ht="16.8" x14ac:dyDescent="0.45">
      <c r="B138" s="628"/>
      <c r="C138" s="315" t="s">
        <v>539</v>
      </c>
      <c r="D138" s="624" t="s">
        <v>560</v>
      </c>
      <c r="E138" s="625"/>
      <c r="F138" s="624" t="s">
        <v>561</v>
      </c>
      <c r="G138" s="625"/>
      <c r="H138" s="624" t="s">
        <v>562</v>
      </c>
      <c r="I138" s="625"/>
      <c r="J138" s="624" t="s">
        <v>563</v>
      </c>
      <c r="K138" s="632"/>
    </row>
    <row r="139" spans="2:11" ht="16.8" x14ac:dyDescent="0.45">
      <c r="B139" s="316"/>
      <c r="C139" s="317"/>
      <c r="D139" s="317"/>
      <c r="E139" s="317"/>
      <c r="F139" s="317"/>
      <c r="G139" s="317"/>
      <c r="H139" s="317"/>
      <c r="I139" s="317"/>
      <c r="J139" s="317"/>
      <c r="K139" s="317"/>
    </row>
    <row r="140" spans="2:11" ht="19.2" x14ac:dyDescent="0.5">
      <c r="B140" s="620" t="s">
        <v>40</v>
      </c>
      <c r="C140" s="620"/>
      <c r="D140" s="620"/>
      <c r="E140" s="620"/>
      <c r="F140" s="620"/>
      <c r="G140" s="620"/>
      <c r="H140" s="620"/>
      <c r="I140" s="620"/>
    </row>
    <row r="141" spans="2:11" ht="18" x14ac:dyDescent="0.3">
      <c r="B141" s="614" t="s">
        <v>262</v>
      </c>
      <c r="C141" s="615"/>
      <c r="D141" s="615"/>
      <c r="E141" s="616"/>
      <c r="F141" s="617" t="s">
        <v>261</v>
      </c>
      <c r="G141" s="618"/>
      <c r="H141" s="618"/>
      <c r="I141" s="619"/>
    </row>
    <row r="142" spans="2:11" x14ac:dyDescent="0.3">
      <c r="B142" s="328" t="s">
        <v>565</v>
      </c>
      <c r="C142" s="326" t="s">
        <v>566</v>
      </c>
      <c r="D142" s="327" t="s">
        <v>567</v>
      </c>
      <c r="E142" s="326" t="s">
        <v>568</v>
      </c>
      <c r="F142" s="328" t="s">
        <v>565</v>
      </c>
      <c r="G142" s="326" t="s">
        <v>566</v>
      </c>
      <c r="H142" s="327" t="s">
        <v>567</v>
      </c>
      <c r="I142" s="326" t="s">
        <v>568</v>
      </c>
    </row>
    <row r="143" spans="2:11" x14ac:dyDescent="0.3">
      <c r="B143" s="318" t="s">
        <v>569</v>
      </c>
      <c r="C143" s="324">
        <v>2.1</v>
      </c>
      <c r="D143" s="319">
        <v>3.2</v>
      </c>
      <c r="E143" s="324">
        <v>3.5</v>
      </c>
      <c r="F143" s="318" t="s">
        <v>570</v>
      </c>
      <c r="G143" s="324">
        <v>1.8</v>
      </c>
      <c r="H143" s="319">
        <v>4.3</v>
      </c>
      <c r="I143" s="324">
        <v>3.4</v>
      </c>
    </row>
    <row r="144" spans="2:11" ht="27.6" x14ac:dyDescent="0.3">
      <c r="B144" s="318" t="s">
        <v>571</v>
      </c>
      <c r="C144" s="324">
        <v>2</v>
      </c>
      <c r="D144" s="319">
        <v>3.3</v>
      </c>
      <c r="E144" s="324">
        <v>3.9</v>
      </c>
      <c r="F144" s="318" t="s">
        <v>572</v>
      </c>
      <c r="G144" s="324">
        <v>1.6</v>
      </c>
      <c r="H144" s="319">
        <v>4.5</v>
      </c>
      <c r="I144" s="324">
        <v>3.4</v>
      </c>
    </row>
    <row r="145" spans="2:9" x14ac:dyDescent="0.3">
      <c r="B145" s="318" t="s">
        <v>573</v>
      </c>
      <c r="C145" s="324">
        <v>2.6</v>
      </c>
      <c r="D145" s="319">
        <v>3.1</v>
      </c>
      <c r="E145" s="324">
        <v>3.5</v>
      </c>
      <c r="F145" s="318" t="s">
        <v>574</v>
      </c>
      <c r="G145" s="324">
        <v>1.5</v>
      </c>
      <c r="H145" s="319">
        <v>4.0999999999999996</v>
      </c>
      <c r="I145" s="324">
        <v>3.7</v>
      </c>
    </row>
    <row r="146" spans="2:9" x14ac:dyDescent="0.3">
      <c r="B146" s="318" t="s">
        <v>575</v>
      </c>
      <c r="C146" s="324">
        <v>2.5</v>
      </c>
      <c r="D146" s="319">
        <v>3.5</v>
      </c>
      <c r="E146" s="324">
        <v>3.5</v>
      </c>
      <c r="F146" s="318" t="s">
        <v>576</v>
      </c>
      <c r="G146" s="324">
        <v>4.4000000000000004</v>
      </c>
      <c r="H146" s="319">
        <v>7.2</v>
      </c>
      <c r="I146" s="324">
        <v>0.5</v>
      </c>
    </row>
    <row r="147" spans="2:9" x14ac:dyDescent="0.3">
      <c r="B147" s="318" t="s">
        <v>577</v>
      </c>
      <c r="C147" s="324">
        <v>2.2999999999999998</v>
      </c>
      <c r="D147" s="319">
        <v>2.2000000000000002</v>
      </c>
      <c r="E147" s="324">
        <v>4.5999999999999996</v>
      </c>
      <c r="F147" s="318" t="s">
        <v>571</v>
      </c>
      <c r="G147" s="324">
        <v>1.7</v>
      </c>
      <c r="H147" s="319">
        <v>4.2</v>
      </c>
      <c r="I147" s="324">
        <v>3.6</v>
      </c>
    </row>
    <row r="148" spans="2:9" ht="27.6" x14ac:dyDescent="0.3">
      <c r="B148" s="318" t="s">
        <v>578</v>
      </c>
      <c r="C148" s="324">
        <v>2.2999999999999998</v>
      </c>
      <c r="D148" s="319">
        <v>3.8</v>
      </c>
      <c r="E148" s="324">
        <v>3.1</v>
      </c>
      <c r="F148" s="318" t="s">
        <v>579</v>
      </c>
      <c r="G148" s="324">
        <v>1.6</v>
      </c>
      <c r="H148" s="319">
        <v>3.7</v>
      </c>
      <c r="I148" s="324">
        <v>3.7</v>
      </c>
    </row>
    <row r="149" spans="2:9" x14ac:dyDescent="0.3">
      <c r="B149" s="318" t="s">
        <v>580</v>
      </c>
      <c r="C149" s="324">
        <v>2.4</v>
      </c>
      <c r="D149" s="319">
        <v>3.3</v>
      </c>
      <c r="E149" s="324">
        <v>3.3</v>
      </c>
      <c r="F149" s="318" t="s">
        <v>581</v>
      </c>
      <c r="G149" s="324">
        <v>1.8</v>
      </c>
      <c r="H149" s="319">
        <v>4.0999999999999996</v>
      </c>
      <c r="I149" s="324">
        <v>3.6</v>
      </c>
    </row>
    <row r="150" spans="2:9" ht="15" x14ac:dyDescent="0.35">
      <c r="B150" s="320" t="s">
        <v>334</v>
      </c>
      <c r="C150" s="325">
        <v>3.7</v>
      </c>
      <c r="D150" s="321">
        <v>4</v>
      </c>
      <c r="E150" s="325">
        <v>2.9</v>
      </c>
      <c r="F150" s="318" t="s">
        <v>575</v>
      </c>
      <c r="G150" s="324">
        <v>2.1</v>
      </c>
      <c r="H150" s="319">
        <v>5.3</v>
      </c>
      <c r="I150" s="324">
        <v>2.4</v>
      </c>
    </row>
    <row r="151" spans="2:9" ht="15" x14ac:dyDescent="0.35">
      <c r="B151" s="322" t="s">
        <v>582</v>
      </c>
      <c r="C151" s="325">
        <v>4.0999999999999996</v>
      </c>
      <c r="D151" s="321">
        <v>4.4000000000000004</v>
      </c>
      <c r="E151" s="325">
        <v>2.5</v>
      </c>
      <c r="F151" s="318" t="s">
        <v>577</v>
      </c>
      <c r="G151" s="324">
        <v>1.6</v>
      </c>
      <c r="H151" s="319">
        <v>3.7</v>
      </c>
      <c r="I151" s="324">
        <v>4.2</v>
      </c>
    </row>
    <row r="152" spans="2:9" ht="15" x14ac:dyDescent="0.35">
      <c r="B152" s="322" t="s">
        <v>583</v>
      </c>
      <c r="C152" s="325">
        <v>4.9000000000000004</v>
      </c>
      <c r="D152" s="321">
        <v>4.4000000000000004</v>
      </c>
      <c r="E152" s="325">
        <v>2</v>
      </c>
      <c r="F152" s="318" t="s">
        <v>584</v>
      </c>
      <c r="G152" s="324">
        <v>1.7</v>
      </c>
      <c r="H152" s="319">
        <v>4.8</v>
      </c>
      <c r="I152" s="324">
        <v>3</v>
      </c>
    </row>
    <row r="153" spans="2:9" ht="27.6" x14ac:dyDescent="0.3">
      <c r="B153" s="318" t="s">
        <v>585</v>
      </c>
      <c r="C153" s="324">
        <v>3</v>
      </c>
      <c r="D153" s="319">
        <v>3.4</v>
      </c>
      <c r="E153" s="324">
        <v>3.5</v>
      </c>
      <c r="F153" s="318" t="s">
        <v>578</v>
      </c>
      <c r="G153" s="324">
        <v>1.7</v>
      </c>
      <c r="H153" s="319">
        <v>4.3</v>
      </c>
      <c r="I153" s="324">
        <v>3.5</v>
      </c>
    </row>
    <row r="154" spans="2:9" ht="15" x14ac:dyDescent="0.35">
      <c r="B154" s="322" t="s">
        <v>338</v>
      </c>
      <c r="C154" s="325">
        <v>4.2</v>
      </c>
      <c r="D154" s="321">
        <v>4.5999999999999996</v>
      </c>
      <c r="E154" s="325">
        <v>2.2000000000000002</v>
      </c>
      <c r="F154" s="318" t="s">
        <v>586</v>
      </c>
      <c r="G154" s="324">
        <v>1.7</v>
      </c>
      <c r="H154" s="319">
        <v>4.5</v>
      </c>
      <c r="I154" s="324">
        <v>3.2</v>
      </c>
    </row>
    <row r="155" spans="2:9" ht="27.6" x14ac:dyDescent="0.3">
      <c r="B155" s="318" t="s">
        <v>587</v>
      </c>
      <c r="C155" s="324">
        <v>1.9</v>
      </c>
      <c r="D155" s="319">
        <v>4.5999999999999996</v>
      </c>
      <c r="E155" s="324">
        <v>2.9</v>
      </c>
      <c r="F155" s="318" t="s">
        <v>588</v>
      </c>
      <c r="G155" s="324">
        <v>1.8</v>
      </c>
      <c r="H155" s="319">
        <v>5.2</v>
      </c>
      <c r="I155" s="324">
        <v>2.7</v>
      </c>
    </row>
    <row r="156" spans="2:9" x14ac:dyDescent="0.3">
      <c r="B156" s="318" t="s">
        <v>589</v>
      </c>
      <c r="C156" s="324">
        <v>1.9</v>
      </c>
      <c r="D156" s="319">
        <v>2.4</v>
      </c>
      <c r="E156" s="324">
        <v>5</v>
      </c>
      <c r="F156" s="318" t="s">
        <v>590</v>
      </c>
      <c r="G156" s="324">
        <v>2.8</v>
      </c>
      <c r="H156" s="319">
        <v>3.9</v>
      </c>
      <c r="I156" s="324">
        <v>3.7</v>
      </c>
    </row>
    <row r="157" spans="2:9" ht="15" x14ac:dyDescent="0.35">
      <c r="B157" s="322" t="s">
        <v>591</v>
      </c>
      <c r="C157" s="325">
        <v>3.7</v>
      </c>
      <c r="D157" s="321">
        <v>4.5</v>
      </c>
      <c r="E157" s="325">
        <v>2.2000000000000002</v>
      </c>
      <c r="F157" s="318" t="s">
        <v>592</v>
      </c>
      <c r="G157" s="324">
        <v>2.2000000000000002</v>
      </c>
      <c r="H157" s="319">
        <v>4.7</v>
      </c>
      <c r="I157" s="324">
        <v>3.3</v>
      </c>
    </row>
    <row r="158" spans="2:9" x14ac:dyDescent="0.3">
      <c r="B158" s="318" t="s">
        <v>593</v>
      </c>
      <c r="C158" s="324">
        <v>3.3</v>
      </c>
      <c r="D158" s="319">
        <v>4.4000000000000004</v>
      </c>
      <c r="E158" s="324">
        <v>2.2999999999999998</v>
      </c>
      <c r="F158" s="318" t="s">
        <v>594</v>
      </c>
      <c r="G158" s="324">
        <v>2.4</v>
      </c>
      <c r="H158" s="319">
        <v>5</v>
      </c>
      <c r="I158" s="324">
        <v>3</v>
      </c>
    </row>
    <row r="159" spans="2:9" x14ac:dyDescent="0.3">
      <c r="B159" s="318" t="s">
        <v>595</v>
      </c>
      <c r="C159" s="324">
        <v>3.5</v>
      </c>
      <c r="D159" s="319">
        <v>5</v>
      </c>
      <c r="E159" s="324">
        <v>1.9</v>
      </c>
      <c r="F159" s="318" t="s">
        <v>596</v>
      </c>
      <c r="G159" s="324">
        <v>2.1</v>
      </c>
      <c r="H159" s="319">
        <v>4.4000000000000004</v>
      </c>
      <c r="I159" s="324">
        <v>3.5</v>
      </c>
    </row>
    <row r="160" spans="2:9" x14ac:dyDescent="0.3">
      <c r="B160" s="318" t="s">
        <v>597</v>
      </c>
      <c r="C160" s="324">
        <v>3.8</v>
      </c>
      <c r="D160" s="319">
        <v>5.2</v>
      </c>
      <c r="E160" s="324">
        <v>1.6</v>
      </c>
      <c r="F160" s="318" t="s">
        <v>598</v>
      </c>
      <c r="G160" s="324">
        <v>1.9</v>
      </c>
      <c r="H160" s="319">
        <v>4.7</v>
      </c>
      <c r="I160" s="324">
        <v>2.9</v>
      </c>
    </row>
    <row r="161" spans="2:9" ht="15" x14ac:dyDescent="0.35">
      <c r="B161" s="322" t="s">
        <v>599</v>
      </c>
      <c r="C161" s="325">
        <v>4.0999999999999996</v>
      </c>
      <c r="D161" s="321">
        <v>4.5</v>
      </c>
      <c r="E161" s="325">
        <v>2.4</v>
      </c>
      <c r="F161" s="320" t="s">
        <v>600</v>
      </c>
      <c r="G161" s="329">
        <v>2.1</v>
      </c>
      <c r="H161" s="323">
        <v>5.7</v>
      </c>
      <c r="I161" s="325">
        <v>2.5</v>
      </c>
    </row>
    <row r="162" spans="2:9" x14ac:dyDescent="0.3">
      <c r="B162" s="318" t="s">
        <v>601</v>
      </c>
      <c r="C162" s="324">
        <v>3.5</v>
      </c>
      <c r="D162" s="319">
        <v>3.8</v>
      </c>
      <c r="E162" s="324">
        <v>3</v>
      </c>
      <c r="F162" s="318" t="s">
        <v>602</v>
      </c>
      <c r="G162" s="324">
        <v>2.2000000000000002</v>
      </c>
      <c r="H162" s="319">
        <v>5.2</v>
      </c>
      <c r="I162" s="324">
        <v>2.5</v>
      </c>
    </row>
    <row r="163" spans="2:9" ht="15" x14ac:dyDescent="0.35">
      <c r="B163" s="322" t="s">
        <v>603</v>
      </c>
      <c r="C163" s="325">
        <v>2.5</v>
      </c>
      <c r="D163" s="321">
        <v>3.7</v>
      </c>
      <c r="E163" s="325">
        <v>3.1</v>
      </c>
      <c r="F163" s="318" t="s">
        <v>604</v>
      </c>
      <c r="G163" s="324">
        <v>2.1</v>
      </c>
      <c r="H163" s="319">
        <v>4.9000000000000004</v>
      </c>
      <c r="I163" s="324">
        <v>2.7</v>
      </c>
    </row>
    <row r="164" spans="2:9" ht="15" x14ac:dyDescent="0.35">
      <c r="B164" s="322" t="s">
        <v>605</v>
      </c>
      <c r="C164" s="325">
        <v>2.6</v>
      </c>
      <c r="D164" s="321">
        <v>3.5</v>
      </c>
      <c r="E164" s="325">
        <v>3.6</v>
      </c>
      <c r="F164" s="318" t="s">
        <v>606</v>
      </c>
      <c r="G164" s="324">
        <v>2.5</v>
      </c>
      <c r="H164" s="319">
        <v>5</v>
      </c>
      <c r="I164" s="324">
        <v>2.5</v>
      </c>
    </row>
    <row r="165" spans="2:9" ht="15" x14ac:dyDescent="0.35">
      <c r="B165" s="322" t="s">
        <v>607</v>
      </c>
      <c r="C165" s="325">
        <v>2.9</v>
      </c>
      <c r="D165" s="321">
        <v>3.7</v>
      </c>
      <c r="E165" s="325">
        <v>3.2</v>
      </c>
      <c r="F165" s="318" t="s">
        <v>608</v>
      </c>
      <c r="G165" s="324">
        <v>2.5</v>
      </c>
      <c r="H165" s="319">
        <v>5.2</v>
      </c>
      <c r="I165" s="324">
        <v>2.4</v>
      </c>
    </row>
    <row r="166" spans="2:9" ht="15" x14ac:dyDescent="0.35">
      <c r="B166" s="322" t="s">
        <v>609</v>
      </c>
      <c r="C166" s="325">
        <v>2.8</v>
      </c>
      <c r="D166" s="321">
        <v>3.7</v>
      </c>
      <c r="E166" s="325">
        <v>3.2</v>
      </c>
      <c r="F166" s="320" t="s">
        <v>610</v>
      </c>
      <c r="G166" s="329">
        <v>1.9</v>
      </c>
      <c r="H166" s="323">
        <v>6.1</v>
      </c>
      <c r="I166" s="325">
        <v>2.5</v>
      </c>
    </row>
    <row r="167" spans="2:9" ht="15" x14ac:dyDescent="0.35">
      <c r="B167" s="322" t="s">
        <v>611</v>
      </c>
      <c r="C167" s="325">
        <v>2.4</v>
      </c>
      <c r="D167" s="321">
        <v>3.8</v>
      </c>
      <c r="E167" s="325">
        <v>3</v>
      </c>
      <c r="F167" s="320" t="s">
        <v>612</v>
      </c>
      <c r="G167" s="329">
        <v>2.4</v>
      </c>
      <c r="H167" s="323">
        <v>5.4</v>
      </c>
      <c r="I167" s="325">
        <v>2.6</v>
      </c>
    </row>
    <row r="168" spans="2:9" ht="15" x14ac:dyDescent="0.35">
      <c r="B168" s="322" t="s">
        <v>613</v>
      </c>
      <c r="C168" s="325">
        <v>3</v>
      </c>
      <c r="D168" s="321">
        <v>4.2</v>
      </c>
      <c r="E168" s="325">
        <v>2.8</v>
      </c>
      <c r="F168" s="318" t="s">
        <v>614</v>
      </c>
      <c r="G168" s="324">
        <v>2.1</v>
      </c>
      <c r="H168" s="319">
        <v>5.9</v>
      </c>
      <c r="I168" s="324">
        <v>1.9</v>
      </c>
    </row>
    <row r="169" spans="2:9" ht="15" x14ac:dyDescent="0.35">
      <c r="B169" s="322" t="s">
        <v>615</v>
      </c>
      <c r="C169" s="325">
        <v>2.8</v>
      </c>
      <c r="D169" s="321">
        <v>3.9</v>
      </c>
      <c r="E169" s="325">
        <v>3.1</v>
      </c>
      <c r="F169" s="318" t="s">
        <v>616</v>
      </c>
      <c r="G169" s="324">
        <v>2.2999999999999998</v>
      </c>
      <c r="H169" s="319">
        <v>6.7</v>
      </c>
      <c r="I169" s="324">
        <v>1.6</v>
      </c>
    </row>
    <row r="170" spans="2:9" ht="15" x14ac:dyDescent="0.35">
      <c r="B170" s="322" t="s">
        <v>617</v>
      </c>
      <c r="C170" s="325">
        <v>2.9</v>
      </c>
      <c r="D170" s="321">
        <v>3.7</v>
      </c>
      <c r="E170" s="325">
        <v>3</v>
      </c>
      <c r="F170" s="318" t="s">
        <v>618</v>
      </c>
      <c r="G170" s="324">
        <v>2.5</v>
      </c>
      <c r="H170" s="319">
        <v>6.3</v>
      </c>
      <c r="I170" s="324">
        <v>1.9</v>
      </c>
    </row>
    <row r="171" spans="2:9" ht="15" x14ac:dyDescent="0.35">
      <c r="B171" s="322" t="s">
        <v>619</v>
      </c>
      <c r="C171" s="325">
        <v>2.9</v>
      </c>
      <c r="D171" s="321">
        <v>4.3</v>
      </c>
      <c r="E171" s="325">
        <v>2.8</v>
      </c>
      <c r="F171" s="320" t="s">
        <v>620</v>
      </c>
      <c r="G171" s="329">
        <v>2.7</v>
      </c>
      <c r="H171" s="323">
        <v>7.9</v>
      </c>
      <c r="I171" s="325">
        <v>0.6</v>
      </c>
    </row>
    <row r="172" spans="2:9" ht="15" x14ac:dyDescent="0.35">
      <c r="B172" s="322" t="s">
        <v>621</v>
      </c>
      <c r="C172" s="325">
        <v>2.6</v>
      </c>
      <c r="D172" s="321">
        <v>3.9</v>
      </c>
      <c r="E172" s="325">
        <v>3.3</v>
      </c>
      <c r="F172" s="322" t="s">
        <v>622</v>
      </c>
      <c r="G172" s="325">
        <v>2</v>
      </c>
      <c r="H172" s="321">
        <v>6.5</v>
      </c>
      <c r="I172" s="325">
        <v>1.5</v>
      </c>
    </row>
    <row r="173" spans="2:9" ht="15" x14ac:dyDescent="0.35">
      <c r="B173" s="322" t="s">
        <v>623</v>
      </c>
      <c r="C173" s="325">
        <v>4.4000000000000004</v>
      </c>
      <c r="D173" s="321">
        <v>4.7</v>
      </c>
      <c r="E173" s="325">
        <v>1.7</v>
      </c>
      <c r="F173" s="322" t="s">
        <v>624</v>
      </c>
      <c r="G173" s="325">
        <v>1.8</v>
      </c>
      <c r="H173" s="321">
        <v>6.8</v>
      </c>
      <c r="I173" s="325">
        <v>1.4</v>
      </c>
    </row>
    <row r="174" spans="2:9" ht="15" x14ac:dyDescent="0.35">
      <c r="B174" s="322" t="s">
        <v>625</v>
      </c>
      <c r="C174" s="325">
        <v>3</v>
      </c>
      <c r="D174" s="321">
        <v>3.8</v>
      </c>
      <c r="E174" s="325">
        <v>3.3</v>
      </c>
      <c r="F174" s="318" t="s">
        <v>601</v>
      </c>
      <c r="G174" s="324">
        <v>2.2999999999999998</v>
      </c>
      <c r="H174" s="319">
        <v>4.9000000000000004</v>
      </c>
      <c r="I174" s="324">
        <v>3</v>
      </c>
    </row>
    <row r="175" spans="2:9" ht="15" x14ac:dyDescent="0.35">
      <c r="B175" s="322" t="s">
        <v>626</v>
      </c>
      <c r="C175" s="325">
        <v>0</v>
      </c>
      <c r="D175" s="321">
        <v>0</v>
      </c>
      <c r="E175" s="325">
        <v>0</v>
      </c>
      <c r="F175" s="322" t="s">
        <v>603</v>
      </c>
      <c r="G175" s="325">
        <v>1.9</v>
      </c>
      <c r="H175" s="321">
        <v>4.3</v>
      </c>
      <c r="I175" s="325">
        <v>3.5</v>
      </c>
    </row>
    <row r="176" spans="2:9" ht="15" x14ac:dyDescent="0.35">
      <c r="B176" s="318" t="s">
        <v>627</v>
      </c>
      <c r="C176" s="324">
        <v>2.7</v>
      </c>
      <c r="D176" s="319">
        <v>5.2</v>
      </c>
      <c r="E176" s="324">
        <v>2</v>
      </c>
      <c r="F176" s="322" t="s">
        <v>605</v>
      </c>
      <c r="G176" s="325">
        <v>1.8</v>
      </c>
      <c r="H176" s="321">
        <v>5.2</v>
      </c>
      <c r="I176" s="325">
        <v>3.1</v>
      </c>
    </row>
    <row r="177" spans="2:9" ht="15" x14ac:dyDescent="0.35">
      <c r="B177" s="322" t="s">
        <v>628</v>
      </c>
      <c r="C177" s="325">
        <v>3.8</v>
      </c>
      <c r="D177" s="321">
        <v>4.3</v>
      </c>
      <c r="E177" s="325">
        <v>2.7</v>
      </c>
      <c r="F177" s="322" t="s">
        <v>629</v>
      </c>
      <c r="G177" s="325">
        <v>2.5</v>
      </c>
      <c r="H177" s="321">
        <v>5.3</v>
      </c>
      <c r="I177" s="325">
        <v>2.2999999999999998</v>
      </c>
    </row>
    <row r="178" spans="2:9" ht="15" x14ac:dyDescent="0.35">
      <c r="B178" s="322" t="s">
        <v>630</v>
      </c>
      <c r="C178" s="325">
        <v>3.4</v>
      </c>
      <c r="D178" s="321">
        <v>4</v>
      </c>
      <c r="E178" s="325">
        <v>2.8</v>
      </c>
      <c r="F178" s="322" t="s">
        <v>631</v>
      </c>
      <c r="G178" s="325">
        <v>1.5</v>
      </c>
      <c r="H178" s="321">
        <v>4.8</v>
      </c>
      <c r="I178" s="325">
        <v>3.4</v>
      </c>
    </row>
    <row r="179" spans="2:9" ht="15" x14ac:dyDescent="0.35">
      <c r="B179" s="318" t="s">
        <v>632</v>
      </c>
      <c r="C179" s="324">
        <v>4.9000000000000004</v>
      </c>
      <c r="D179" s="319">
        <v>4.3</v>
      </c>
      <c r="E179" s="324">
        <v>2.4</v>
      </c>
      <c r="F179" s="322" t="s">
        <v>633</v>
      </c>
      <c r="G179" s="325">
        <v>1.9</v>
      </c>
      <c r="H179" s="321">
        <v>4.7</v>
      </c>
      <c r="I179" s="325">
        <v>3.1</v>
      </c>
    </row>
    <row r="180" spans="2:9" ht="15" x14ac:dyDescent="0.35">
      <c r="B180" s="318" t="s">
        <v>634</v>
      </c>
      <c r="C180" s="324">
        <v>2.6</v>
      </c>
      <c r="D180" s="319">
        <v>3.8</v>
      </c>
      <c r="E180" s="324">
        <v>3</v>
      </c>
      <c r="F180" s="322" t="s">
        <v>635</v>
      </c>
      <c r="G180" s="325">
        <v>1.7</v>
      </c>
      <c r="H180" s="321">
        <v>4.9000000000000004</v>
      </c>
      <c r="I180" s="325">
        <v>3.2</v>
      </c>
    </row>
    <row r="181" spans="2:9" ht="15" x14ac:dyDescent="0.35">
      <c r="B181" s="322" t="s">
        <v>636</v>
      </c>
      <c r="C181" s="325">
        <v>3</v>
      </c>
      <c r="D181" s="321">
        <v>3.5</v>
      </c>
      <c r="E181" s="325">
        <v>3.5</v>
      </c>
      <c r="F181" s="322" t="s">
        <v>613</v>
      </c>
      <c r="G181" s="325">
        <v>2</v>
      </c>
      <c r="H181" s="321">
        <v>5.2</v>
      </c>
      <c r="I181" s="325">
        <v>2.5</v>
      </c>
    </row>
    <row r="182" spans="2:9" ht="15" x14ac:dyDescent="0.35">
      <c r="B182" s="322"/>
      <c r="C182" s="322"/>
      <c r="D182" s="322"/>
      <c r="E182" s="322"/>
      <c r="F182" s="322" t="s">
        <v>615</v>
      </c>
      <c r="G182" s="325">
        <v>2.1</v>
      </c>
      <c r="H182" s="321">
        <v>5.5</v>
      </c>
      <c r="I182" s="325">
        <v>2.5</v>
      </c>
    </row>
    <row r="183" spans="2:9" ht="15" x14ac:dyDescent="0.35">
      <c r="B183" s="322"/>
      <c r="C183" s="322"/>
      <c r="D183" s="322"/>
      <c r="E183" s="322"/>
      <c r="F183" s="322" t="s">
        <v>619</v>
      </c>
      <c r="G183" s="325">
        <v>2.1</v>
      </c>
      <c r="H183" s="321">
        <v>5.7</v>
      </c>
      <c r="I183" s="325">
        <v>2.6</v>
      </c>
    </row>
    <row r="184" spans="2:9" ht="15" x14ac:dyDescent="0.35">
      <c r="B184" s="322"/>
      <c r="C184" s="322"/>
      <c r="D184" s="322"/>
      <c r="E184" s="322"/>
      <c r="F184" s="322" t="s">
        <v>637</v>
      </c>
      <c r="G184" s="325">
        <v>1.8</v>
      </c>
      <c r="H184" s="321">
        <v>5.0999999999999996</v>
      </c>
      <c r="I184" s="325">
        <v>2.9</v>
      </c>
    </row>
    <row r="185" spans="2:9" ht="15" x14ac:dyDescent="0.35">
      <c r="B185" s="322"/>
      <c r="C185" s="322"/>
      <c r="D185" s="322"/>
      <c r="E185" s="322"/>
      <c r="F185" s="322" t="s">
        <v>626</v>
      </c>
      <c r="G185" s="325">
        <v>0</v>
      </c>
      <c r="H185" s="321">
        <v>0</v>
      </c>
      <c r="I185" s="325">
        <v>0</v>
      </c>
    </row>
    <row r="186" spans="2:9" ht="15" x14ac:dyDescent="0.35">
      <c r="B186" s="322"/>
      <c r="C186" s="322"/>
      <c r="D186" s="322"/>
      <c r="E186" s="322"/>
      <c r="F186" s="318" t="s">
        <v>627</v>
      </c>
      <c r="G186" s="324">
        <v>2.2000000000000002</v>
      </c>
      <c r="H186" s="319">
        <v>6.1</v>
      </c>
      <c r="I186" s="324">
        <v>2</v>
      </c>
    </row>
    <row r="187" spans="2:9" ht="15" x14ac:dyDescent="0.35">
      <c r="B187" s="322"/>
      <c r="C187" s="322"/>
      <c r="D187" s="322"/>
      <c r="E187" s="322"/>
      <c r="F187" s="318" t="s">
        <v>638</v>
      </c>
      <c r="G187" s="324">
        <v>1.9</v>
      </c>
      <c r="H187" s="319">
        <v>5.4</v>
      </c>
      <c r="I187" s="324">
        <v>2.5</v>
      </c>
    </row>
    <row r="188" spans="2:9" ht="15" x14ac:dyDescent="0.35">
      <c r="B188" s="322"/>
      <c r="C188" s="322"/>
      <c r="D188" s="322"/>
      <c r="E188" s="322"/>
      <c r="F188" s="320" t="s">
        <v>639</v>
      </c>
      <c r="G188" s="329">
        <v>2</v>
      </c>
      <c r="H188" s="323">
        <v>5.2</v>
      </c>
      <c r="I188" s="325">
        <v>3</v>
      </c>
    </row>
    <row r="189" spans="2:9" ht="15" x14ac:dyDescent="0.35">
      <c r="B189" s="322"/>
      <c r="C189" s="322"/>
      <c r="D189" s="322"/>
      <c r="E189" s="322"/>
      <c r="F189" s="322" t="s">
        <v>640</v>
      </c>
      <c r="G189" s="325">
        <v>2.7</v>
      </c>
      <c r="H189" s="321">
        <v>7.1</v>
      </c>
      <c r="I189" s="325">
        <v>1.2</v>
      </c>
    </row>
    <row r="190" spans="2:9" ht="15" x14ac:dyDescent="0.35">
      <c r="B190" s="322"/>
      <c r="C190" s="322"/>
      <c r="D190" s="322"/>
      <c r="E190" s="322"/>
      <c r="F190" s="322" t="s">
        <v>641</v>
      </c>
      <c r="G190" s="325">
        <v>4.2</v>
      </c>
      <c r="H190" s="321">
        <v>9.4</v>
      </c>
      <c r="I190" s="325">
        <v>0.3</v>
      </c>
    </row>
    <row r="191" spans="2:9" ht="15" x14ac:dyDescent="0.35">
      <c r="B191" s="322"/>
      <c r="C191" s="322"/>
      <c r="D191" s="322"/>
      <c r="E191" s="322"/>
      <c r="F191" s="322" t="s">
        <v>642</v>
      </c>
      <c r="G191" s="325">
        <v>3.9</v>
      </c>
      <c r="H191" s="321">
        <v>8.5</v>
      </c>
      <c r="I191" s="325">
        <v>1</v>
      </c>
    </row>
    <row r="192" spans="2:9" ht="15" x14ac:dyDescent="0.35">
      <c r="B192" s="322"/>
      <c r="C192" s="322"/>
      <c r="D192" s="322"/>
      <c r="E192" s="322"/>
      <c r="F192" s="322" t="s">
        <v>630</v>
      </c>
      <c r="G192" s="325">
        <v>2.5</v>
      </c>
      <c r="H192" s="321">
        <v>5.2</v>
      </c>
      <c r="I192" s="325">
        <v>2.8</v>
      </c>
    </row>
    <row r="193" spans="2:9" ht="15" x14ac:dyDescent="0.35">
      <c r="B193" s="322"/>
      <c r="C193" s="322"/>
      <c r="D193" s="322"/>
      <c r="E193" s="322"/>
      <c r="F193" s="318" t="s">
        <v>632</v>
      </c>
      <c r="G193" s="324">
        <v>4.9000000000000004</v>
      </c>
      <c r="H193" s="319">
        <v>5.8</v>
      </c>
      <c r="I193" s="324">
        <v>1.6</v>
      </c>
    </row>
    <row r="194" spans="2:9" ht="15" x14ac:dyDescent="0.35">
      <c r="B194" s="322"/>
      <c r="C194" s="322"/>
      <c r="D194" s="322"/>
      <c r="E194" s="322"/>
      <c r="F194" s="318" t="s">
        <v>643</v>
      </c>
      <c r="G194" s="324">
        <v>2</v>
      </c>
      <c r="H194" s="319">
        <v>3.8</v>
      </c>
      <c r="I194" s="324">
        <v>3.7</v>
      </c>
    </row>
  </sheetData>
  <mergeCells count="55">
    <mergeCell ref="B1:N4"/>
    <mergeCell ref="B101:I102"/>
    <mergeCell ref="B123:K125"/>
    <mergeCell ref="D127:K127"/>
    <mergeCell ref="D128:E128"/>
    <mergeCell ref="B104:D105"/>
    <mergeCell ref="E104:G105"/>
    <mergeCell ref="F128:G128"/>
    <mergeCell ref="H128:I128"/>
    <mergeCell ref="J128:K128"/>
    <mergeCell ref="B129:B133"/>
    <mergeCell ref="D129:E129"/>
    <mergeCell ref="F129:G129"/>
    <mergeCell ref="H129:I129"/>
    <mergeCell ref="J129:K129"/>
    <mergeCell ref="D130:E130"/>
    <mergeCell ref="F130:G130"/>
    <mergeCell ref="H130:I130"/>
    <mergeCell ref="J130:K130"/>
    <mergeCell ref="D131:E131"/>
    <mergeCell ref="F131:G131"/>
    <mergeCell ref="H131:I131"/>
    <mergeCell ref="J131:K131"/>
    <mergeCell ref="D132:E132"/>
    <mergeCell ref="F132:G132"/>
    <mergeCell ref="H132:I132"/>
    <mergeCell ref="J132:K132"/>
    <mergeCell ref="D133:E133"/>
    <mergeCell ref="F133:G133"/>
    <mergeCell ref="H133:I133"/>
    <mergeCell ref="J133:K133"/>
    <mergeCell ref="J137:K137"/>
    <mergeCell ref="D138:E138"/>
    <mergeCell ref="F138:G138"/>
    <mergeCell ref="H138:I138"/>
    <mergeCell ref="B134:B138"/>
    <mergeCell ref="D134:E134"/>
    <mergeCell ref="F134:G134"/>
    <mergeCell ref="H134:I134"/>
    <mergeCell ref="J134:K134"/>
    <mergeCell ref="J138:K138"/>
    <mergeCell ref="J135:K135"/>
    <mergeCell ref="D136:E136"/>
    <mergeCell ref="F136:G136"/>
    <mergeCell ref="H136:I136"/>
    <mergeCell ref="J136:K136"/>
    <mergeCell ref="B141:E141"/>
    <mergeCell ref="F141:I141"/>
    <mergeCell ref="B140:I140"/>
    <mergeCell ref="D135:E135"/>
    <mergeCell ref="F135:G135"/>
    <mergeCell ref="H135:I135"/>
    <mergeCell ref="D137:E137"/>
    <mergeCell ref="F137:G137"/>
    <mergeCell ref="H137:I137"/>
  </mergeCells>
  <conditionalFormatting sqref="B141">
    <cfRule type="expression" dxfId="7" priority="4" stopIfTrue="1">
      <formula>AND($J$99="D",$K$99=1)</formula>
    </cfRule>
  </conditionalFormatting>
  <conditionalFormatting sqref="C129:K133">
    <cfRule type="expression" dxfId="6" priority="7" stopIfTrue="1">
      <formula>$K$170=1</formula>
    </cfRule>
  </conditionalFormatting>
  <conditionalFormatting sqref="C134:K139">
    <cfRule type="expression" dxfId="5" priority="8" stopIfTrue="1">
      <formula>$K$170=2</formula>
    </cfRule>
  </conditionalFormatting>
  <conditionalFormatting sqref="F141 B145 F159 B161">
    <cfRule type="expression" dxfId="4" priority="5" stopIfTrue="1">
      <formula>AND($J$99="R",$K$99=1)</formula>
    </cfRule>
  </conditionalFormatting>
  <conditionalFormatting sqref="F143:G149">
    <cfRule type="expression" dxfId="3" priority="3" stopIfTrue="1">
      <formula>AND($J$99="R",$K$99=1)</formula>
    </cfRule>
  </conditionalFormatting>
  <conditionalFormatting sqref="F171:G177 F186">
    <cfRule type="expression" dxfId="2" priority="2" stopIfTrue="1">
      <formula>AND($J$91="R",$K$91=1)</formula>
    </cfRule>
  </conditionalFormatting>
  <conditionalFormatting sqref="H143:H149">
    <cfRule type="expression" dxfId="1" priority="6" stopIfTrue="1">
      <formula>AND($J$99="r",$K$99=2)</formula>
    </cfRule>
  </conditionalFormatting>
  <conditionalFormatting sqref="H171:H177">
    <cfRule type="expression" dxfId="0" priority="1" stopIfTrue="1">
      <formula>AND($J$91="r",$K$91=2)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4FAA-7284-47E1-A7D9-367F22B1B763}">
  <dimension ref="A1:L116"/>
  <sheetViews>
    <sheetView zoomScale="96" zoomScaleNormal="96" workbookViewId="0">
      <selection activeCell="C7" sqref="C7"/>
    </sheetView>
  </sheetViews>
  <sheetFormatPr baseColWidth="10" defaultRowHeight="14.4" x14ac:dyDescent="0.3"/>
  <cols>
    <col min="1" max="1" width="20.109375" customWidth="1"/>
    <col min="2" max="2" width="35.77734375" customWidth="1"/>
  </cols>
  <sheetData>
    <row r="1" spans="1:12" x14ac:dyDescent="0.3">
      <c r="A1" s="660" t="s">
        <v>216</v>
      </c>
      <c r="B1" s="385" t="s">
        <v>749</v>
      </c>
      <c r="C1" s="663">
        <f>[1]HISTORIA!C4</f>
        <v>0</v>
      </c>
      <c r="D1" s="664"/>
      <c r="E1" s="664"/>
      <c r="F1" s="664"/>
      <c r="G1" s="664"/>
      <c r="H1" s="664"/>
      <c r="I1" s="664"/>
      <c r="J1" s="664"/>
      <c r="K1" s="664"/>
      <c r="L1" s="665"/>
    </row>
    <row r="2" spans="1:12" x14ac:dyDescent="0.3">
      <c r="A2" s="661"/>
      <c r="B2" s="385" t="s">
        <v>332</v>
      </c>
      <c r="C2" s="386"/>
      <c r="D2" s="386"/>
      <c r="E2" s="386"/>
      <c r="F2" s="386"/>
      <c r="G2" s="386"/>
      <c r="H2" s="386"/>
      <c r="I2" s="386"/>
      <c r="J2" s="386"/>
      <c r="K2" s="386"/>
      <c r="L2" s="386"/>
    </row>
    <row r="3" spans="1:12" x14ac:dyDescent="0.3">
      <c r="A3" s="661"/>
      <c r="B3" s="385" t="s">
        <v>293</v>
      </c>
      <c r="C3" s="666">
        <f>HISTORIA!C6</f>
        <v>0</v>
      </c>
      <c r="D3" s="667"/>
      <c r="E3" s="667"/>
      <c r="F3" s="667"/>
      <c r="G3" s="667"/>
      <c r="H3" s="667"/>
      <c r="I3" s="667"/>
      <c r="J3" s="667"/>
      <c r="K3" s="667"/>
      <c r="L3" s="668"/>
    </row>
    <row r="4" spans="1:12" x14ac:dyDescent="0.3">
      <c r="A4" s="662"/>
      <c r="B4" s="385" t="s">
        <v>750</v>
      </c>
      <c r="C4" s="387">
        <f>(C2-C3)/365</f>
        <v>0</v>
      </c>
      <c r="D4" s="387">
        <f>(D2-D3)/365</f>
        <v>0</v>
      </c>
      <c r="E4" s="387">
        <f t="shared" ref="E4:L4" si="0">(E2-E3)/365</f>
        <v>0</v>
      </c>
      <c r="F4" s="387">
        <f t="shared" si="0"/>
        <v>0</v>
      </c>
      <c r="G4" s="387">
        <f t="shared" si="0"/>
        <v>0</v>
      </c>
      <c r="H4" s="387">
        <f t="shared" si="0"/>
        <v>0</v>
      </c>
      <c r="I4" s="387">
        <f t="shared" si="0"/>
        <v>0</v>
      </c>
      <c r="J4" s="387">
        <f t="shared" si="0"/>
        <v>0</v>
      </c>
      <c r="K4" s="387">
        <f t="shared" si="0"/>
        <v>0</v>
      </c>
      <c r="L4" s="387">
        <f t="shared" si="0"/>
        <v>0</v>
      </c>
    </row>
    <row r="5" spans="1:12" x14ac:dyDescent="0.3">
      <c r="A5" s="669" t="s">
        <v>751</v>
      </c>
      <c r="B5" s="385" t="s">
        <v>1</v>
      </c>
      <c r="C5" s="388"/>
      <c r="D5" s="388"/>
      <c r="E5" s="388"/>
      <c r="F5" s="388"/>
      <c r="G5" s="388"/>
      <c r="H5" s="388"/>
      <c r="I5" s="388"/>
      <c r="J5" s="388"/>
      <c r="K5" s="388"/>
      <c r="L5" s="388"/>
    </row>
    <row r="6" spans="1:12" x14ac:dyDescent="0.3">
      <c r="A6" s="670"/>
      <c r="B6" s="385" t="s">
        <v>752</v>
      </c>
      <c r="C6" s="388"/>
      <c r="D6" s="388"/>
      <c r="E6" s="388"/>
      <c r="F6" s="388"/>
      <c r="G6" s="388"/>
      <c r="H6" s="388"/>
      <c r="I6" s="388"/>
      <c r="J6" s="388"/>
      <c r="K6" s="388"/>
      <c r="L6" s="388"/>
    </row>
    <row r="7" spans="1:12" x14ac:dyDescent="0.3">
      <c r="A7" s="670"/>
      <c r="B7" s="385" t="s">
        <v>753</v>
      </c>
      <c r="C7" s="388">
        <f>C8-43</f>
        <v>-43</v>
      </c>
      <c r="D7" s="388">
        <f t="shared" ref="D7:L7" si="1">D8-43</f>
        <v>-43</v>
      </c>
      <c r="E7" s="388">
        <f t="shared" si="1"/>
        <v>-43</v>
      </c>
      <c r="F7" s="388">
        <f t="shared" si="1"/>
        <v>-43</v>
      </c>
      <c r="G7" s="388">
        <f t="shared" si="1"/>
        <v>-43</v>
      </c>
      <c r="H7" s="388">
        <f t="shared" si="1"/>
        <v>-43</v>
      </c>
      <c r="I7" s="388">
        <f t="shared" si="1"/>
        <v>-43</v>
      </c>
      <c r="J7" s="388">
        <f t="shared" si="1"/>
        <v>-43</v>
      </c>
      <c r="K7" s="388">
        <f t="shared" si="1"/>
        <v>-43</v>
      </c>
      <c r="L7" s="388">
        <f t="shared" si="1"/>
        <v>-43</v>
      </c>
    </row>
    <row r="8" spans="1:12" x14ac:dyDescent="0.3">
      <c r="A8" s="671"/>
      <c r="B8" s="385" t="s">
        <v>754</v>
      </c>
      <c r="C8" s="388"/>
      <c r="D8" s="388"/>
      <c r="E8" s="388"/>
      <c r="F8" s="388"/>
      <c r="G8" s="388"/>
      <c r="H8" s="388"/>
      <c r="I8" s="388"/>
      <c r="J8" s="388"/>
      <c r="K8" s="388"/>
      <c r="L8" s="388"/>
    </row>
    <row r="9" spans="1:12" x14ac:dyDescent="0.3">
      <c r="A9" s="389"/>
      <c r="B9" s="390"/>
      <c r="C9" s="391"/>
      <c r="D9" s="391"/>
      <c r="E9" s="391"/>
      <c r="F9" s="391"/>
      <c r="G9" s="391"/>
      <c r="H9" s="391"/>
      <c r="I9" s="391"/>
      <c r="J9" s="391"/>
      <c r="K9" s="391"/>
      <c r="L9" s="391"/>
    </row>
    <row r="10" spans="1:12" x14ac:dyDescent="0.3">
      <c r="A10" s="672" t="s">
        <v>755</v>
      </c>
      <c r="B10" s="392" t="s">
        <v>756</v>
      </c>
      <c r="C10" s="388"/>
      <c r="D10" s="388"/>
      <c r="E10" s="388"/>
      <c r="F10" s="388"/>
      <c r="G10" s="388"/>
      <c r="H10" s="388"/>
      <c r="I10" s="388"/>
      <c r="J10" s="388"/>
      <c r="K10" s="388"/>
      <c r="L10" s="388"/>
    </row>
    <row r="11" spans="1:12" x14ac:dyDescent="0.3">
      <c r="A11" s="673"/>
      <c r="B11" s="393" t="s">
        <v>6</v>
      </c>
      <c r="C11" s="388"/>
      <c r="D11" s="388"/>
      <c r="E11" s="388"/>
      <c r="F11" s="388"/>
      <c r="G11" s="388"/>
      <c r="H11" s="388"/>
      <c r="I11" s="388"/>
      <c r="J11" s="388"/>
      <c r="K11" s="388"/>
      <c r="L11" s="388"/>
    </row>
    <row r="12" spans="1:12" x14ac:dyDescent="0.3">
      <c r="A12" s="673"/>
      <c r="B12" s="393" t="s">
        <v>7</v>
      </c>
      <c r="C12" s="388"/>
      <c r="D12" s="388"/>
      <c r="E12" s="388"/>
      <c r="F12" s="388"/>
      <c r="G12" s="388"/>
      <c r="H12" s="388"/>
      <c r="I12" s="388"/>
      <c r="J12" s="388"/>
      <c r="K12" s="388"/>
      <c r="L12" s="388"/>
    </row>
    <row r="13" spans="1:12" x14ac:dyDescent="0.3">
      <c r="A13" s="673"/>
      <c r="B13" s="393" t="s">
        <v>203</v>
      </c>
      <c r="C13" s="388"/>
      <c r="D13" s="388"/>
      <c r="E13" s="388"/>
      <c r="F13" s="388"/>
      <c r="G13" s="388"/>
      <c r="H13" s="388"/>
      <c r="I13" s="388"/>
      <c r="J13" s="388"/>
      <c r="K13" s="388"/>
      <c r="L13" s="388"/>
    </row>
    <row r="14" spans="1:12" x14ac:dyDescent="0.3">
      <c r="A14" s="673"/>
      <c r="B14" s="393" t="s">
        <v>9</v>
      </c>
      <c r="C14" s="388"/>
      <c r="D14" s="388"/>
      <c r="E14" s="388"/>
      <c r="F14" s="388"/>
      <c r="G14" s="388"/>
      <c r="H14" s="388"/>
      <c r="I14" s="388"/>
      <c r="J14" s="388"/>
      <c r="K14" s="388"/>
      <c r="L14" s="388"/>
    </row>
    <row r="15" spans="1:12" x14ac:dyDescent="0.3">
      <c r="A15" s="673"/>
      <c r="B15" s="393" t="s">
        <v>10</v>
      </c>
      <c r="C15" s="388"/>
      <c r="D15" s="388"/>
      <c r="E15" s="388"/>
      <c r="F15" s="388"/>
      <c r="G15" s="388"/>
      <c r="H15" s="388"/>
      <c r="I15" s="388"/>
      <c r="J15" s="388"/>
      <c r="K15" s="388"/>
      <c r="L15" s="388"/>
    </row>
    <row r="16" spans="1:12" x14ac:dyDescent="0.3">
      <c r="A16" s="673"/>
      <c r="B16" s="393" t="s">
        <v>757</v>
      </c>
      <c r="C16" s="388"/>
      <c r="D16" s="388"/>
      <c r="E16" s="388"/>
      <c r="F16" s="388"/>
      <c r="G16" s="388"/>
      <c r="H16" s="388"/>
      <c r="I16" s="388"/>
      <c r="J16" s="388"/>
      <c r="K16" s="388"/>
      <c r="L16" s="388"/>
    </row>
    <row r="17" spans="1:12" x14ac:dyDescent="0.3">
      <c r="A17" s="673"/>
      <c r="B17" s="393" t="s">
        <v>201</v>
      </c>
      <c r="C17" s="388"/>
      <c r="D17" s="388"/>
      <c r="E17" s="388"/>
      <c r="F17" s="388"/>
      <c r="G17" s="388"/>
      <c r="H17" s="388"/>
      <c r="I17" s="388"/>
      <c r="J17" s="388"/>
      <c r="K17" s="388"/>
      <c r="L17" s="388"/>
    </row>
    <row r="18" spans="1:12" x14ac:dyDescent="0.3">
      <c r="A18" s="389"/>
      <c r="B18" s="394"/>
      <c r="C18" s="391"/>
      <c r="D18" s="391"/>
      <c r="E18" s="391"/>
      <c r="F18" s="391"/>
      <c r="G18" s="391"/>
      <c r="H18" s="391"/>
      <c r="I18" s="391"/>
      <c r="J18" s="391"/>
      <c r="K18" s="391"/>
      <c r="L18" s="391"/>
    </row>
    <row r="19" spans="1:12" x14ac:dyDescent="0.3">
      <c r="A19" s="674" t="s">
        <v>758</v>
      </c>
      <c r="B19" s="393" t="s">
        <v>759</v>
      </c>
      <c r="C19" s="388"/>
      <c r="D19" s="388"/>
      <c r="E19" s="388"/>
      <c r="F19" s="388"/>
      <c r="G19" s="388"/>
      <c r="H19" s="388"/>
      <c r="I19" s="388"/>
      <c r="J19" s="388"/>
      <c r="K19" s="388"/>
      <c r="L19" s="388"/>
    </row>
    <row r="20" spans="1:12" x14ac:dyDescent="0.3">
      <c r="A20" s="674"/>
      <c r="B20" s="393" t="s">
        <v>760</v>
      </c>
      <c r="C20" s="388"/>
      <c r="D20" s="388"/>
      <c r="E20" s="388"/>
      <c r="F20" s="388"/>
      <c r="G20" s="388"/>
      <c r="H20" s="388"/>
      <c r="I20" s="388"/>
      <c r="J20" s="388"/>
      <c r="K20" s="388"/>
      <c r="L20" s="388"/>
    </row>
    <row r="21" spans="1:12" x14ac:dyDescent="0.3">
      <c r="A21" s="674"/>
      <c r="B21" s="393" t="s">
        <v>204</v>
      </c>
      <c r="C21" s="388"/>
      <c r="D21" s="388"/>
      <c r="E21" s="388"/>
      <c r="F21" s="388"/>
      <c r="G21" s="388"/>
      <c r="H21" s="388"/>
      <c r="I21" s="388"/>
      <c r="J21" s="388"/>
      <c r="K21" s="388"/>
      <c r="L21" s="388"/>
    </row>
    <row r="22" spans="1:12" x14ac:dyDescent="0.3">
      <c r="A22" s="674"/>
      <c r="B22" s="393" t="s">
        <v>205</v>
      </c>
      <c r="C22" s="388"/>
      <c r="D22" s="388"/>
      <c r="E22" s="388"/>
      <c r="F22" s="388"/>
      <c r="G22" s="388"/>
      <c r="H22" s="388"/>
      <c r="I22" s="388"/>
      <c r="J22" s="388"/>
      <c r="K22" s="388"/>
      <c r="L22" s="388"/>
    </row>
    <row r="23" spans="1:12" x14ac:dyDescent="0.3">
      <c r="A23" s="674"/>
      <c r="B23" s="393" t="s">
        <v>761</v>
      </c>
      <c r="C23" s="388"/>
      <c r="D23" s="388"/>
      <c r="E23" s="388"/>
      <c r="F23" s="388"/>
      <c r="G23" s="388"/>
      <c r="H23" s="388"/>
      <c r="I23" s="388"/>
      <c r="J23" s="388"/>
      <c r="K23" s="388"/>
      <c r="L23" s="388"/>
    </row>
    <row r="24" spans="1:12" x14ac:dyDescent="0.3">
      <c r="A24" s="674"/>
      <c r="B24" s="393" t="s">
        <v>762</v>
      </c>
      <c r="C24" s="388"/>
      <c r="D24" s="388"/>
      <c r="E24" s="388"/>
      <c r="F24" s="388"/>
      <c r="G24" s="388"/>
      <c r="H24" s="388"/>
      <c r="I24" s="388"/>
      <c r="J24" s="388"/>
      <c r="K24" s="388"/>
      <c r="L24" s="388"/>
    </row>
    <row r="25" spans="1:12" x14ac:dyDescent="0.3">
      <c r="A25" s="674"/>
      <c r="B25" s="393" t="s">
        <v>763</v>
      </c>
      <c r="C25" s="388"/>
      <c r="D25" s="388"/>
      <c r="E25" s="388"/>
      <c r="F25" s="388"/>
      <c r="G25" s="388"/>
      <c r="H25" s="388"/>
      <c r="I25" s="388"/>
      <c r="J25" s="388"/>
      <c r="K25" s="388"/>
      <c r="L25" s="388"/>
    </row>
    <row r="26" spans="1:12" x14ac:dyDescent="0.3">
      <c r="A26" s="674"/>
      <c r="B26" s="393" t="s">
        <v>206</v>
      </c>
      <c r="C26" s="388"/>
      <c r="D26" s="388"/>
      <c r="E26" s="388"/>
      <c r="F26" s="388"/>
      <c r="G26" s="388"/>
      <c r="H26" s="388"/>
      <c r="I26" s="388"/>
      <c r="J26" s="388"/>
      <c r="K26" s="388"/>
      <c r="L26" s="388"/>
    </row>
    <row r="27" spans="1:12" x14ac:dyDescent="0.3">
      <c r="A27" s="674"/>
      <c r="B27" s="393" t="s">
        <v>207</v>
      </c>
      <c r="C27" s="388"/>
      <c r="D27" s="388"/>
      <c r="E27" s="388"/>
      <c r="F27" s="388"/>
      <c r="G27" s="388"/>
      <c r="H27" s="388"/>
      <c r="I27" s="388"/>
      <c r="J27" s="388"/>
      <c r="K27" s="388"/>
      <c r="L27" s="388"/>
    </row>
    <row r="28" spans="1:12" x14ac:dyDescent="0.3">
      <c r="A28" s="674"/>
      <c r="B28" s="393" t="s">
        <v>208</v>
      </c>
      <c r="C28" s="388"/>
      <c r="D28" s="388"/>
      <c r="E28" s="388"/>
      <c r="F28" s="388"/>
      <c r="G28" s="388"/>
      <c r="H28" s="388"/>
      <c r="I28" s="388"/>
      <c r="J28" s="388"/>
      <c r="K28" s="388"/>
      <c r="L28" s="388"/>
    </row>
    <row r="29" spans="1:12" x14ac:dyDescent="0.3">
      <c r="A29" s="674"/>
      <c r="B29" s="393" t="s">
        <v>209</v>
      </c>
      <c r="C29" s="388"/>
      <c r="D29" s="388"/>
      <c r="E29" s="388"/>
      <c r="F29" s="388"/>
      <c r="G29" s="388"/>
      <c r="H29" s="388"/>
      <c r="I29" s="388"/>
      <c r="J29" s="388"/>
      <c r="K29" s="388"/>
      <c r="L29" s="388"/>
    </row>
    <row r="30" spans="1:12" x14ac:dyDescent="0.3">
      <c r="A30" s="674"/>
      <c r="B30" s="393" t="s">
        <v>201</v>
      </c>
      <c r="C30" s="388"/>
      <c r="D30" s="388"/>
      <c r="E30" s="388"/>
      <c r="F30" s="388"/>
      <c r="G30" s="388"/>
      <c r="H30" s="388"/>
      <c r="I30" s="388"/>
      <c r="J30" s="388"/>
      <c r="K30" s="388"/>
      <c r="L30" s="388"/>
    </row>
    <row r="31" spans="1:12" x14ac:dyDescent="0.3">
      <c r="A31" s="674"/>
      <c r="B31" s="395" t="s">
        <v>764</v>
      </c>
      <c r="C31" s="388"/>
      <c r="D31" s="388"/>
      <c r="E31" s="388"/>
      <c r="F31" s="388"/>
      <c r="G31" s="388"/>
      <c r="H31" s="388"/>
      <c r="I31" s="388"/>
      <c r="J31" s="388"/>
      <c r="K31" s="388"/>
      <c r="L31" s="388"/>
    </row>
    <row r="32" spans="1:12" x14ac:dyDescent="0.3">
      <c r="A32" s="389"/>
      <c r="B32" s="394"/>
      <c r="C32" s="391"/>
      <c r="D32" s="391"/>
      <c r="E32" s="391"/>
      <c r="F32" s="391"/>
      <c r="G32" s="391"/>
      <c r="H32" s="391"/>
      <c r="I32" s="391"/>
      <c r="J32" s="391"/>
      <c r="K32" s="391"/>
      <c r="L32" s="391"/>
    </row>
    <row r="33" spans="1:12" x14ac:dyDescent="0.3">
      <c r="A33" s="675" t="s">
        <v>765</v>
      </c>
      <c r="B33" s="392" t="s">
        <v>766</v>
      </c>
      <c r="C33" s="388"/>
      <c r="D33" s="388"/>
      <c r="E33" s="388"/>
      <c r="F33" s="388"/>
      <c r="G33" s="388"/>
      <c r="H33" s="388"/>
      <c r="I33" s="388"/>
      <c r="J33" s="388"/>
      <c r="K33" s="388"/>
      <c r="L33" s="388"/>
    </row>
    <row r="34" spans="1:12" x14ac:dyDescent="0.3">
      <c r="A34" s="675"/>
      <c r="B34" s="393" t="s">
        <v>767</v>
      </c>
      <c r="C34" s="388"/>
      <c r="D34" s="388"/>
      <c r="E34" s="388"/>
      <c r="F34" s="388"/>
      <c r="G34" s="388"/>
      <c r="H34" s="388"/>
      <c r="I34" s="388"/>
      <c r="J34" s="388"/>
      <c r="K34" s="388"/>
      <c r="L34" s="388"/>
    </row>
    <row r="35" spans="1:12" x14ac:dyDescent="0.3">
      <c r="A35" s="675"/>
      <c r="B35" s="393" t="s">
        <v>768</v>
      </c>
      <c r="C35" s="388"/>
      <c r="D35" s="388"/>
      <c r="E35" s="388"/>
      <c r="F35" s="388"/>
      <c r="G35" s="388"/>
      <c r="H35" s="388"/>
      <c r="I35" s="388"/>
      <c r="J35" s="388"/>
      <c r="K35" s="388"/>
      <c r="L35" s="388"/>
    </row>
    <row r="36" spans="1:12" x14ac:dyDescent="0.3">
      <c r="A36" s="675"/>
      <c r="B36" s="393" t="s">
        <v>769</v>
      </c>
      <c r="C36" s="388"/>
      <c r="D36" s="388"/>
      <c r="E36" s="388"/>
      <c r="F36" s="388"/>
      <c r="G36" s="388"/>
      <c r="H36" s="388"/>
      <c r="I36" s="388"/>
      <c r="J36" s="388"/>
      <c r="K36" s="388"/>
      <c r="L36" s="388"/>
    </row>
    <row r="37" spans="1:12" x14ac:dyDescent="0.3">
      <c r="A37" s="675"/>
      <c r="B37" s="393" t="s">
        <v>485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8"/>
    </row>
    <row r="38" spans="1:12" x14ac:dyDescent="0.3">
      <c r="A38" s="675"/>
      <c r="B38" s="393" t="s">
        <v>486</v>
      </c>
      <c r="C38" s="388"/>
      <c r="D38" s="388"/>
      <c r="E38" s="388"/>
      <c r="F38" s="388"/>
      <c r="G38" s="388"/>
      <c r="H38" s="388"/>
      <c r="I38" s="388"/>
      <c r="J38" s="388"/>
      <c r="K38" s="388"/>
      <c r="L38" s="388"/>
    </row>
    <row r="39" spans="1:12" x14ac:dyDescent="0.3">
      <c r="A39" s="676"/>
      <c r="B39" s="395" t="s">
        <v>770</v>
      </c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x14ac:dyDescent="0.3">
      <c r="A40" s="396"/>
      <c r="B40" s="397"/>
      <c r="C40" s="398"/>
      <c r="D40" s="398"/>
      <c r="E40" s="398"/>
      <c r="F40" s="398"/>
      <c r="G40" s="398"/>
      <c r="H40" s="398"/>
      <c r="I40" s="398"/>
      <c r="J40" s="398"/>
      <c r="K40" s="398"/>
      <c r="L40" s="398"/>
    </row>
    <row r="41" spans="1:12" x14ac:dyDescent="0.3">
      <c r="A41" s="677" t="s">
        <v>771</v>
      </c>
      <c r="B41" s="399" t="s">
        <v>772</v>
      </c>
      <c r="C41" s="400">
        <f t="shared" ref="C41:L41" si="2">C21-(3.1416*C10)/10</f>
        <v>0</v>
      </c>
      <c r="D41" s="400">
        <f t="shared" si="2"/>
        <v>0</v>
      </c>
      <c r="E41" s="400">
        <f t="shared" si="2"/>
        <v>0</v>
      </c>
      <c r="F41" s="400">
        <f t="shared" si="2"/>
        <v>0</v>
      </c>
      <c r="G41" s="400">
        <f t="shared" si="2"/>
        <v>0</v>
      </c>
      <c r="H41" s="400">
        <f t="shared" si="2"/>
        <v>0</v>
      </c>
      <c r="I41" s="400">
        <f t="shared" si="2"/>
        <v>0</v>
      </c>
      <c r="J41" s="400">
        <f t="shared" si="2"/>
        <v>0</v>
      </c>
      <c r="K41" s="400">
        <f t="shared" si="2"/>
        <v>0</v>
      </c>
      <c r="L41" s="400">
        <f t="shared" si="2"/>
        <v>0</v>
      </c>
    </row>
    <row r="42" spans="1:12" x14ac:dyDescent="0.3">
      <c r="A42" s="677"/>
      <c r="B42" s="399" t="s">
        <v>773</v>
      </c>
      <c r="C42" s="400">
        <f t="shared" ref="C42:L42" si="3">C25-(3.1416*C11)/10</f>
        <v>0</v>
      </c>
      <c r="D42" s="400">
        <f t="shared" si="3"/>
        <v>0</v>
      </c>
      <c r="E42" s="400">
        <f t="shared" si="3"/>
        <v>0</v>
      </c>
      <c r="F42" s="400">
        <f t="shared" si="3"/>
        <v>0</v>
      </c>
      <c r="G42" s="400">
        <f t="shared" si="3"/>
        <v>0</v>
      </c>
      <c r="H42" s="400">
        <f t="shared" si="3"/>
        <v>0</v>
      </c>
      <c r="I42" s="400">
        <f t="shared" si="3"/>
        <v>0</v>
      </c>
      <c r="J42" s="400">
        <f t="shared" si="3"/>
        <v>0</v>
      </c>
      <c r="K42" s="400">
        <f t="shared" si="3"/>
        <v>0</v>
      </c>
      <c r="L42" s="400">
        <f t="shared" si="3"/>
        <v>0</v>
      </c>
    </row>
    <row r="43" spans="1:12" x14ac:dyDescent="0.3">
      <c r="A43" s="677"/>
      <c r="B43" s="399" t="s">
        <v>774</v>
      </c>
      <c r="C43" s="400">
        <f t="shared" ref="C43:L43" si="4">C28-(3.1416*C16)/10</f>
        <v>0</v>
      </c>
      <c r="D43" s="400">
        <f t="shared" si="4"/>
        <v>0</v>
      </c>
      <c r="E43" s="400">
        <f t="shared" si="4"/>
        <v>0</v>
      </c>
      <c r="F43" s="400">
        <f t="shared" si="4"/>
        <v>0</v>
      </c>
      <c r="G43" s="400">
        <f t="shared" si="4"/>
        <v>0</v>
      </c>
      <c r="H43" s="400">
        <f t="shared" si="4"/>
        <v>0</v>
      </c>
      <c r="I43" s="400">
        <f t="shared" si="4"/>
        <v>0</v>
      </c>
      <c r="J43" s="400">
        <f t="shared" si="4"/>
        <v>0</v>
      </c>
      <c r="K43" s="400">
        <f t="shared" si="4"/>
        <v>0</v>
      </c>
      <c r="L43" s="400">
        <f t="shared" si="4"/>
        <v>0</v>
      </c>
    </row>
    <row r="44" spans="1:12" x14ac:dyDescent="0.3">
      <c r="A44" s="677"/>
      <c r="B44" s="399" t="s">
        <v>775</v>
      </c>
      <c r="C44" s="400">
        <f t="shared" ref="C44:L44" si="5">C30-(3.1416*C17)/10</f>
        <v>0</v>
      </c>
      <c r="D44" s="400">
        <f t="shared" si="5"/>
        <v>0</v>
      </c>
      <c r="E44" s="400">
        <f t="shared" si="5"/>
        <v>0</v>
      </c>
      <c r="F44" s="400">
        <f t="shared" si="5"/>
        <v>0</v>
      </c>
      <c r="G44" s="400">
        <f t="shared" si="5"/>
        <v>0</v>
      </c>
      <c r="H44" s="400">
        <f t="shared" si="5"/>
        <v>0</v>
      </c>
      <c r="I44" s="400">
        <f t="shared" si="5"/>
        <v>0</v>
      </c>
      <c r="J44" s="400">
        <f t="shared" si="5"/>
        <v>0</v>
      </c>
      <c r="K44" s="400">
        <f t="shared" si="5"/>
        <v>0</v>
      </c>
      <c r="L44" s="400">
        <f t="shared" si="5"/>
        <v>0</v>
      </c>
    </row>
    <row r="45" spans="1:12" x14ac:dyDescent="0.3">
      <c r="A45" s="677"/>
      <c r="B45" s="401" t="s">
        <v>776</v>
      </c>
      <c r="C45" s="400">
        <f t="shared" ref="C45:L45" si="6">C26-(3.1416*C15)/10</f>
        <v>0</v>
      </c>
      <c r="D45" s="400">
        <f t="shared" si="6"/>
        <v>0</v>
      </c>
      <c r="E45" s="400">
        <f t="shared" si="6"/>
        <v>0</v>
      </c>
      <c r="F45" s="400">
        <f t="shared" si="6"/>
        <v>0</v>
      </c>
      <c r="G45" s="400">
        <f t="shared" si="6"/>
        <v>0</v>
      </c>
      <c r="H45" s="400">
        <f t="shared" si="6"/>
        <v>0</v>
      </c>
      <c r="I45" s="400">
        <f t="shared" si="6"/>
        <v>0</v>
      </c>
      <c r="J45" s="400">
        <f t="shared" si="6"/>
        <v>0</v>
      </c>
      <c r="K45" s="400">
        <f t="shared" si="6"/>
        <v>0</v>
      </c>
      <c r="L45" s="400">
        <f t="shared" si="6"/>
        <v>0</v>
      </c>
    </row>
    <row r="46" spans="1:12" x14ac:dyDescent="0.3">
      <c r="A46" s="402"/>
      <c r="B46" s="402"/>
      <c r="C46" s="394"/>
      <c r="D46" s="394"/>
      <c r="E46" s="394"/>
      <c r="F46" s="394"/>
      <c r="G46" s="394"/>
      <c r="H46" s="394"/>
      <c r="I46" s="394"/>
      <c r="J46" s="394"/>
      <c r="K46" s="394"/>
      <c r="L46" s="394"/>
    </row>
    <row r="47" spans="1:12" x14ac:dyDescent="0.3">
      <c r="A47" s="678" t="s">
        <v>777</v>
      </c>
      <c r="B47" s="392" t="s">
        <v>778</v>
      </c>
      <c r="C47" s="403">
        <f t="shared" ref="C47:L47" si="7">((68.308*C5^0.425*C6^0.725)/10000)*2.07*1.05</f>
        <v>0</v>
      </c>
      <c r="D47" s="403">
        <f t="shared" si="7"/>
        <v>0</v>
      </c>
      <c r="E47" s="403">
        <f t="shared" si="7"/>
        <v>0</v>
      </c>
      <c r="F47" s="403">
        <f t="shared" si="7"/>
        <v>0</v>
      </c>
      <c r="G47" s="403">
        <f t="shared" si="7"/>
        <v>0</v>
      </c>
      <c r="H47" s="403">
        <f t="shared" si="7"/>
        <v>0</v>
      </c>
      <c r="I47" s="403">
        <f t="shared" si="7"/>
        <v>0</v>
      </c>
      <c r="J47" s="403">
        <f t="shared" si="7"/>
        <v>0</v>
      </c>
      <c r="K47" s="403">
        <f t="shared" si="7"/>
        <v>0</v>
      </c>
      <c r="L47" s="403">
        <f t="shared" si="7"/>
        <v>0</v>
      </c>
    </row>
    <row r="48" spans="1:12" x14ac:dyDescent="0.3">
      <c r="A48" s="679"/>
      <c r="B48" s="393" t="s">
        <v>779</v>
      </c>
      <c r="C48" s="403" t="e">
        <f t="shared" ref="C48:L48" si="8">((((C19-56)/1.44)*0.18)+1.2)/((170.8/C6)^3)+((((((C33+C36+(2*C37)+(2*C38))*(170.8/C6)-98.88)/5.33)*1.34)+6.7)/((170.8/C6)^3))</f>
        <v>#DIV/0!</v>
      </c>
      <c r="D48" s="403" t="e">
        <f t="shared" si="8"/>
        <v>#DIV/0!</v>
      </c>
      <c r="E48" s="403" t="e">
        <f t="shared" si="8"/>
        <v>#DIV/0!</v>
      </c>
      <c r="F48" s="403" t="e">
        <f t="shared" si="8"/>
        <v>#DIV/0!</v>
      </c>
      <c r="G48" s="403" t="e">
        <f t="shared" si="8"/>
        <v>#DIV/0!</v>
      </c>
      <c r="H48" s="403" t="e">
        <f t="shared" si="8"/>
        <v>#DIV/0!</v>
      </c>
      <c r="I48" s="403" t="e">
        <f t="shared" si="8"/>
        <v>#DIV/0!</v>
      </c>
      <c r="J48" s="403" t="e">
        <f t="shared" si="8"/>
        <v>#DIV/0!</v>
      </c>
      <c r="K48" s="403" t="e">
        <f t="shared" si="8"/>
        <v>#DIV/0!</v>
      </c>
      <c r="L48" s="403" t="e">
        <f t="shared" si="8"/>
        <v>#DIV/0!</v>
      </c>
    </row>
    <row r="49" spans="1:12" x14ac:dyDescent="0.3">
      <c r="A49" s="679"/>
      <c r="B49" s="393" t="s">
        <v>780</v>
      </c>
      <c r="C49" s="403" t="e">
        <f t="shared" ref="C49:L49" si="9">(((((C10+C11+C14+C15+C16+C17)*(170.18/C6)-116.41)/34.79)*5.85)+25.6)/((170.18/C6)^3)</f>
        <v>#DIV/0!</v>
      </c>
      <c r="D49" s="403" t="e">
        <f t="shared" si="9"/>
        <v>#DIV/0!</v>
      </c>
      <c r="E49" s="403" t="e">
        <f t="shared" si="9"/>
        <v>#DIV/0!</v>
      </c>
      <c r="F49" s="403" t="e">
        <f t="shared" si="9"/>
        <v>#DIV/0!</v>
      </c>
      <c r="G49" s="403" t="e">
        <f t="shared" si="9"/>
        <v>#DIV/0!</v>
      </c>
      <c r="H49" s="403" t="e">
        <f t="shared" si="9"/>
        <v>#DIV/0!</v>
      </c>
      <c r="I49" s="403" t="e">
        <f t="shared" si="9"/>
        <v>#DIV/0!</v>
      </c>
      <c r="J49" s="403" t="e">
        <f t="shared" si="9"/>
        <v>#DIV/0!</v>
      </c>
      <c r="K49" s="403" t="e">
        <f t="shared" si="9"/>
        <v>#DIV/0!</v>
      </c>
      <c r="L49" s="403" t="e">
        <f t="shared" si="9"/>
        <v>#DIV/0!</v>
      </c>
    </row>
    <row r="50" spans="1:12" x14ac:dyDescent="0.3">
      <c r="A50" s="679"/>
      <c r="B50" s="404" t="s">
        <v>781</v>
      </c>
      <c r="C50" s="405" t="e">
        <f t="shared" ref="C50:L50" si="10">(((((C41+C23+C43+C44+C42)*(170.18/C6))-207.21)/13.74*5.4)+24.5)/((170.18/C6)^3)</f>
        <v>#DIV/0!</v>
      </c>
      <c r="D50" s="405" t="e">
        <f t="shared" si="10"/>
        <v>#DIV/0!</v>
      </c>
      <c r="E50" s="405" t="e">
        <f t="shared" si="10"/>
        <v>#DIV/0!</v>
      </c>
      <c r="F50" s="405" t="e">
        <f t="shared" si="10"/>
        <v>#DIV/0!</v>
      </c>
      <c r="G50" s="405" t="e">
        <f t="shared" si="10"/>
        <v>#DIV/0!</v>
      </c>
      <c r="H50" s="405" t="e">
        <f t="shared" si="10"/>
        <v>#DIV/0!</v>
      </c>
      <c r="I50" s="405" t="e">
        <f t="shared" si="10"/>
        <v>#DIV/0!</v>
      </c>
      <c r="J50" s="405" t="e">
        <f t="shared" si="10"/>
        <v>#DIV/0!</v>
      </c>
      <c r="K50" s="405" t="e">
        <f t="shared" si="10"/>
        <v>#DIV/0!</v>
      </c>
      <c r="L50" s="405" t="e">
        <f t="shared" si="10"/>
        <v>#DIV/0!</v>
      </c>
    </row>
    <row r="51" spans="1:12" x14ac:dyDescent="0.3">
      <c r="A51" s="679"/>
      <c r="B51" s="393" t="s">
        <v>782</v>
      </c>
      <c r="C51" s="403">
        <f t="shared" ref="C51:L51" si="11">(((((C35+C34+C45)*(89.92/C7)-109.35)/7.08)*1.24)+6.1)/((89.92/C7)^3)</f>
        <v>1.4272609565851089</v>
      </c>
      <c r="D51" s="403">
        <f t="shared" si="11"/>
        <v>1.4272609565851089</v>
      </c>
      <c r="E51" s="403">
        <f t="shared" si="11"/>
        <v>1.4272609565851089</v>
      </c>
      <c r="F51" s="403">
        <f t="shared" si="11"/>
        <v>1.4272609565851089</v>
      </c>
      <c r="G51" s="403">
        <f t="shared" si="11"/>
        <v>1.4272609565851089</v>
      </c>
      <c r="H51" s="403">
        <f t="shared" si="11"/>
        <v>1.4272609565851089</v>
      </c>
      <c r="I51" s="403">
        <f t="shared" si="11"/>
        <v>1.4272609565851089</v>
      </c>
      <c r="J51" s="403">
        <f t="shared" si="11"/>
        <v>1.4272609565851089</v>
      </c>
      <c r="K51" s="403">
        <f t="shared" si="11"/>
        <v>1.4272609565851089</v>
      </c>
      <c r="L51" s="403">
        <f t="shared" si="11"/>
        <v>1.4272609565851089</v>
      </c>
    </row>
    <row r="52" spans="1:12" x14ac:dyDescent="0.3">
      <c r="A52" s="679"/>
      <c r="B52" s="406" t="s">
        <v>783</v>
      </c>
      <c r="C52" s="407" t="e">
        <f>SUM(C47:C51)</f>
        <v>#DIV/0!</v>
      </c>
      <c r="D52" s="407" t="e">
        <f t="shared" ref="D52:L52" si="12">SUM(D47:D51)</f>
        <v>#DIV/0!</v>
      </c>
      <c r="E52" s="407" t="e">
        <f t="shared" si="12"/>
        <v>#DIV/0!</v>
      </c>
      <c r="F52" s="407" t="e">
        <f t="shared" si="12"/>
        <v>#DIV/0!</v>
      </c>
      <c r="G52" s="407" t="e">
        <f t="shared" si="12"/>
        <v>#DIV/0!</v>
      </c>
      <c r="H52" s="407" t="e">
        <f t="shared" si="12"/>
        <v>#DIV/0!</v>
      </c>
      <c r="I52" s="407" t="e">
        <f t="shared" si="12"/>
        <v>#DIV/0!</v>
      </c>
      <c r="J52" s="407" t="e">
        <f t="shared" si="12"/>
        <v>#DIV/0!</v>
      </c>
      <c r="K52" s="407" t="e">
        <f t="shared" si="12"/>
        <v>#DIV/0!</v>
      </c>
      <c r="L52" s="407" t="e">
        <f t="shared" si="12"/>
        <v>#DIV/0!</v>
      </c>
    </row>
    <row r="53" spans="1:12" x14ac:dyDescent="0.3">
      <c r="A53" s="679"/>
      <c r="B53" s="393" t="s">
        <v>784</v>
      </c>
      <c r="C53" s="403" t="e">
        <f t="shared" ref="C53:L53" si="13">C52-C5</f>
        <v>#DIV/0!</v>
      </c>
      <c r="D53" s="403" t="e">
        <f t="shared" si="13"/>
        <v>#DIV/0!</v>
      </c>
      <c r="E53" s="403" t="e">
        <f t="shared" si="13"/>
        <v>#DIV/0!</v>
      </c>
      <c r="F53" s="403" t="e">
        <f t="shared" si="13"/>
        <v>#DIV/0!</v>
      </c>
      <c r="G53" s="403" t="e">
        <f t="shared" si="13"/>
        <v>#DIV/0!</v>
      </c>
      <c r="H53" s="403" t="e">
        <f t="shared" si="13"/>
        <v>#DIV/0!</v>
      </c>
      <c r="I53" s="403" t="e">
        <f t="shared" si="13"/>
        <v>#DIV/0!</v>
      </c>
      <c r="J53" s="403" t="e">
        <f t="shared" si="13"/>
        <v>#DIV/0!</v>
      </c>
      <c r="K53" s="403" t="e">
        <f t="shared" si="13"/>
        <v>#DIV/0!</v>
      </c>
      <c r="L53" s="403" t="e">
        <f t="shared" si="13"/>
        <v>#DIV/0!</v>
      </c>
    </row>
    <row r="54" spans="1:12" x14ac:dyDescent="0.3">
      <c r="A54" s="680"/>
      <c r="B54" s="395" t="s">
        <v>785</v>
      </c>
      <c r="C54" s="408" t="e">
        <f t="shared" ref="C54:L54" si="14">(100-((C52/C5)*100))*-1</f>
        <v>#DIV/0!</v>
      </c>
      <c r="D54" s="408" t="e">
        <f t="shared" si="14"/>
        <v>#DIV/0!</v>
      </c>
      <c r="E54" s="408" t="e">
        <f t="shared" si="14"/>
        <v>#DIV/0!</v>
      </c>
      <c r="F54" s="408" t="e">
        <f t="shared" si="14"/>
        <v>#DIV/0!</v>
      </c>
      <c r="G54" s="408" t="e">
        <f t="shared" si="14"/>
        <v>#DIV/0!</v>
      </c>
      <c r="H54" s="408" t="e">
        <f t="shared" si="14"/>
        <v>#DIV/0!</v>
      </c>
      <c r="I54" s="408" t="e">
        <f t="shared" si="14"/>
        <v>#DIV/0!</v>
      </c>
      <c r="J54" s="408" t="e">
        <f t="shared" si="14"/>
        <v>#DIV/0!</v>
      </c>
      <c r="K54" s="408" t="e">
        <f t="shared" si="14"/>
        <v>#DIV/0!</v>
      </c>
      <c r="L54" s="408" t="e">
        <f t="shared" si="14"/>
        <v>#DIV/0!</v>
      </c>
    </row>
    <row r="55" spans="1:12" x14ac:dyDescent="0.3">
      <c r="A55" s="402" t="s">
        <v>786</v>
      </c>
      <c r="B55" s="409"/>
      <c r="C55" s="394"/>
      <c r="D55" s="394"/>
      <c r="E55" s="394"/>
      <c r="F55" s="394"/>
      <c r="G55" s="394"/>
      <c r="H55" s="394"/>
      <c r="I55" s="394"/>
      <c r="J55" s="394"/>
      <c r="K55" s="394"/>
      <c r="L55" s="394"/>
    </row>
    <row r="56" spans="1:12" x14ac:dyDescent="0.3">
      <c r="A56" s="681" t="s">
        <v>787</v>
      </c>
      <c r="B56" s="393" t="s">
        <v>788</v>
      </c>
      <c r="C56" s="403" t="e">
        <f t="shared" ref="C56:L56" si="15">(C47*100)/C52</f>
        <v>#DIV/0!</v>
      </c>
      <c r="D56" s="403" t="e">
        <f t="shared" si="15"/>
        <v>#DIV/0!</v>
      </c>
      <c r="E56" s="403" t="e">
        <f t="shared" si="15"/>
        <v>#DIV/0!</v>
      </c>
      <c r="F56" s="403" t="e">
        <f t="shared" si="15"/>
        <v>#DIV/0!</v>
      </c>
      <c r="G56" s="403" t="e">
        <f t="shared" si="15"/>
        <v>#DIV/0!</v>
      </c>
      <c r="H56" s="403" t="e">
        <f t="shared" si="15"/>
        <v>#DIV/0!</v>
      </c>
      <c r="I56" s="403" t="e">
        <f t="shared" si="15"/>
        <v>#DIV/0!</v>
      </c>
      <c r="J56" s="403" t="e">
        <f t="shared" si="15"/>
        <v>#DIV/0!</v>
      </c>
      <c r="K56" s="403" t="e">
        <f t="shared" si="15"/>
        <v>#DIV/0!</v>
      </c>
      <c r="L56" s="403" t="e">
        <f t="shared" si="15"/>
        <v>#DIV/0!</v>
      </c>
    </row>
    <row r="57" spans="1:12" x14ac:dyDescent="0.3">
      <c r="A57" s="682"/>
      <c r="B57" s="393" t="s">
        <v>789</v>
      </c>
      <c r="C57" s="403" t="e">
        <f t="shared" ref="C57:L57" si="16">(C48*100)/C52</f>
        <v>#DIV/0!</v>
      </c>
      <c r="D57" s="403" t="e">
        <f t="shared" si="16"/>
        <v>#DIV/0!</v>
      </c>
      <c r="E57" s="403" t="e">
        <f t="shared" si="16"/>
        <v>#DIV/0!</v>
      </c>
      <c r="F57" s="403" t="e">
        <f t="shared" si="16"/>
        <v>#DIV/0!</v>
      </c>
      <c r="G57" s="403" t="e">
        <f t="shared" si="16"/>
        <v>#DIV/0!</v>
      </c>
      <c r="H57" s="403" t="e">
        <f t="shared" si="16"/>
        <v>#DIV/0!</v>
      </c>
      <c r="I57" s="403" t="e">
        <f t="shared" si="16"/>
        <v>#DIV/0!</v>
      </c>
      <c r="J57" s="403" t="e">
        <f t="shared" si="16"/>
        <v>#DIV/0!</v>
      </c>
      <c r="K57" s="403" t="e">
        <f t="shared" si="16"/>
        <v>#DIV/0!</v>
      </c>
      <c r="L57" s="403" t="e">
        <f t="shared" si="16"/>
        <v>#DIV/0!</v>
      </c>
    </row>
    <row r="58" spans="1:12" x14ac:dyDescent="0.3">
      <c r="A58" s="683"/>
      <c r="B58" s="410" t="s">
        <v>790</v>
      </c>
      <c r="C58" s="403" t="e">
        <f t="shared" ref="C58:L58" si="17">(C49*100)/C52</f>
        <v>#DIV/0!</v>
      </c>
      <c r="D58" s="403" t="e">
        <f t="shared" si="17"/>
        <v>#DIV/0!</v>
      </c>
      <c r="E58" s="403" t="e">
        <f t="shared" si="17"/>
        <v>#DIV/0!</v>
      </c>
      <c r="F58" s="403" t="e">
        <f t="shared" si="17"/>
        <v>#DIV/0!</v>
      </c>
      <c r="G58" s="403" t="e">
        <f t="shared" si="17"/>
        <v>#DIV/0!</v>
      </c>
      <c r="H58" s="403" t="e">
        <f t="shared" si="17"/>
        <v>#DIV/0!</v>
      </c>
      <c r="I58" s="403" t="e">
        <f t="shared" si="17"/>
        <v>#DIV/0!</v>
      </c>
      <c r="J58" s="403" t="e">
        <f t="shared" si="17"/>
        <v>#DIV/0!</v>
      </c>
      <c r="K58" s="403" t="e">
        <f t="shared" si="17"/>
        <v>#DIV/0!</v>
      </c>
      <c r="L58" s="403" t="e">
        <f t="shared" si="17"/>
        <v>#DIV/0!</v>
      </c>
    </row>
    <row r="59" spans="1:12" x14ac:dyDescent="0.3">
      <c r="A59" s="682"/>
      <c r="B59" s="411" t="s">
        <v>791</v>
      </c>
      <c r="C59" s="412" t="e">
        <f>(C50*100)/C52</f>
        <v>#DIV/0!</v>
      </c>
      <c r="D59" s="412" t="e">
        <f t="shared" ref="D59:L59" si="18">(D50*100)/D52</f>
        <v>#DIV/0!</v>
      </c>
      <c r="E59" s="412" t="e">
        <f t="shared" si="18"/>
        <v>#DIV/0!</v>
      </c>
      <c r="F59" s="412" t="e">
        <f t="shared" si="18"/>
        <v>#DIV/0!</v>
      </c>
      <c r="G59" s="412" t="e">
        <f t="shared" si="18"/>
        <v>#DIV/0!</v>
      </c>
      <c r="H59" s="412" t="e">
        <f t="shared" si="18"/>
        <v>#DIV/0!</v>
      </c>
      <c r="I59" s="412" t="e">
        <f t="shared" si="18"/>
        <v>#DIV/0!</v>
      </c>
      <c r="J59" s="412" t="e">
        <f t="shared" si="18"/>
        <v>#DIV/0!</v>
      </c>
      <c r="K59" s="412" t="e">
        <f t="shared" si="18"/>
        <v>#DIV/0!</v>
      </c>
      <c r="L59" s="412" t="e">
        <f t="shared" si="18"/>
        <v>#DIV/0!</v>
      </c>
    </row>
    <row r="60" spans="1:12" x14ac:dyDescent="0.3">
      <c r="A60" s="682"/>
      <c r="B60" s="393" t="s">
        <v>792</v>
      </c>
      <c r="C60" s="403" t="e">
        <f t="shared" ref="C60:L60" si="19">(C51*100)/C52</f>
        <v>#DIV/0!</v>
      </c>
      <c r="D60" s="403" t="e">
        <f t="shared" si="19"/>
        <v>#DIV/0!</v>
      </c>
      <c r="E60" s="403" t="e">
        <f t="shared" si="19"/>
        <v>#DIV/0!</v>
      </c>
      <c r="F60" s="403" t="e">
        <f t="shared" si="19"/>
        <v>#DIV/0!</v>
      </c>
      <c r="G60" s="403" t="e">
        <f t="shared" si="19"/>
        <v>#DIV/0!</v>
      </c>
      <c r="H60" s="403" t="e">
        <f t="shared" si="19"/>
        <v>#DIV/0!</v>
      </c>
      <c r="I60" s="403" t="e">
        <f t="shared" si="19"/>
        <v>#DIV/0!</v>
      </c>
      <c r="J60" s="403" t="e">
        <f t="shared" si="19"/>
        <v>#DIV/0!</v>
      </c>
      <c r="K60" s="403" t="e">
        <f t="shared" si="19"/>
        <v>#DIV/0!</v>
      </c>
      <c r="L60" s="403" t="e">
        <f t="shared" si="19"/>
        <v>#DIV/0!</v>
      </c>
    </row>
    <row r="61" spans="1:12" x14ac:dyDescent="0.3">
      <c r="A61" s="684"/>
      <c r="B61" s="393" t="s">
        <v>793</v>
      </c>
      <c r="C61" s="413" t="e">
        <f t="shared" ref="C61:L61" si="20">SUM(C56:C60)</f>
        <v>#DIV/0!</v>
      </c>
      <c r="D61" s="413" t="e">
        <f t="shared" si="20"/>
        <v>#DIV/0!</v>
      </c>
      <c r="E61" s="413" t="e">
        <f t="shared" si="20"/>
        <v>#DIV/0!</v>
      </c>
      <c r="F61" s="413" t="e">
        <f t="shared" si="20"/>
        <v>#DIV/0!</v>
      </c>
      <c r="G61" s="413" t="e">
        <f t="shared" si="20"/>
        <v>#DIV/0!</v>
      </c>
      <c r="H61" s="413" t="e">
        <f t="shared" si="20"/>
        <v>#DIV/0!</v>
      </c>
      <c r="I61" s="413" t="e">
        <f t="shared" si="20"/>
        <v>#DIV/0!</v>
      </c>
      <c r="J61" s="413" t="e">
        <f t="shared" si="20"/>
        <v>#DIV/0!</v>
      </c>
      <c r="K61" s="413" t="e">
        <f t="shared" si="20"/>
        <v>#DIV/0!</v>
      </c>
      <c r="L61" s="413" t="e">
        <f t="shared" si="20"/>
        <v>#DIV/0!</v>
      </c>
    </row>
    <row r="62" spans="1:12" x14ac:dyDescent="0.3">
      <c r="A62" s="414"/>
      <c r="B62" s="415"/>
      <c r="C62" s="415"/>
      <c r="D62" s="415"/>
      <c r="E62" s="415"/>
      <c r="F62" s="415"/>
      <c r="G62" s="415"/>
      <c r="H62" s="415"/>
      <c r="I62" s="415"/>
      <c r="J62" s="415"/>
      <c r="K62" s="415"/>
      <c r="L62" s="415"/>
    </row>
    <row r="63" spans="1:12" x14ac:dyDescent="0.3">
      <c r="A63" s="685" t="s">
        <v>794</v>
      </c>
      <c r="B63" s="392" t="s">
        <v>778</v>
      </c>
      <c r="C63" s="403" t="e">
        <f t="shared" ref="C63:L63" si="21">C47-(C53*C56)/100</f>
        <v>#DIV/0!</v>
      </c>
      <c r="D63" s="403" t="e">
        <f t="shared" si="21"/>
        <v>#DIV/0!</v>
      </c>
      <c r="E63" s="403" t="e">
        <f t="shared" si="21"/>
        <v>#DIV/0!</v>
      </c>
      <c r="F63" s="403" t="e">
        <f t="shared" si="21"/>
        <v>#DIV/0!</v>
      </c>
      <c r="G63" s="403" t="e">
        <f t="shared" si="21"/>
        <v>#DIV/0!</v>
      </c>
      <c r="H63" s="403" t="e">
        <f t="shared" si="21"/>
        <v>#DIV/0!</v>
      </c>
      <c r="I63" s="403" t="e">
        <f t="shared" si="21"/>
        <v>#DIV/0!</v>
      </c>
      <c r="J63" s="403" t="e">
        <f t="shared" si="21"/>
        <v>#DIV/0!</v>
      </c>
      <c r="K63" s="403" t="e">
        <f t="shared" si="21"/>
        <v>#DIV/0!</v>
      </c>
      <c r="L63" s="403" t="e">
        <f t="shared" si="21"/>
        <v>#DIV/0!</v>
      </c>
    </row>
    <row r="64" spans="1:12" x14ac:dyDescent="0.3">
      <c r="A64" s="686"/>
      <c r="B64" s="393" t="s">
        <v>779</v>
      </c>
      <c r="C64" s="403" t="e">
        <f t="shared" ref="C64:L64" si="22">C48-(C53*C57)/100</f>
        <v>#DIV/0!</v>
      </c>
      <c r="D64" s="403" t="e">
        <f t="shared" si="22"/>
        <v>#DIV/0!</v>
      </c>
      <c r="E64" s="403" t="e">
        <f t="shared" si="22"/>
        <v>#DIV/0!</v>
      </c>
      <c r="F64" s="403" t="e">
        <f t="shared" si="22"/>
        <v>#DIV/0!</v>
      </c>
      <c r="G64" s="403" t="e">
        <f t="shared" si="22"/>
        <v>#DIV/0!</v>
      </c>
      <c r="H64" s="403" t="e">
        <f t="shared" si="22"/>
        <v>#DIV/0!</v>
      </c>
      <c r="I64" s="403" t="e">
        <f t="shared" si="22"/>
        <v>#DIV/0!</v>
      </c>
      <c r="J64" s="403" t="e">
        <f t="shared" si="22"/>
        <v>#DIV/0!</v>
      </c>
      <c r="K64" s="403" t="e">
        <f t="shared" si="22"/>
        <v>#DIV/0!</v>
      </c>
      <c r="L64" s="403" t="e">
        <f t="shared" si="22"/>
        <v>#DIV/0!</v>
      </c>
    </row>
    <row r="65" spans="1:12" x14ac:dyDescent="0.3">
      <c r="A65" s="686"/>
      <c r="B65" s="393" t="s">
        <v>780</v>
      </c>
      <c r="C65" s="403" t="e">
        <f t="shared" ref="C65:L65" si="23">C49-(C53*C58)/100</f>
        <v>#DIV/0!</v>
      </c>
      <c r="D65" s="403" t="e">
        <f t="shared" si="23"/>
        <v>#DIV/0!</v>
      </c>
      <c r="E65" s="403" t="e">
        <f t="shared" si="23"/>
        <v>#DIV/0!</v>
      </c>
      <c r="F65" s="403" t="e">
        <f t="shared" si="23"/>
        <v>#DIV/0!</v>
      </c>
      <c r="G65" s="403" t="e">
        <f t="shared" si="23"/>
        <v>#DIV/0!</v>
      </c>
      <c r="H65" s="403" t="e">
        <f t="shared" si="23"/>
        <v>#DIV/0!</v>
      </c>
      <c r="I65" s="403" t="e">
        <f t="shared" si="23"/>
        <v>#DIV/0!</v>
      </c>
      <c r="J65" s="403" t="e">
        <f t="shared" si="23"/>
        <v>#DIV/0!</v>
      </c>
      <c r="K65" s="403" t="e">
        <f t="shared" si="23"/>
        <v>#DIV/0!</v>
      </c>
      <c r="L65" s="403" t="e">
        <f t="shared" si="23"/>
        <v>#DIV/0!</v>
      </c>
    </row>
    <row r="66" spans="1:12" x14ac:dyDescent="0.3">
      <c r="A66" s="686"/>
      <c r="B66" s="416" t="s">
        <v>781</v>
      </c>
      <c r="C66" s="407" t="e">
        <f t="shared" ref="C66:L66" si="24">C50-(C53*C59)/100</f>
        <v>#DIV/0!</v>
      </c>
      <c r="D66" s="407" t="e">
        <f t="shared" si="24"/>
        <v>#DIV/0!</v>
      </c>
      <c r="E66" s="407" t="e">
        <f t="shared" si="24"/>
        <v>#DIV/0!</v>
      </c>
      <c r="F66" s="407" t="e">
        <f t="shared" si="24"/>
        <v>#DIV/0!</v>
      </c>
      <c r="G66" s="407" t="e">
        <f t="shared" si="24"/>
        <v>#DIV/0!</v>
      </c>
      <c r="H66" s="407" t="e">
        <f t="shared" si="24"/>
        <v>#DIV/0!</v>
      </c>
      <c r="I66" s="407" t="e">
        <f t="shared" si="24"/>
        <v>#DIV/0!</v>
      </c>
      <c r="J66" s="407" t="e">
        <f t="shared" si="24"/>
        <v>#DIV/0!</v>
      </c>
      <c r="K66" s="407" t="e">
        <f t="shared" si="24"/>
        <v>#DIV/0!</v>
      </c>
      <c r="L66" s="407" t="e">
        <f t="shared" si="24"/>
        <v>#DIV/0!</v>
      </c>
    </row>
    <row r="67" spans="1:12" x14ac:dyDescent="0.3">
      <c r="A67" s="686"/>
      <c r="B67" s="393" t="s">
        <v>782</v>
      </c>
      <c r="C67" s="403" t="e">
        <f t="shared" ref="C67:L67" si="25">C51-(C53*C60)/100</f>
        <v>#DIV/0!</v>
      </c>
      <c r="D67" s="403" t="e">
        <f t="shared" si="25"/>
        <v>#DIV/0!</v>
      </c>
      <c r="E67" s="403" t="e">
        <f t="shared" si="25"/>
        <v>#DIV/0!</v>
      </c>
      <c r="F67" s="403" t="e">
        <f t="shared" si="25"/>
        <v>#DIV/0!</v>
      </c>
      <c r="G67" s="403" t="e">
        <f t="shared" si="25"/>
        <v>#DIV/0!</v>
      </c>
      <c r="H67" s="403" t="e">
        <f t="shared" si="25"/>
        <v>#DIV/0!</v>
      </c>
      <c r="I67" s="403" t="e">
        <f t="shared" si="25"/>
        <v>#DIV/0!</v>
      </c>
      <c r="J67" s="403" t="e">
        <f t="shared" si="25"/>
        <v>#DIV/0!</v>
      </c>
      <c r="K67" s="403" t="e">
        <f t="shared" si="25"/>
        <v>#DIV/0!</v>
      </c>
      <c r="L67" s="403" t="e">
        <f t="shared" si="25"/>
        <v>#DIV/0!</v>
      </c>
    </row>
    <row r="68" spans="1:12" x14ac:dyDescent="0.3">
      <c r="A68" s="686"/>
      <c r="B68" s="395" t="s">
        <v>795</v>
      </c>
      <c r="C68" s="403" t="e">
        <f t="shared" ref="C68:F68" si="26">SUM(C63:C67)</f>
        <v>#DIV/0!</v>
      </c>
      <c r="D68" s="403" t="e">
        <f t="shared" si="26"/>
        <v>#DIV/0!</v>
      </c>
      <c r="E68" s="403" t="e">
        <f t="shared" si="26"/>
        <v>#DIV/0!</v>
      </c>
      <c r="F68" s="403" t="e">
        <f t="shared" si="26"/>
        <v>#DIV/0!</v>
      </c>
      <c r="G68" s="403" t="e">
        <f t="shared" ref="G68:L68" si="27">SUM(G63:G67)</f>
        <v>#DIV/0!</v>
      </c>
      <c r="H68" s="403" t="e">
        <f t="shared" si="27"/>
        <v>#DIV/0!</v>
      </c>
      <c r="I68" s="403" t="e">
        <f t="shared" si="27"/>
        <v>#DIV/0!</v>
      </c>
      <c r="J68" s="403" t="e">
        <f t="shared" si="27"/>
        <v>#DIV/0!</v>
      </c>
      <c r="K68" s="403" t="e">
        <f t="shared" si="27"/>
        <v>#DIV/0!</v>
      </c>
      <c r="L68" s="403" t="e">
        <f t="shared" si="27"/>
        <v>#DIV/0!</v>
      </c>
    </row>
    <row r="69" spans="1:12" x14ac:dyDescent="0.3">
      <c r="A69" s="409"/>
      <c r="B69" s="417"/>
      <c r="C69" s="394"/>
      <c r="D69" s="394"/>
      <c r="E69" s="394"/>
      <c r="F69" s="394"/>
      <c r="G69" s="394"/>
      <c r="H69" s="394"/>
      <c r="I69" s="394"/>
      <c r="J69" s="394"/>
      <c r="K69" s="394"/>
      <c r="L69" s="394"/>
    </row>
    <row r="70" spans="1:12" x14ac:dyDescent="0.3">
      <c r="A70" s="659"/>
      <c r="B70" s="418" t="s">
        <v>796</v>
      </c>
      <c r="C70" s="419">
        <f t="shared" ref="C70:L70" si="28">C10+C11+C14+C15+C16+C17</f>
        <v>0</v>
      </c>
      <c r="D70" s="419">
        <f t="shared" si="28"/>
        <v>0</v>
      </c>
      <c r="E70" s="419">
        <f t="shared" si="28"/>
        <v>0</v>
      </c>
      <c r="F70" s="419">
        <f t="shared" si="28"/>
        <v>0</v>
      </c>
      <c r="G70" s="419">
        <f t="shared" si="28"/>
        <v>0</v>
      </c>
      <c r="H70" s="419">
        <f t="shared" si="28"/>
        <v>0</v>
      </c>
      <c r="I70" s="419">
        <f t="shared" si="28"/>
        <v>0</v>
      </c>
      <c r="J70" s="419">
        <f t="shared" si="28"/>
        <v>0</v>
      </c>
      <c r="K70" s="419">
        <f t="shared" si="28"/>
        <v>0</v>
      </c>
      <c r="L70" s="419">
        <f t="shared" si="28"/>
        <v>0</v>
      </c>
    </row>
    <row r="71" spans="1:12" x14ac:dyDescent="0.3">
      <c r="A71" s="659"/>
      <c r="B71" s="420" t="s">
        <v>797</v>
      </c>
      <c r="C71" s="421" t="e">
        <f t="shared" ref="C71:L71" si="29">C50/C48</f>
        <v>#DIV/0!</v>
      </c>
      <c r="D71" s="421" t="e">
        <f t="shared" si="29"/>
        <v>#DIV/0!</v>
      </c>
      <c r="E71" s="421" t="e">
        <f t="shared" si="29"/>
        <v>#DIV/0!</v>
      </c>
      <c r="F71" s="421" t="e">
        <f t="shared" si="29"/>
        <v>#DIV/0!</v>
      </c>
      <c r="G71" s="421" t="e">
        <f t="shared" si="29"/>
        <v>#DIV/0!</v>
      </c>
      <c r="H71" s="421" t="e">
        <f t="shared" si="29"/>
        <v>#DIV/0!</v>
      </c>
      <c r="I71" s="421" t="e">
        <f t="shared" si="29"/>
        <v>#DIV/0!</v>
      </c>
      <c r="J71" s="421" t="e">
        <f t="shared" si="29"/>
        <v>#DIV/0!</v>
      </c>
      <c r="K71" s="421" t="e">
        <f t="shared" si="29"/>
        <v>#DIV/0!</v>
      </c>
      <c r="L71" s="421" t="e">
        <f t="shared" si="29"/>
        <v>#DIV/0!</v>
      </c>
    </row>
    <row r="72" spans="1:12" ht="15.6" x14ac:dyDescent="0.3">
      <c r="A72" s="688" t="s">
        <v>798</v>
      </c>
      <c r="B72" s="392" t="s">
        <v>799</v>
      </c>
      <c r="C72" s="403" t="e">
        <f t="shared" ref="C72:L72" si="30">(C5)/((C6/100)^2)</f>
        <v>#DIV/0!</v>
      </c>
      <c r="D72" s="403" t="e">
        <f t="shared" si="30"/>
        <v>#DIV/0!</v>
      </c>
      <c r="E72" s="403" t="e">
        <f t="shared" si="30"/>
        <v>#DIV/0!</v>
      </c>
      <c r="F72" s="403" t="e">
        <f t="shared" si="30"/>
        <v>#DIV/0!</v>
      </c>
      <c r="G72" s="403" t="e">
        <f t="shared" si="30"/>
        <v>#DIV/0!</v>
      </c>
      <c r="H72" s="403" t="e">
        <f t="shared" si="30"/>
        <v>#DIV/0!</v>
      </c>
      <c r="I72" s="403" t="e">
        <f t="shared" si="30"/>
        <v>#DIV/0!</v>
      </c>
      <c r="J72" s="403" t="e">
        <f t="shared" si="30"/>
        <v>#DIV/0!</v>
      </c>
      <c r="K72" s="403" t="e">
        <f t="shared" si="30"/>
        <v>#DIV/0!</v>
      </c>
      <c r="L72" s="403" t="e">
        <f t="shared" si="30"/>
        <v>#DIV/0!</v>
      </c>
    </row>
    <row r="73" spans="1:12" x14ac:dyDescent="0.3">
      <c r="A73" s="689"/>
      <c r="B73" s="393" t="s">
        <v>800</v>
      </c>
      <c r="C73" s="403" t="e">
        <f t="shared" ref="C73:L73" si="31">C26/C27</f>
        <v>#DIV/0!</v>
      </c>
      <c r="D73" s="403" t="e">
        <f t="shared" si="31"/>
        <v>#DIV/0!</v>
      </c>
      <c r="E73" s="403" t="e">
        <f t="shared" si="31"/>
        <v>#DIV/0!</v>
      </c>
      <c r="F73" s="403" t="e">
        <f t="shared" si="31"/>
        <v>#DIV/0!</v>
      </c>
      <c r="G73" s="403" t="e">
        <f t="shared" si="31"/>
        <v>#DIV/0!</v>
      </c>
      <c r="H73" s="403" t="e">
        <f t="shared" si="31"/>
        <v>#DIV/0!</v>
      </c>
      <c r="I73" s="403" t="e">
        <f t="shared" si="31"/>
        <v>#DIV/0!</v>
      </c>
      <c r="J73" s="403" t="e">
        <f t="shared" si="31"/>
        <v>#DIV/0!</v>
      </c>
      <c r="K73" s="403" t="e">
        <f t="shared" si="31"/>
        <v>#DIV/0!</v>
      </c>
      <c r="L73" s="403" t="e">
        <f t="shared" si="31"/>
        <v>#DIV/0!</v>
      </c>
    </row>
    <row r="74" spans="1:12" x14ac:dyDescent="0.3">
      <c r="A74" s="689"/>
      <c r="B74" s="393" t="s">
        <v>493</v>
      </c>
      <c r="C74" s="403" t="e">
        <f t="shared" ref="C74:L74" si="32">(C37/(C6/100))*10</f>
        <v>#DIV/0!</v>
      </c>
      <c r="D74" s="403" t="e">
        <f t="shared" si="32"/>
        <v>#DIV/0!</v>
      </c>
      <c r="E74" s="403" t="e">
        <f t="shared" si="32"/>
        <v>#DIV/0!</v>
      </c>
      <c r="F74" s="403" t="e">
        <f t="shared" si="32"/>
        <v>#DIV/0!</v>
      </c>
      <c r="G74" s="403" t="e">
        <f t="shared" si="32"/>
        <v>#DIV/0!</v>
      </c>
      <c r="H74" s="403" t="e">
        <f t="shared" si="32"/>
        <v>#DIV/0!</v>
      </c>
      <c r="I74" s="403" t="e">
        <f t="shared" si="32"/>
        <v>#DIV/0!</v>
      </c>
      <c r="J74" s="403" t="e">
        <f t="shared" si="32"/>
        <v>#DIV/0!</v>
      </c>
      <c r="K74" s="403" t="e">
        <f t="shared" si="32"/>
        <v>#DIV/0!</v>
      </c>
      <c r="L74" s="403" t="e">
        <f t="shared" si="32"/>
        <v>#DIV/0!</v>
      </c>
    </row>
    <row r="75" spans="1:12" ht="15.6" x14ac:dyDescent="0.3">
      <c r="A75" s="689"/>
      <c r="B75" s="393" t="s">
        <v>801</v>
      </c>
      <c r="C75" s="403">
        <f t="shared" ref="C75:L75" si="33">(C10/10)*C21/2-((C10/10)*(C10/10)*3.1416/4)</f>
        <v>0</v>
      </c>
      <c r="D75" s="403">
        <f t="shared" si="33"/>
        <v>0</v>
      </c>
      <c r="E75" s="403">
        <f t="shared" si="33"/>
        <v>0</v>
      </c>
      <c r="F75" s="403">
        <f t="shared" si="33"/>
        <v>0</v>
      </c>
      <c r="G75" s="403">
        <f t="shared" si="33"/>
        <v>0</v>
      </c>
      <c r="H75" s="403">
        <f t="shared" si="33"/>
        <v>0</v>
      </c>
      <c r="I75" s="403">
        <f t="shared" si="33"/>
        <v>0</v>
      </c>
      <c r="J75" s="403">
        <f t="shared" si="33"/>
        <v>0</v>
      </c>
      <c r="K75" s="403">
        <f t="shared" si="33"/>
        <v>0</v>
      </c>
      <c r="L75" s="403">
        <f t="shared" si="33"/>
        <v>0</v>
      </c>
    </row>
    <row r="76" spans="1:12" ht="15.6" x14ac:dyDescent="0.3">
      <c r="A76" s="689"/>
      <c r="B76" s="393" t="s">
        <v>802</v>
      </c>
      <c r="C76" s="403">
        <f t="shared" ref="C76:L76" si="34">((C21-(C10/10)*3.1416)*(C21-(C10/10)*3.1416)/12.5664-10)</f>
        <v>-10</v>
      </c>
      <c r="D76" s="403">
        <f t="shared" si="34"/>
        <v>-10</v>
      </c>
      <c r="E76" s="403">
        <f t="shared" si="34"/>
        <v>-10</v>
      </c>
      <c r="F76" s="403">
        <f t="shared" si="34"/>
        <v>-10</v>
      </c>
      <c r="G76" s="403">
        <f t="shared" si="34"/>
        <v>-10</v>
      </c>
      <c r="H76" s="403">
        <f t="shared" si="34"/>
        <v>-10</v>
      </c>
      <c r="I76" s="403">
        <f t="shared" si="34"/>
        <v>-10</v>
      </c>
      <c r="J76" s="403">
        <f t="shared" si="34"/>
        <v>-10</v>
      </c>
      <c r="K76" s="403">
        <f t="shared" si="34"/>
        <v>-10</v>
      </c>
      <c r="L76" s="403">
        <f t="shared" si="34"/>
        <v>-10</v>
      </c>
    </row>
    <row r="77" spans="1:12" x14ac:dyDescent="0.3">
      <c r="A77" s="689"/>
      <c r="B77" s="393" t="s">
        <v>803</v>
      </c>
      <c r="C77" s="403">
        <f t="shared" ref="C77:L77" si="35">C10+C11+C12+C13</f>
        <v>0</v>
      </c>
      <c r="D77" s="403">
        <f t="shared" si="35"/>
        <v>0</v>
      </c>
      <c r="E77" s="403">
        <f t="shared" si="35"/>
        <v>0</v>
      </c>
      <c r="F77" s="403">
        <f t="shared" si="35"/>
        <v>0</v>
      </c>
      <c r="G77" s="403">
        <f t="shared" si="35"/>
        <v>0</v>
      </c>
      <c r="H77" s="403">
        <f t="shared" si="35"/>
        <v>0</v>
      </c>
      <c r="I77" s="403">
        <f t="shared" si="35"/>
        <v>0</v>
      </c>
      <c r="J77" s="403">
        <f t="shared" si="35"/>
        <v>0</v>
      </c>
      <c r="K77" s="403">
        <f t="shared" si="35"/>
        <v>0</v>
      </c>
      <c r="L77" s="403">
        <f t="shared" si="35"/>
        <v>0</v>
      </c>
    </row>
    <row r="78" spans="1:12" x14ac:dyDescent="0.3">
      <c r="A78" s="689"/>
      <c r="B78" s="393" t="s">
        <v>804</v>
      </c>
      <c r="C78" s="403">
        <f t="shared" ref="C78:L78" si="36">SUM(C10:C17)</f>
        <v>0</v>
      </c>
      <c r="D78" s="403">
        <f t="shared" si="36"/>
        <v>0</v>
      </c>
      <c r="E78" s="403">
        <f t="shared" si="36"/>
        <v>0</v>
      </c>
      <c r="F78" s="403">
        <f t="shared" si="36"/>
        <v>0</v>
      </c>
      <c r="G78" s="403">
        <f t="shared" si="36"/>
        <v>0</v>
      </c>
      <c r="H78" s="403">
        <f t="shared" si="36"/>
        <v>0</v>
      </c>
      <c r="I78" s="403">
        <f t="shared" si="36"/>
        <v>0</v>
      </c>
      <c r="J78" s="403">
        <f t="shared" si="36"/>
        <v>0</v>
      </c>
      <c r="K78" s="403">
        <f t="shared" si="36"/>
        <v>0</v>
      </c>
      <c r="L78" s="403">
        <f t="shared" si="36"/>
        <v>0</v>
      </c>
    </row>
    <row r="79" spans="1:12" x14ac:dyDescent="0.3">
      <c r="A79" s="689"/>
      <c r="B79" s="393" t="s">
        <v>805</v>
      </c>
      <c r="C79" s="403">
        <f t="shared" ref="C79:L79" si="37">(((0.2467)*(C12+C10+C11+C13))+((0.12*C26)))-2.18</f>
        <v>-2.1800000000000002</v>
      </c>
      <c r="D79" s="403">
        <f t="shared" si="37"/>
        <v>-2.1800000000000002</v>
      </c>
      <c r="E79" s="403">
        <f t="shared" si="37"/>
        <v>-2.1800000000000002</v>
      </c>
      <c r="F79" s="403">
        <f t="shared" si="37"/>
        <v>-2.1800000000000002</v>
      </c>
      <c r="G79" s="403">
        <f t="shared" si="37"/>
        <v>-2.1800000000000002</v>
      </c>
      <c r="H79" s="403">
        <f t="shared" si="37"/>
        <v>-2.1800000000000002</v>
      </c>
      <c r="I79" s="403">
        <f t="shared" si="37"/>
        <v>-2.1800000000000002</v>
      </c>
      <c r="J79" s="403">
        <f t="shared" si="37"/>
        <v>-2.1800000000000002</v>
      </c>
      <c r="K79" s="403">
        <f t="shared" si="37"/>
        <v>-2.1800000000000002</v>
      </c>
      <c r="L79" s="403">
        <f t="shared" si="37"/>
        <v>-2.1800000000000002</v>
      </c>
    </row>
    <row r="80" spans="1:12" x14ac:dyDescent="0.3">
      <c r="A80" s="689"/>
      <c r="B80" s="429" t="s">
        <v>844</v>
      </c>
      <c r="C80" s="430">
        <f>(3.5803)+(0.1548*(C10+C11+C15+C14+C16+C17))</f>
        <v>3.5802999999999998</v>
      </c>
      <c r="D80" s="430">
        <f t="shared" ref="D80:L80" si="38">(3.5803)+(0.1548*(D10+D11+D15+D14+D16+D17))</f>
        <v>3.5802999999999998</v>
      </c>
      <c r="E80" s="430">
        <f t="shared" si="38"/>
        <v>3.5802999999999998</v>
      </c>
      <c r="F80" s="430">
        <f t="shared" si="38"/>
        <v>3.5802999999999998</v>
      </c>
      <c r="G80" s="430">
        <f t="shared" si="38"/>
        <v>3.5802999999999998</v>
      </c>
      <c r="H80" s="430">
        <f t="shared" si="38"/>
        <v>3.5802999999999998</v>
      </c>
      <c r="I80" s="430">
        <f t="shared" si="38"/>
        <v>3.5802999999999998</v>
      </c>
      <c r="J80" s="430">
        <f t="shared" si="38"/>
        <v>3.5802999999999998</v>
      </c>
      <c r="K80" s="430">
        <f t="shared" si="38"/>
        <v>3.5802999999999998</v>
      </c>
      <c r="L80" s="430">
        <f t="shared" si="38"/>
        <v>3.5802999999999998</v>
      </c>
    </row>
    <row r="81" spans="1:12" x14ac:dyDescent="0.3">
      <c r="A81" s="689"/>
      <c r="B81" s="393" t="s">
        <v>806</v>
      </c>
      <c r="C81" s="403">
        <f>C80</f>
        <v>3.5802999999999998</v>
      </c>
      <c r="D81" s="403">
        <f>D80</f>
        <v>3.5802999999999998</v>
      </c>
      <c r="E81" s="403">
        <f>E80</f>
        <v>3.5802999999999998</v>
      </c>
      <c r="F81" s="403">
        <f>F80</f>
        <v>3.5802999999999998</v>
      </c>
      <c r="G81" s="403">
        <f t="shared" ref="G81:L81" si="39">G80</f>
        <v>3.5802999999999998</v>
      </c>
      <c r="H81" s="403">
        <f t="shared" si="39"/>
        <v>3.5802999999999998</v>
      </c>
      <c r="I81" s="403">
        <f t="shared" si="39"/>
        <v>3.5802999999999998</v>
      </c>
      <c r="J81" s="403">
        <f t="shared" si="39"/>
        <v>3.5802999999999998</v>
      </c>
      <c r="K81" s="403">
        <f t="shared" si="39"/>
        <v>3.5802999999999998</v>
      </c>
      <c r="L81" s="403">
        <f t="shared" si="39"/>
        <v>3.5802999999999998</v>
      </c>
    </row>
    <row r="82" spans="1:12" x14ac:dyDescent="0.3">
      <c r="A82" s="689"/>
      <c r="B82" s="393" t="s">
        <v>807</v>
      </c>
      <c r="C82" s="403">
        <f t="shared" ref="C82:L82" si="40">((100-C81)*C5)/100</f>
        <v>0</v>
      </c>
      <c r="D82" s="403">
        <f t="shared" si="40"/>
        <v>0</v>
      </c>
      <c r="E82" s="403">
        <f t="shared" si="40"/>
        <v>0</v>
      </c>
      <c r="F82" s="403">
        <f t="shared" si="40"/>
        <v>0</v>
      </c>
      <c r="G82" s="403">
        <f t="shared" si="40"/>
        <v>0</v>
      </c>
      <c r="H82" s="403">
        <f t="shared" si="40"/>
        <v>0</v>
      </c>
      <c r="I82" s="403">
        <f t="shared" si="40"/>
        <v>0</v>
      </c>
      <c r="J82" s="403">
        <f t="shared" si="40"/>
        <v>0</v>
      </c>
      <c r="K82" s="403">
        <f t="shared" si="40"/>
        <v>0</v>
      </c>
      <c r="L82" s="403">
        <f t="shared" si="40"/>
        <v>0</v>
      </c>
    </row>
    <row r="83" spans="1:12" x14ac:dyDescent="0.3">
      <c r="A83" s="689"/>
      <c r="B83" s="393" t="s">
        <v>808</v>
      </c>
      <c r="C83" s="403">
        <f t="shared" ref="C83:L83" si="41">C5-C82</f>
        <v>0</v>
      </c>
      <c r="D83" s="403">
        <f t="shared" si="41"/>
        <v>0</v>
      </c>
      <c r="E83" s="403">
        <f t="shared" si="41"/>
        <v>0</v>
      </c>
      <c r="F83" s="403">
        <f t="shared" si="41"/>
        <v>0</v>
      </c>
      <c r="G83" s="403">
        <f t="shared" si="41"/>
        <v>0</v>
      </c>
      <c r="H83" s="403">
        <f t="shared" si="41"/>
        <v>0</v>
      </c>
      <c r="I83" s="403">
        <f t="shared" si="41"/>
        <v>0</v>
      </c>
      <c r="J83" s="403">
        <f t="shared" si="41"/>
        <v>0</v>
      </c>
      <c r="K83" s="403">
        <f t="shared" si="41"/>
        <v>0</v>
      </c>
      <c r="L83" s="403">
        <f t="shared" si="41"/>
        <v>0</v>
      </c>
    </row>
    <row r="84" spans="1:12" x14ac:dyDescent="0.3">
      <c r="A84" s="690"/>
      <c r="B84" s="422" t="s">
        <v>809</v>
      </c>
      <c r="C84" s="403">
        <v>6</v>
      </c>
      <c r="D84" s="403">
        <v>6</v>
      </c>
      <c r="E84" s="403">
        <v>6</v>
      </c>
      <c r="F84" s="403">
        <v>6</v>
      </c>
      <c r="G84" s="403">
        <v>6</v>
      </c>
      <c r="H84" s="403">
        <v>6</v>
      </c>
      <c r="I84" s="403">
        <v>6</v>
      </c>
      <c r="J84" s="403">
        <v>6</v>
      </c>
      <c r="K84" s="403">
        <v>6</v>
      </c>
      <c r="L84" s="403">
        <v>6</v>
      </c>
    </row>
    <row r="85" spans="1:12" x14ac:dyDescent="0.3">
      <c r="A85" s="690"/>
      <c r="B85" s="422" t="s">
        <v>810</v>
      </c>
      <c r="C85" s="403">
        <v>8</v>
      </c>
      <c r="D85" s="403">
        <v>8</v>
      </c>
      <c r="E85" s="403">
        <v>8</v>
      </c>
      <c r="F85" s="403">
        <v>8</v>
      </c>
      <c r="G85" s="403">
        <v>8</v>
      </c>
      <c r="H85" s="403">
        <v>8</v>
      </c>
      <c r="I85" s="403">
        <v>8</v>
      </c>
      <c r="J85" s="403">
        <v>8</v>
      </c>
      <c r="K85" s="403">
        <v>8</v>
      </c>
      <c r="L85" s="403">
        <v>8</v>
      </c>
    </row>
    <row r="86" spans="1:12" x14ac:dyDescent="0.3">
      <c r="A86" s="689"/>
      <c r="B86" s="393" t="s">
        <v>811</v>
      </c>
      <c r="C86" s="403">
        <f t="shared" ref="C86:L86" si="42">(C82)/(1-C84/100)</f>
        <v>0</v>
      </c>
      <c r="D86" s="403">
        <f t="shared" si="42"/>
        <v>0</v>
      </c>
      <c r="E86" s="403">
        <f t="shared" si="42"/>
        <v>0</v>
      </c>
      <c r="F86" s="403">
        <f t="shared" si="42"/>
        <v>0</v>
      </c>
      <c r="G86" s="403">
        <f t="shared" si="42"/>
        <v>0</v>
      </c>
      <c r="H86" s="403">
        <f t="shared" si="42"/>
        <v>0</v>
      </c>
      <c r="I86" s="403">
        <f t="shared" si="42"/>
        <v>0</v>
      </c>
      <c r="J86" s="403">
        <f t="shared" si="42"/>
        <v>0</v>
      </c>
      <c r="K86" s="403">
        <f t="shared" si="42"/>
        <v>0</v>
      </c>
      <c r="L86" s="403">
        <f t="shared" si="42"/>
        <v>0</v>
      </c>
    </row>
    <row r="87" spans="1:12" x14ac:dyDescent="0.3">
      <c r="A87" s="689"/>
      <c r="B87" s="393" t="s">
        <v>812</v>
      </c>
      <c r="C87" s="403">
        <f t="shared" ref="C87:L87" si="43">(C82)/(1-C85/100)</f>
        <v>0</v>
      </c>
      <c r="D87" s="403">
        <f t="shared" si="43"/>
        <v>0</v>
      </c>
      <c r="E87" s="403">
        <f t="shared" si="43"/>
        <v>0</v>
      </c>
      <c r="F87" s="403">
        <f t="shared" si="43"/>
        <v>0</v>
      </c>
      <c r="G87" s="403">
        <f t="shared" si="43"/>
        <v>0</v>
      </c>
      <c r="H87" s="403">
        <f t="shared" si="43"/>
        <v>0</v>
      </c>
      <c r="I87" s="403">
        <f t="shared" si="43"/>
        <v>0</v>
      </c>
      <c r="J87" s="403">
        <f t="shared" si="43"/>
        <v>0</v>
      </c>
      <c r="K87" s="403">
        <f t="shared" si="43"/>
        <v>0</v>
      </c>
      <c r="L87" s="403">
        <f t="shared" si="43"/>
        <v>0</v>
      </c>
    </row>
    <row r="88" spans="1:12" x14ac:dyDescent="0.3">
      <c r="A88" s="689"/>
      <c r="B88" s="393" t="s">
        <v>813</v>
      </c>
      <c r="C88" s="403">
        <f t="shared" ref="C88:L88" si="44">C86-C5</f>
        <v>0</v>
      </c>
      <c r="D88" s="403">
        <f t="shared" si="44"/>
        <v>0</v>
      </c>
      <c r="E88" s="403">
        <f t="shared" si="44"/>
        <v>0</v>
      </c>
      <c r="F88" s="403">
        <f t="shared" si="44"/>
        <v>0</v>
      </c>
      <c r="G88" s="403">
        <f t="shared" si="44"/>
        <v>0</v>
      </c>
      <c r="H88" s="403">
        <f t="shared" si="44"/>
        <v>0</v>
      </c>
      <c r="I88" s="403">
        <f t="shared" si="44"/>
        <v>0</v>
      </c>
      <c r="J88" s="403">
        <f t="shared" si="44"/>
        <v>0</v>
      </c>
      <c r="K88" s="403">
        <f t="shared" si="44"/>
        <v>0</v>
      </c>
      <c r="L88" s="403">
        <f t="shared" si="44"/>
        <v>0</v>
      </c>
    </row>
    <row r="89" spans="1:12" x14ac:dyDescent="0.3">
      <c r="A89" s="689"/>
      <c r="B89" s="395" t="s">
        <v>814</v>
      </c>
      <c r="C89" s="423" t="e">
        <f t="shared" ref="C89:L89" si="45">(C82*100000/(C6^3))</f>
        <v>#DIV/0!</v>
      </c>
      <c r="D89" s="423" t="e">
        <f t="shared" si="45"/>
        <v>#DIV/0!</v>
      </c>
      <c r="E89" s="423" t="e">
        <f t="shared" si="45"/>
        <v>#DIV/0!</v>
      </c>
      <c r="F89" s="423" t="e">
        <f t="shared" si="45"/>
        <v>#DIV/0!</v>
      </c>
      <c r="G89" s="423" t="e">
        <f t="shared" si="45"/>
        <v>#DIV/0!</v>
      </c>
      <c r="H89" s="423" t="e">
        <f t="shared" si="45"/>
        <v>#DIV/0!</v>
      </c>
      <c r="I89" s="423" t="e">
        <f t="shared" si="45"/>
        <v>#DIV/0!</v>
      </c>
      <c r="J89" s="423" t="e">
        <f t="shared" si="45"/>
        <v>#DIV/0!</v>
      </c>
      <c r="K89" s="423" t="e">
        <f t="shared" si="45"/>
        <v>#DIV/0!</v>
      </c>
      <c r="L89" s="423" t="e">
        <f t="shared" si="45"/>
        <v>#DIV/0!</v>
      </c>
    </row>
    <row r="90" spans="1:12" x14ac:dyDescent="0.3">
      <c r="A90" s="687" t="s">
        <v>815</v>
      </c>
      <c r="B90" s="424" t="s">
        <v>749</v>
      </c>
      <c r="C90" s="413">
        <f t="shared" ref="C90:L90" si="46">C1</f>
        <v>0</v>
      </c>
      <c r="D90" s="413">
        <f t="shared" si="46"/>
        <v>0</v>
      </c>
      <c r="E90" s="413">
        <f t="shared" si="46"/>
        <v>0</v>
      </c>
      <c r="F90" s="413">
        <f t="shared" si="46"/>
        <v>0</v>
      </c>
      <c r="G90" s="413">
        <f t="shared" si="46"/>
        <v>0</v>
      </c>
      <c r="H90" s="413">
        <f t="shared" si="46"/>
        <v>0</v>
      </c>
      <c r="I90" s="413">
        <f t="shared" si="46"/>
        <v>0</v>
      </c>
      <c r="J90" s="413">
        <f t="shared" si="46"/>
        <v>0</v>
      </c>
      <c r="K90" s="413">
        <f t="shared" si="46"/>
        <v>0</v>
      </c>
      <c r="L90" s="413">
        <f t="shared" si="46"/>
        <v>0</v>
      </c>
    </row>
    <row r="91" spans="1:12" x14ac:dyDescent="0.3">
      <c r="A91" s="687"/>
      <c r="B91" s="425" t="s">
        <v>816</v>
      </c>
      <c r="C91" s="403">
        <f t="shared" ref="C91:L91" si="47">C6</f>
        <v>0</v>
      </c>
      <c r="D91" s="403">
        <f t="shared" si="47"/>
        <v>0</v>
      </c>
      <c r="E91" s="403">
        <f t="shared" si="47"/>
        <v>0</v>
      </c>
      <c r="F91" s="403">
        <f t="shared" si="47"/>
        <v>0</v>
      </c>
      <c r="G91" s="403">
        <f t="shared" si="47"/>
        <v>0</v>
      </c>
      <c r="H91" s="403">
        <f t="shared" si="47"/>
        <v>0</v>
      </c>
      <c r="I91" s="403">
        <f t="shared" si="47"/>
        <v>0</v>
      </c>
      <c r="J91" s="403">
        <f t="shared" si="47"/>
        <v>0</v>
      </c>
      <c r="K91" s="403">
        <f t="shared" si="47"/>
        <v>0</v>
      </c>
      <c r="L91" s="403">
        <f t="shared" si="47"/>
        <v>0</v>
      </c>
    </row>
    <row r="92" spans="1:12" x14ac:dyDescent="0.3">
      <c r="A92" s="687"/>
      <c r="B92" s="425" t="s">
        <v>817</v>
      </c>
      <c r="C92" s="403">
        <f t="shared" ref="C92:L92" si="48">C5</f>
        <v>0</v>
      </c>
      <c r="D92" s="403">
        <f t="shared" si="48"/>
        <v>0</v>
      </c>
      <c r="E92" s="403">
        <f t="shared" si="48"/>
        <v>0</v>
      </c>
      <c r="F92" s="403">
        <f t="shared" si="48"/>
        <v>0</v>
      </c>
      <c r="G92" s="403">
        <f t="shared" si="48"/>
        <v>0</v>
      </c>
      <c r="H92" s="403">
        <f t="shared" si="48"/>
        <v>0</v>
      </c>
      <c r="I92" s="403">
        <f t="shared" si="48"/>
        <v>0</v>
      </c>
      <c r="J92" s="403">
        <f t="shared" si="48"/>
        <v>0</v>
      </c>
      <c r="K92" s="403">
        <f t="shared" si="48"/>
        <v>0</v>
      </c>
      <c r="L92" s="403">
        <f t="shared" si="48"/>
        <v>0</v>
      </c>
    </row>
    <row r="93" spans="1:12" x14ac:dyDescent="0.3">
      <c r="A93" s="687"/>
      <c r="B93" s="425" t="s">
        <v>818</v>
      </c>
      <c r="C93" s="403" t="e">
        <f t="shared" ref="C93:L93" si="49">C91/(C92^0.3333)</f>
        <v>#DIV/0!</v>
      </c>
      <c r="D93" s="403" t="e">
        <f t="shared" si="49"/>
        <v>#DIV/0!</v>
      </c>
      <c r="E93" s="403" t="e">
        <f t="shared" si="49"/>
        <v>#DIV/0!</v>
      </c>
      <c r="F93" s="403" t="e">
        <f t="shared" si="49"/>
        <v>#DIV/0!</v>
      </c>
      <c r="G93" s="403" t="e">
        <f t="shared" si="49"/>
        <v>#DIV/0!</v>
      </c>
      <c r="H93" s="403" t="e">
        <f t="shared" si="49"/>
        <v>#DIV/0!</v>
      </c>
      <c r="I93" s="403" t="e">
        <f t="shared" si="49"/>
        <v>#DIV/0!</v>
      </c>
      <c r="J93" s="403" t="e">
        <f t="shared" si="49"/>
        <v>#DIV/0!</v>
      </c>
      <c r="K93" s="403" t="e">
        <f t="shared" si="49"/>
        <v>#DIV/0!</v>
      </c>
      <c r="L93" s="403" t="e">
        <f t="shared" si="49"/>
        <v>#DIV/0!</v>
      </c>
    </row>
    <row r="94" spans="1:12" x14ac:dyDescent="0.3">
      <c r="A94" s="687" t="s">
        <v>819</v>
      </c>
      <c r="B94" s="424" t="s">
        <v>756</v>
      </c>
      <c r="C94" s="403">
        <f t="shared" ref="C94:L95" si="50">C10</f>
        <v>0</v>
      </c>
      <c r="D94" s="403">
        <f t="shared" si="50"/>
        <v>0</v>
      </c>
      <c r="E94" s="403">
        <f t="shared" si="50"/>
        <v>0</v>
      </c>
      <c r="F94" s="403">
        <f t="shared" si="50"/>
        <v>0</v>
      </c>
      <c r="G94" s="403">
        <f t="shared" si="50"/>
        <v>0</v>
      </c>
      <c r="H94" s="403">
        <f t="shared" si="50"/>
        <v>0</v>
      </c>
      <c r="I94" s="403">
        <f t="shared" si="50"/>
        <v>0</v>
      </c>
      <c r="J94" s="403">
        <f t="shared" si="50"/>
        <v>0</v>
      </c>
      <c r="K94" s="403">
        <f t="shared" si="50"/>
        <v>0</v>
      </c>
      <c r="L94" s="403">
        <f t="shared" si="50"/>
        <v>0</v>
      </c>
    </row>
    <row r="95" spans="1:12" x14ac:dyDescent="0.3">
      <c r="A95" s="687"/>
      <c r="B95" s="425" t="s">
        <v>6</v>
      </c>
      <c r="C95" s="403">
        <f t="shared" si="50"/>
        <v>0</v>
      </c>
      <c r="D95" s="403">
        <f t="shared" si="50"/>
        <v>0</v>
      </c>
      <c r="E95" s="403">
        <f t="shared" si="50"/>
        <v>0</v>
      </c>
      <c r="F95" s="403">
        <f t="shared" si="50"/>
        <v>0</v>
      </c>
      <c r="G95" s="403">
        <f t="shared" si="50"/>
        <v>0</v>
      </c>
      <c r="H95" s="403">
        <f t="shared" si="50"/>
        <v>0</v>
      </c>
      <c r="I95" s="403">
        <f t="shared" si="50"/>
        <v>0</v>
      </c>
      <c r="J95" s="403">
        <f t="shared" si="50"/>
        <v>0</v>
      </c>
      <c r="K95" s="403">
        <f t="shared" si="50"/>
        <v>0</v>
      </c>
      <c r="L95" s="403">
        <f t="shared" si="50"/>
        <v>0</v>
      </c>
    </row>
    <row r="96" spans="1:12" x14ac:dyDescent="0.3">
      <c r="A96" s="687"/>
      <c r="B96" s="425" t="s">
        <v>9</v>
      </c>
      <c r="C96" s="403">
        <f t="shared" ref="C96:L96" si="51">C17</f>
        <v>0</v>
      </c>
      <c r="D96" s="403">
        <f t="shared" si="51"/>
        <v>0</v>
      </c>
      <c r="E96" s="403">
        <f t="shared" si="51"/>
        <v>0</v>
      </c>
      <c r="F96" s="403">
        <f t="shared" si="51"/>
        <v>0</v>
      </c>
      <c r="G96" s="403">
        <f t="shared" si="51"/>
        <v>0</v>
      </c>
      <c r="H96" s="403">
        <f t="shared" si="51"/>
        <v>0</v>
      </c>
      <c r="I96" s="403">
        <f t="shared" si="51"/>
        <v>0</v>
      </c>
      <c r="J96" s="403">
        <f t="shared" si="51"/>
        <v>0</v>
      </c>
      <c r="K96" s="403">
        <f t="shared" si="51"/>
        <v>0</v>
      </c>
      <c r="L96" s="403">
        <f t="shared" si="51"/>
        <v>0</v>
      </c>
    </row>
    <row r="97" spans="1:12" x14ac:dyDescent="0.3">
      <c r="A97" s="687"/>
      <c r="B97" s="425" t="s">
        <v>820</v>
      </c>
      <c r="C97" s="403">
        <f t="shared" ref="C97:L97" si="52">C17</f>
        <v>0</v>
      </c>
      <c r="D97" s="403">
        <f t="shared" si="52"/>
        <v>0</v>
      </c>
      <c r="E97" s="403">
        <f t="shared" si="52"/>
        <v>0</v>
      </c>
      <c r="F97" s="403">
        <f t="shared" si="52"/>
        <v>0</v>
      </c>
      <c r="G97" s="403">
        <f t="shared" si="52"/>
        <v>0</v>
      </c>
      <c r="H97" s="403">
        <f t="shared" si="52"/>
        <v>0</v>
      </c>
      <c r="I97" s="403">
        <f t="shared" si="52"/>
        <v>0</v>
      </c>
      <c r="J97" s="403">
        <f t="shared" si="52"/>
        <v>0</v>
      </c>
      <c r="K97" s="403">
        <f t="shared" si="52"/>
        <v>0</v>
      </c>
      <c r="L97" s="403">
        <f t="shared" si="52"/>
        <v>0</v>
      </c>
    </row>
    <row r="98" spans="1:12" x14ac:dyDescent="0.3">
      <c r="A98" s="687" t="s">
        <v>222</v>
      </c>
      <c r="B98" s="424" t="s">
        <v>821</v>
      </c>
      <c r="C98" s="403">
        <f t="shared" ref="C98:L98" si="53">C22</f>
        <v>0</v>
      </c>
      <c r="D98" s="403">
        <f t="shared" si="53"/>
        <v>0</v>
      </c>
      <c r="E98" s="403">
        <f t="shared" si="53"/>
        <v>0</v>
      </c>
      <c r="F98" s="403">
        <f t="shared" si="53"/>
        <v>0</v>
      </c>
      <c r="G98" s="403">
        <f t="shared" si="53"/>
        <v>0</v>
      </c>
      <c r="H98" s="403">
        <f t="shared" si="53"/>
        <v>0</v>
      </c>
      <c r="I98" s="403">
        <f t="shared" si="53"/>
        <v>0</v>
      </c>
      <c r="J98" s="403">
        <f t="shared" si="53"/>
        <v>0</v>
      </c>
      <c r="K98" s="403">
        <f t="shared" si="53"/>
        <v>0</v>
      </c>
      <c r="L98" s="403">
        <f t="shared" si="53"/>
        <v>0</v>
      </c>
    </row>
    <row r="99" spans="1:12" x14ac:dyDescent="0.3">
      <c r="A99" s="687"/>
      <c r="B99" s="425" t="s">
        <v>822</v>
      </c>
      <c r="C99" s="403">
        <f t="shared" ref="C99:L99" si="54">C30</f>
        <v>0</v>
      </c>
      <c r="D99" s="403">
        <f t="shared" si="54"/>
        <v>0</v>
      </c>
      <c r="E99" s="403">
        <f t="shared" si="54"/>
        <v>0</v>
      </c>
      <c r="F99" s="403">
        <f t="shared" si="54"/>
        <v>0</v>
      </c>
      <c r="G99" s="403">
        <f t="shared" si="54"/>
        <v>0</v>
      </c>
      <c r="H99" s="403">
        <f t="shared" si="54"/>
        <v>0</v>
      </c>
      <c r="I99" s="403">
        <f t="shared" si="54"/>
        <v>0</v>
      </c>
      <c r="J99" s="403">
        <f t="shared" si="54"/>
        <v>0</v>
      </c>
      <c r="K99" s="403">
        <f t="shared" si="54"/>
        <v>0</v>
      </c>
      <c r="L99" s="403">
        <f t="shared" si="54"/>
        <v>0</v>
      </c>
    </row>
    <row r="100" spans="1:12" x14ac:dyDescent="0.3">
      <c r="A100" s="687" t="s">
        <v>823</v>
      </c>
      <c r="B100" s="424" t="s">
        <v>824</v>
      </c>
      <c r="C100" s="403">
        <f t="shared" ref="C100:L101" si="55">C37</f>
        <v>0</v>
      </c>
      <c r="D100" s="403">
        <f t="shared" si="55"/>
        <v>0</v>
      </c>
      <c r="E100" s="403">
        <f t="shared" si="55"/>
        <v>0</v>
      </c>
      <c r="F100" s="403">
        <f t="shared" si="55"/>
        <v>0</v>
      </c>
      <c r="G100" s="403">
        <f t="shared" si="55"/>
        <v>0</v>
      </c>
      <c r="H100" s="403">
        <f t="shared" si="55"/>
        <v>0</v>
      </c>
      <c r="I100" s="403">
        <f t="shared" si="55"/>
        <v>0</v>
      </c>
      <c r="J100" s="403">
        <f t="shared" si="55"/>
        <v>0</v>
      </c>
      <c r="K100" s="403">
        <f t="shared" si="55"/>
        <v>0</v>
      </c>
      <c r="L100" s="403">
        <f t="shared" si="55"/>
        <v>0</v>
      </c>
    </row>
    <row r="101" spans="1:12" x14ac:dyDescent="0.3">
      <c r="A101" s="687"/>
      <c r="B101" s="425" t="s">
        <v>825</v>
      </c>
      <c r="C101" s="403">
        <f t="shared" si="55"/>
        <v>0</v>
      </c>
      <c r="D101" s="403">
        <f t="shared" si="55"/>
        <v>0</v>
      </c>
      <c r="E101" s="403">
        <f t="shared" si="55"/>
        <v>0</v>
      </c>
      <c r="F101" s="403">
        <f t="shared" si="55"/>
        <v>0</v>
      </c>
      <c r="G101" s="403">
        <f t="shared" si="55"/>
        <v>0</v>
      </c>
      <c r="H101" s="403">
        <f t="shared" si="55"/>
        <v>0</v>
      </c>
      <c r="I101" s="403">
        <f t="shared" si="55"/>
        <v>0</v>
      </c>
      <c r="J101" s="403">
        <f t="shared" si="55"/>
        <v>0</v>
      </c>
      <c r="K101" s="403">
        <f t="shared" si="55"/>
        <v>0</v>
      </c>
      <c r="L101" s="403">
        <f t="shared" si="55"/>
        <v>0</v>
      </c>
    </row>
    <row r="102" spans="1:12" x14ac:dyDescent="0.3">
      <c r="A102" s="687" t="s">
        <v>826</v>
      </c>
      <c r="B102" s="424" t="s">
        <v>827</v>
      </c>
      <c r="C102" s="403">
        <f t="shared" ref="C102:F102" si="56">SUM(C94:C96)</f>
        <v>0</v>
      </c>
      <c r="D102" s="403">
        <f t="shared" si="56"/>
        <v>0</v>
      </c>
      <c r="E102" s="403">
        <f t="shared" si="56"/>
        <v>0</v>
      </c>
      <c r="F102" s="403">
        <f t="shared" si="56"/>
        <v>0</v>
      </c>
      <c r="G102" s="403">
        <f t="shared" ref="G102:L102" si="57">SUM(G94:G96)</f>
        <v>0</v>
      </c>
      <c r="H102" s="403">
        <f t="shared" si="57"/>
        <v>0</v>
      </c>
      <c r="I102" s="403">
        <f t="shared" si="57"/>
        <v>0</v>
      </c>
      <c r="J102" s="403">
        <f t="shared" si="57"/>
        <v>0</v>
      </c>
      <c r="K102" s="403">
        <f t="shared" si="57"/>
        <v>0</v>
      </c>
      <c r="L102" s="403">
        <f t="shared" si="57"/>
        <v>0</v>
      </c>
    </row>
    <row r="103" spans="1:12" x14ac:dyDescent="0.3">
      <c r="A103" s="687"/>
      <c r="B103" s="425" t="s">
        <v>828</v>
      </c>
      <c r="C103" s="403" t="e">
        <f t="shared" ref="C103:L103" si="58">(170.18/C91)*C102</f>
        <v>#DIV/0!</v>
      </c>
      <c r="D103" s="403" t="e">
        <f t="shared" si="58"/>
        <v>#DIV/0!</v>
      </c>
      <c r="E103" s="403" t="e">
        <f t="shared" si="58"/>
        <v>#DIV/0!</v>
      </c>
      <c r="F103" s="403" t="e">
        <f t="shared" si="58"/>
        <v>#DIV/0!</v>
      </c>
      <c r="G103" s="403" t="e">
        <f t="shared" si="58"/>
        <v>#DIV/0!</v>
      </c>
      <c r="H103" s="403" t="e">
        <f t="shared" si="58"/>
        <v>#DIV/0!</v>
      </c>
      <c r="I103" s="403" t="e">
        <f t="shared" si="58"/>
        <v>#DIV/0!</v>
      </c>
      <c r="J103" s="403" t="e">
        <f t="shared" si="58"/>
        <v>#DIV/0!</v>
      </c>
      <c r="K103" s="403" t="e">
        <f t="shared" si="58"/>
        <v>#DIV/0!</v>
      </c>
      <c r="L103" s="403" t="e">
        <f t="shared" si="58"/>
        <v>#DIV/0!</v>
      </c>
    </row>
    <row r="104" spans="1:12" x14ac:dyDescent="0.3">
      <c r="A104" s="687"/>
      <c r="B104" s="425" t="s">
        <v>829</v>
      </c>
      <c r="C104" s="403" t="e">
        <f t="shared" ref="C104:L104" si="59">(C103^2)</f>
        <v>#DIV/0!</v>
      </c>
      <c r="D104" s="403" t="e">
        <f t="shared" si="59"/>
        <v>#DIV/0!</v>
      </c>
      <c r="E104" s="403" t="e">
        <f t="shared" si="59"/>
        <v>#DIV/0!</v>
      </c>
      <c r="F104" s="403" t="e">
        <f t="shared" si="59"/>
        <v>#DIV/0!</v>
      </c>
      <c r="G104" s="403" t="e">
        <f t="shared" si="59"/>
        <v>#DIV/0!</v>
      </c>
      <c r="H104" s="403" t="e">
        <f t="shared" si="59"/>
        <v>#DIV/0!</v>
      </c>
      <c r="I104" s="403" t="e">
        <f t="shared" si="59"/>
        <v>#DIV/0!</v>
      </c>
      <c r="J104" s="403" t="e">
        <f t="shared" si="59"/>
        <v>#DIV/0!</v>
      </c>
      <c r="K104" s="403" t="e">
        <f t="shared" si="59"/>
        <v>#DIV/0!</v>
      </c>
      <c r="L104" s="403" t="e">
        <f t="shared" si="59"/>
        <v>#DIV/0!</v>
      </c>
    </row>
    <row r="105" spans="1:12" x14ac:dyDescent="0.3">
      <c r="A105" s="687"/>
      <c r="B105" s="425" t="s">
        <v>830</v>
      </c>
      <c r="C105" s="403" t="e">
        <f t="shared" ref="C105:L105" si="60">(C103^3)</f>
        <v>#DIV/0!</v>
      </c>
      <c r="D105" s="403" t="e">
        <f t="shared" si="60"/>
        <v>#DIV/0!</v>
      </c>
      <c r="E105" s="403" t="e">
        <f t="shared" si="60"/>
        <v>#DIV/0!</v>
      </c>
      <c r="F105" s="403" t="e">
        <f t="shared" si="60"/>
        <v>#DIV/0!</v>
      </c>
      <c r="G105" s="403" t="e">
        <f t="shared" si="60"/>
        <v>#DIV/0!</v>
      </c>
      <c r="H105" s="403" t="e">
        <f t="shared" si="60"/>
        <v>#DIV/0!</v>
      </c>
      <c r="I105" s="403" t="e">
        <f t="shared" si="60"/>
        <v>#DIV/0!</v>
      </c>
      <c r="J105" s="403" t="e">
        <f t="shared" si="60"/>
        <v>#DIV/0!</v>
      </c>
      <c r="K105" s="403" t="e">
        <f t="shared" si="60"/>
        <v>#DIV/0!</v>
      </c>
      <c r="L105" s="403" t="e">
        <f t="shared" si="60"/>
        <v>#DIV/0!</v>
      </c>
    </row>
    <row r="106" spans="1:12" x14ac:dyDescent="0.3">
      <c r="A106" s="687" t="s">
        <v>831</v>
      </c>
      <c r="B106" s="424" t="s">
        <v>832</v>
      </c>
      <c r="C106" s="403">
        <f t="shared" ref="C106:L106" si="61">(C98-(C94/10))</f>
        <v>0</v>
      </c>
      <c r="D106" s="403">
        <f t="shared" si="61"/>
        <v>0</v>
      </c>
      <c r="E106" s="403">
        <f t="shared" si="61"/>
        <v>0</v>
      </c>
      <c r="F106" s="403">
        <f t="shared" si="61"/>
        <v>0</v>
      </c>
      <c r="G106" s="403">
        <f t="shared" si="61"/>
        <v>0</v>
      </c>
      <c r="H106" s="403">
        <f t="shared" si="61"/>
        <v>0</v>
      </c>
      <c r="I106" s="403">
        <f t="shared" si="61"/>
        <v>0</v>
      </c>
      <c r="J106" s="403">
        <f t="shared" si="61"/>
        <v>0</v>
      </c>
      <c r="K106" s="403">
        <f t="shared" si="61"/>
        <v>0</v>
      </c>
      <c r="L106" s="403">
        <f t="shared" si="61"/>
        <v>0</v>
      </c>
    </row>
    <row r="107" spans="1:12" x14ac:dyDescent="0.3">
      <c r="A107" s="687"/>
      <c r="B107" s="425" t="s">
        <v>833</v>
      </c>
      <c r="C107" s="403">
        <f t="shared" ref="C107:L107" si="62">(C99-(C97/10))</f>
        <v>0</v>
      </c>
      <c r="D107" s="403">
        <f t="shared" si="62"/>
        <v>0</v>
      </c>
      <c r="E107" s="403">
        <f t="shared" si="62"/>
        <v>0</v>
      </c>
      <c r="F107" s="403">
        <f t="shared" si="62"/>
        <v>0</v>
      </c>
      <c r="G107" s="403">
        <f t="shared" si="62"/>
        <v>0</v>
      </c>
      <c r="H107" s="403">
        <f t="shared" si="62"/>
        <v>0</v>
      </c>
      <c r="I107" s="403">
        <f t="shared" si="62"/>
        <v>0</v>
      </c>
      <c r="J107" s="403">
        <f t="shared" si="62"/>
        <v>0</v>
      </c>
      <c r="K107" s="403">
        <f t="shared" si="62"/>
        <v>0</v>
      </c>
      <c r="L107" s="403">
        <f t="shared" si="62"/>
        <v>0</v>
      </c>
    </row>
    <row r="108" spans="1:12" x14ac:dyDescent="0.3">
      <c r="A108" s="688" t="s">
        <v>834</v>
      </c>
      <c r="B108" s="392" t="s">
        <v>835</v>
      </c>
      <c r="C108" s="403" t="e">
        <f t="shared" ref="C108:L108" si="63">(-0.7182+(0.1451*C103)-(0.00068*C104)+(0.0000014*C105))</f>
        <v>#DIV/0!</v>
      </c>
      <c r="D108" s="403" t="e">
        <f t="shared" si="63"/>
        <v>#DIV/0!</v>
      </c>
      <c r="E108" s="403" t="e">
        <f t="shared" si="63"/>
        <v>#DIV/0!</v>
      </c>
      <c r="F108" s="403" t="e">
        <f t="shared" si="63"/>
        <v>#DIV/0!</v>
      </c>
      <c r="G108" s="403" t="e">
        <f t="shared" si="63"/>
        <v>#DIV/0!</v>
      </c>
      <c r="H108" s="403" t="e">
        <f t="shared" si="63"/>
        <v>#DIV/0!</v>
      </c>
      <c r="I108" s="403" t="e">
        <f t="shared" si="63"/>
        <v>#DIV/0!</v>
      </c>
      <c r="J108" s="403" t="e">
        <f t="shared" si="63"/>
        <v>#DIV/0!</v>
      </c>
      <c r="K108" s="403" t="e">
        <f t="shared" si="63"/>
        <v>#DIV/0!</v>
      </c>
      <c r="L108" s="403" t="e">
        <f t="shared" si="63"/>
        <v>#DIV/0!</v>
      </c>
    </row>
    <row r="109" spans="1:12" x14ac:dyDescent="0.3">
      <c r="A109" s="688"/>
      <c r="B109" s="393" t="s">
        <v>836</v>
      </c>
      <c r="C109" s="403">
        <f t="shared" ref="C109:L109" si="64">(0.858*C100)+(0.601*C101)+(0.188*C106)+(0.161*C107)-(0.131*C91)+4.5</f>
        <v>4.5</v>
      </c>
      <c r="D109" s="403">
        <f t="shared" si="64"/>
        <v>4.5</v>
      </c>
      <c r="E109" s="403">
        <f t="shared" si="64"/>
        <v>4.5</v>
      </c>
      <c r="F109" s="403">
        <f t="shared" si="64"/>
        <v>4.5</v>
      </c>
      <c r="G109" s="403">
        <f t="shared" si="64"/>
        <v>4.5</v>
      </c>
      <c r="H109" s="403">
        <f t="shared" si="64"/>
        <v>4.5</v>
      </c>
      <c r="I109" s="403">
        <f t="shared" si="64"/>
        <v>4.5</v>
      </c>
      <c r="J109" s="403">
        <f t="shared" si="64"/>
        <v>4.5</v>
      </c>
      <c r="K109" s="403">
        <f t="shared" si="64"/>
        <v>4.5</v>
      </c>
      <c r="L109" s="403">
        <f t="shared" si="64"/>
        <v>4.5</v>
      </c>
    </row>
    <row r="110" spans="1:12" x14ac:dyDescent="0.3">
      <c r="A110" s="688"/>
      <c r="B110" s="393" t="s">
        <v>837</v>
      </c>
      <c r="C110" s="403" t="e">
        <f t="shared" ref="C110:L110" si="65">(0.732*C93)-28.58</f>
        <v>#DIV/0!</v>
      </c>
      <c r="D110" s="403" t="e">
        <f t="shared" si="65"/>
        <v>#DIV/0!</v>
      </c>
      <c r="E110" s="403" t="e">
        <f t="shared" si="65"/>
        <v>#DIV/0!</v>
      </c>
      <c r="F110" s="403" t="e">
        <f t="shared" si="65"/>
        <v>#DIV/0!</v>
      </c>
      <c r="G110" s="403" t="e">
        <f t="shared" si="65"/>
        <v>#DIV/0!</v>
      </c>
      <c r="H110" s="403" t="e">
        <f t="shared" si="65"/>
        <v>#DIV/0!</v>
      </c>
      <c r="I110" s="403" t="e">
        <f t="shared" si="65"/>
        <v>#DIV/0!</v>
      </c>
      <c r="J110" s="403" t="e">
        <f t="shared" si="65"/>
        <v>#DIV/0!</v>
      </c>
      <c r="K110" s="403" t="e">
        <f t="shared" si="65"/>
        <v>#DIV/0!</v>
      </c>
      <c r="L110" s="403" t="e">
        <f t="shared" si="65"/>
        <v>#DIV/0!</v>
      </c>
    </row>
    <row r="111" spans="1:12" x14ac:dyDescent="0.3">
      <c r="A111" s="688"/>
      <c r="B111" s="395" t="s">
        <v>40</v>
      </c>
      <c r="C111" s="410" t="s">
        <v>838</v>
      </c>
      <c r="D111" s="410" t="s">
        <v>838</v>
      </c>
      <c r="E111" s="410" t="s">
        <v>838</v>
      </c>
      <c r="F111" s="410" t="s">
        <v>838</v>
      </c>
      <c r="G111" s="410" t="s">
        <v>838</v>
      </c>
      <c r="H111" s="410" t="s">
        <v>838</v>
      </c>
      <c r="I111" s="410" t="s">
        <v>838</v>
      </c>
      <c r="J111" s="410" t="s">
        <v>838</v>
      </c>
      <c r="K111" s="410" t="s">
        <v>838</v>
      </c>
      <c r="L111" s="410" t="s">
        <v>838</v>
      </c>
    </row>
    <row r="112" spans="1:12" ht="26.4" x14ac:dyDescent="0.3">
      <c r="A112" s="688"/>
      <c r="B112" s="426" t="s">
        <v>839</v>
      </c>
      <c r="C112" s="423"/>
      <c r="D112" s="423"/>
      <c r="E112" s="423"/>
      <c r="F112" s="423"/>
      <c r="G112" s="423"/>
      <c r="H112" s="423"/>
      <c r="I112" s="423"/>
      <c r="J112" s="423"/>
      <c r="K112" s="423"/>
      <c r="L112" s="423"/>
    </row>
    <row r="113" spans="1:12" ht="26.4" x14ac:dyDescent="0.3">
      <c r="A113" s="688"/>
      <c r="B113" s="427" t="s">
        <v>840</v>
      </c>
      <c r="C113" s="423"/>
      <c r="D113" s="423"/>
      <c r="E113" s="423"/>
      <c r="F113" s="423"/>
      <c r="G113" s="423"/>
      <c r="H113" s="423"/>
      <c r="I113" s="423"/>
      <c r="J113" s="423"/>
      <c r="K113" s="423"/>
      <c r="L113" s="423"/>
    </row>
    <row r="114" spans="1:12" x14ac:dyDescent="0.3">
      <c r="A114" s="688"/>
      <c r="B114" s="424" t="s">
        <v>841</v>
      </c>
      <c r="C114" s="423"/>
      <c r="D114" s="423"/>
      <c r="E114" s="423"/>
      <c r="F114" s="423"/>
      <c r="G114" s="423"/>
      <c r="H114" s="423"/>
      <c r="I114" s="423"/>
      <c r="J114" s="423"/>
      <c r="K114" s="423"/>
      <c r="L114" s="423"/>
    </row>
    <row r="115" spans="1:12" x14ac:dyDescent="0.3">
      <c r="A115" s="688"/>
      <c r="B115" s="425" t="s">
        <v>842</v>
      </c>
      <c r="C115" s="423" t="e">
        <f t="shared" ref="C115:L115" si="66">(C110-C108)</f>
        <v>#DIV/0!</v>
      </c>
      <c r="D115" s="423" t="e">
        <f t="shared" si="66"/>
        <v>#DIV/0!</v>
      </c>
      <c r="E115" s="423" t="e">
        <f t="shared" si="66"/>
        <v>#DIV/0!</v>
      </c>
      <c r="F115" s="423" t="e">
        <f t="shared" si="66"/>
        <v>#DIV/0!</v>
      </c>
      <c r="G115" s="423" t="e">
        <f t="shared" si="66"/>
        <v>#DIV/0!</v>
      </c>
      <c r="H115" s="423" t="e">
        <f t="shared" si="66"/>
        <v>#DIV/0!</v>
      </c>
      <c r="I115" s="423" t="e">
        <f t="shared" si="66"/>
        <v>#DIV/0!</v>
      </c>
      <c r="J115" s="423" t="e">
        <f t="shared" si="66"/>
        <v>#DIV/0!</v>
      </c>
      <c r="K115" s="423" t="e">
        <f t="shared" si="66"/>
        <v>#DIV/0!</v>
      </c>
      <c r="L115" s="423" t="e">
        <f t="shared" si="66"/>
        <v>#DIV/0!</v>
      </c>
    </row>
    <row r="116" spans="1:12" x14ac:dyDescent="0.3">
      <c r="A116" s="688"/>
      <c r="B116" s="428" t="s">
        <v>843</v>
      </c>
      <c r="C116" s="423" t="e">
        <f t="shared" ref="C116:L116" si="67">(2*C109)-(C108+C110)</f>
        <v>#DIV/0!</v>
      </c>
      <c r="D116" s="423" t="e">
        <f t="shared" si="67"/>
        <v>#DIV/0!</v>
      </c>
      <c r="E116" s="423" t="e">
        <f t="shared" si="67"/>
        <v>#DIV/0!</v>
      </c>
      <c r="F116" s="423" t="e">
        <f t="shared" si="67"/>
        <v>#DIV/0!</v>
      </c>
      <c r="G116" s="423" t="e">
        <f t="shared" si="67"/>
        <v>#DIV/0!</v>
      </c>
      <c r="H116" s="423" t="e">
        <f t="shared" si="67"/>
        <v>#DIV/0!</v>
      </c>
      <c r="I116" s="423" t="e">
        <f t="shared" si="67"/>
        <v>#DIV/0!</v>
      </c>
      <c r="J116" s="423" t="e">
        <f t="shared" si="67"/>
        <v>#DIV/0!</v>
      </c>
      <c r="K116" s="423" t="e">
        <f t="shared" si="67"/>
        <v>#DIV/0!</v>
      </c>
      <c r="L116" s="423" t="e">
        <f t="shared" si="67"/>
        <v>#DIV/0!</v>
      </c>
    </row>
  </sheetData>
  <mergeCells count="20">
    <mergeCell ref="A106:A107"/>
    <mergeCell ref="A108:A116"/>
    <mergeCell ref="A72:A89"/>
    <mergeCell ref="A90:A93"/>
    <mergeCell ref="A94:A97"/>
    <mergeCell ref="A98:A99"/>
    <mergeCell ref="A100:A101"/>
    <mergeCell ref="A102:A105"/>
    <mergeCell ref="A70:A71"/>
    <mergeCell ref="A1:A4"/>
    <mergeCell ref="C1:L1"/>
    <mergeCell ref="C3:L3"/>
    <mergeCell ref="A5:A8"/>
    <mergeCell ref="A10:A17"/>
    <mergeCell ref="A19:A31"/>
    <mergeCell ref="A33:A39"/>
    <mergeCell ref="A41:A45"/>
    <mergeCell ref="A47:A54"/>
    <mergeCell ref="A56:A61"/>
    <mergeCell ref="A63:A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S813"/>
  <sheetViews>
    <sheetView workbookViewId="0">
      <selection activeCell="J8" sqref="J8"/>
    </sheetView>
  </sheetViews>
  <sheetFormatPr baseColWidth="10" defaultRowHeight="14.4" x14ac:dyDescent="0.3"/>
  <sheetData>
    <row r="1" spans="1:19" x14ac:dyDescent="0.3">
      <c r="A1" s="356" t="s">
        <v>648</v>
      </c>
      <c r="B1" s="357"/>
      <c r="C1" s="358"/>
      <c r="D1" s="358"/>
      <c r="E1" s="358"/>
      <c r="F1" s="358"/>
      <c r="G1" s="358"/>
      <c r="H1" s="358"/>
      <c r="I1" s="358"/>
      <c r="J1" s="339"/>
      <c r="K1" s="346" t="s">
        <v>667</v>
      </c>
      <c r="L1" s="344"/>
      <c r="M1" s="345"/>
      <c r="N1" s="345"/>
      <c r="O1" s="345"/>
      <c r="P1" s="345"/>
      <c r="Q1" s="345"/>
      <c r="R1" s="345"/>
      <c r="S1" s="345"/>
    </row>
    <row r="2" spans="1:19" x14ac:dyDescent="0.3">
      <c r="A2" s="359" t="s">
        <v>514</v>
      </c>
      <c r="B2" s="359" t="s">
        <v>649</v>
      </c>
      <c r="C2" s="360" t="s">
        <v>650</v>
      </c>
      <c r="D2" s="360" t="s">
        <v>651</v>
      </c>
      <c r="E2" s="360" t="s">
        <v>652</v>
      </c>
      <c r="F2" s="360" t="s">
        <v>653</v>
      </c>
      <c r="G2" s="360" t="s">
        <v>654</v>
      </c>
      <c r="H2" s="360" t="s">
        <v>655</v>
      </c>
      <c r="I2" s="360" t="s">
        <v>656</v>
      </c>
      <c r="J2" s="339"/>
      <c r="K2" s="347" t="s">
        <v>514</v>
      </c>
      <c r="L2" s="347" t="s">
        <v>649</v>
      </c>
      <c r="M2" s="348" t="s">
        <v>650</v>
      </c>
      <c r="N2" s="348" t="s">
        <v>651</v>
      </c>
      <c r="O2" s="348" t="s">
        <v>652</v>
      </c>
      <c r="P2" s="348" t="s">
        <v>653</v>
      </c>
      <c r="Q2" s="348" t="s">
        <v>654</v>
      </c>
      <c r="R2" s="348" t="s">
        <v>655</v>
      </c>
      <c r="S2" s="348" t="s">
        <v>656</v>
      </c>
    </row>
    <row r="3" spans="1:19" x14ac:dyDescent="0.3">
      <c r="A3" s="357">
        <v>7</v>
      </c>
      <c r="B3" s="357">
        <v>1</v>
      </c>
      <c r="C3" s="358">
        <v>27</v>
      </c>
      <c r="D3" s="358">
        <v>27</v>
      </c>
      <c r="E3" s="358" t="s">
        <v>657</v>
      </c>
      <c r="F3" s="358">
        <v>27</v>
      </c>
      <c r="G3" s="358">
        <v>27</v>
      </c>
      <c r="H3" s="358"/>
      <c r="I3" s="358"/>
      <c r="J3" s="339"/>
      <c r="K3" s="344">
        <v>7</v>
      </c>
      <c r="L3" s="344">
        <v>1</v>
      </c>
      <c r="M3" s="345">
        <v>32</v>
      </c>
      <c r="N3" s="345">
        <v>32</v>
      </c>
      <c r="O3" s="345" t="s">
        <v>657</v>
      </c>
      <c r="P3" s="345">
        <v>32</v>
      </c>
      <c r="Q3" s="345">
        <v>32</v>
      </c>
      <c r="R3" s="345"/>
      <c r="S3" s="345"/>
    </row>
    <row r="4" spans="1:19" x14ac:dyDescent="0.3">
      <c r="A4" s="357">
        <v>8</v>
      </c>
      <c r="B4" s="357">
        <v>10</v>
      </c>
      <c r="C4" s="358">
        <v>28.46</v>
      </c>
      <c r="D4" s="358">
        <v>28.25</v>
      </c>
      <c r="E4" s="358">
        <v>5.968</v>
      </c>
      <c r="F4" s="358">
        <v>39.5</v>
      </c>
      <c r="G4" s="358">
        <v>19.899999999999999</v>
      </c>
      <c r="H4" s="358">
        <f t="shared" ref="H4:H14" si="0">C4+(1.96*E4)/(B4)^0.5</f>
        <v>32.159004722873441</v>
      </c>
      <c r="I4" s="358">
        <f t="shared" ref="I4:I14" si="1">C4-(1.96*E4)/(B4)^0.5</f>
        <v>24.760995277126565</v>
      </c>
      <c r="J4" s="339"/>
      <c r="K4" s="344">
        <v>8</v>
      </c>
      <c r="L4" s="344">
        <v>10</v>
      </c>
      <c r="M4" s="345">
        <v>33.89</v>
      </c>
      <c r="N4" s="345">
        <v>34.1</v>
      </c>
      <c r="O4" s="345">
        <v>2.7919999999999998</v>
      </c>
      <c r="P4" s="345">
        <v>37.700000000000003</v>
      </c>
      <c r="Q4" s="345">
        <v>28.6</v>
      </c>
      <c r="R4" s="345">
        <f t="shared" ref="R4:R30" si="2">M4+(1.96*O4)/(L4)^0.5</f>
        <v>35.620499528529265</v>
      </c>
      <c r="S4" s="345">
        <f t="shared" ref="S4:S30" si="3">M4-(1.96*O4)/(L4)^0.5</f>
        <v>32.159500471470736</v>
      </c>
    </row>
    <row r="5" spans="1:19" x14ac:dyDescent="0.3">
      <c r="A5" s="357">
        <v>9</v>
      </c>
      <c r="B5" s="357">
        <v>17</v>
      </c>
      <c r="C5" s="358">
        <v>33.658999999999999</v>
      </c>
      <c r="D5" s="358">
        <v>33.799999999999997</v>
      </c>
      <c r="E5" s="358">
        <v>6.02</v>
      </c>
      <c r="F5" s="358">
        <v>45.2</v>
      </c>
      <c r="G5" s="358">
        <v>25.2</v>
      </c>
      <c r="H5" s="358">
        <f t="shared" si="0"/>
        <v>36.520726346928697</v>
      </c>
      <c r="I5" s="358">
        <f t="shared" si="1"/>
        <v>30.797273653071301</v>
      </c>
      <c r="J5" s="339"/>
      <c r="K5" s="344">
        <v>9</v>
      </c>
      <c r="L5" s="344">
        <v>17</v>
      </c>
      <c r="M5" s="345">
        <v>36.688000000000002</v>
      </c>
      <c r="N5" s="345">
        <v>36.5</v>
      </c>
      <c r="O5" s="345">
        <v>2.3479999999999999</v>
      </c>
      <c r="P5" s="345">
        <v>41</v>
      </c>
      <c r="Q5" s="345">
        <v>32.9</v>
      </c>
      <c r="R5" s="345">
        <f t="shared" si="2"/>
        <v>37.804168349267208</v>
      </c>
      <c r="S5" s="345">
        <f t="shared" si="3"/>
        <v>35.571831650732797</v>
      </c>
    </row>
    <row r="6" spans="1:19" x14ac:dyDescent="0.3">
      <c r="A6" s="357">
        <v>10</v>
      </c>
      <c r="B6" s="357">
        <v>22</v>
      </c>
      <c r="C6" s="358">
        <v>38.25</v>
      </c>
      <c r="D6" s="358">
        <v>36.75</v>
      </c>
      <c r="E6" s="358">
        <v>10.395</v>
      </c>
      <c r="F6" s="358">
        <v>76.7</v>
      </c>
      <c r="G6" s="358">
        <v>25</v>
      </c>
      <c r="H6" s="358">
        <f t="shared" si="0"/>
        <v>42.593794035172479</v>
      </c>
      <c r="I6" s="358">
        <f t="shared" si="1"/>
        <v>33.906205964827521</v>
      </c>
      <c r="J6" s="339"/>
      <c r="K6" s="344">
        <v>10</v>
      </c>
      <c r="L6" s="344">
        <v>22</v>
      </c>
      <c r="M6" s="345">
        <v>38.627000000000002</v>
      </c>
      <c r="N6" s="345">
        <v>38.75</v>
      </c>
      <c r="O6" s="345">
        <v>2.4580000000000002</v>
      </c>
      <c r="P6" s="345">
        <v>45.6</v>
      </c>
      <c r="Q6" s="345">
        <v>34.299999999999997</v>
      </c>
      <c r="R6" s="345">
        <f t="shared" si="2"/>
        <v>39.654132827172099</v>
      </c>
      <c r="S6" s="345">
        <f t="shared" si="3"/>
        <v>37.599867172827906</v>
      </c>
    </row>
    <row r="7" spans="1:19" x14ac:dyDescent="0.3">
      <c r="A7" s="357">
        <v>11</v>
      </c>
      <c r="B7" s="357">
        <v>21</v>
      </c>
      <c r="C7" s="358">
        <v>42.670999999999999</v>
      </c>
      <c r="D7" s="358">
        <v>38.9</v>
      </c>
      <c r="E7" s="358">
        <v>9.6769999999999996</v>
      </c>
      <c r="F7" s="358">
        <v>58</v>
      </c>
      <c r="G7" s="358">
        <v>25.2</v>
      </c>
      <c r="H7" s="358">
        <f t="shared" si="0"/>
        <v>46.809921266674849</v>
      </c>
      <c r="I7" s="358">
        <f t="shared" si="1"/>
        <v>38.53207873332515</v>
      </c>
      <c r="J7" s="339"/>
      <c r="K7" s="344">
        <v>11</v>
      </c>
      <c r="L7" s="344">
        <v>20</v>
      </c>
      <c r="M7" s="345">
        <v>39.36</v>
      </c>
      <c r="N7" s="345">
        <v>39.549999999999997</v>
      </c>
      <c r="O7" s="345">
        <v>1.8759999999999999</v>
      </c>
      <c r="P7" s="345">
        <v>41.9</v>
      </c>
      <c r="Q7" s="345">
        <v>35</v>
      </c>
      <c r="R7" s="345">
        <f t="shared" si="2"/>
        <v>40.182193251054763</v>
      </c>
      <c r="S7" s="345">
        <f t="shared" si="3"/>
        <v>38.537806748945236</v>
      </c>
    </row>
    <row r="8" spans="1:19" x14ac:dyDescent="0.3">
      <c r="A8" s="357">
        <v>12</v>
      </c>
      <c r="B8" s="357">
        <v>39</v>
      </c>
      <c r="C8" s="358">
        <v>44.286999999999999</v>
      </c>
      <c r="D8" s="358">
        <v>44.4</v>
      </c>
      <c r="E8" s="358">
        <v>8.6809999999999992</v>
      </c>
      <c r="F8" s="358">
        <v>73.599999999999994</v>
      </c>
      <c r="G8" s="358">
        <v>28.5</v>
      </c>
      <c r="H8" s="358">
        <f t="shared" si="0"/>
        <v>47.011542106236647</v>
      </c>
      <c r="I8" s="358">
        <f t="shared" si="1"/>
        <v>41.562457893763352</v>
      </c>
      <c r="J8" s="339"/>
      <c r="K8" s="344">
        <v>12</v>
      </c>
      <c r="L8" s="344">
        <v>39</v>
      </c>
      <c r="M8" s="345">
        <v>40.679000000000002</v>
      </c>
      <c r="N8" s="345">
        <v>41</v>
      </c>
      <c r="O8" s="345">
        <v>2.4119999999999999</v>
      </c>
      <c r="P8" s="345">
        <v>45.6</v>
      </c>
      <c r="Q8" s="345">
        <v>36.200000000000003</v>
      </c>
      <c r="R8" s="345">
        <f t="shared" si="2"/>
        <v>41.436009049676628</v>
      </c>
      <c r="S8" s="345">
        <f t="shared" si="3"/>
        <v>39.921990950323377</v>
      </c>
    </row>
    <row r="9" spans="1:19" x14ac:dyDescent="0.3">
      <c r="A9" s="357">
        <v>13</v>
      </c>
      <c r="B9" s="357">
        <v>41</v>
      </c>
      <c r="C9" s="358">
        <v>49.116999999999997</v>
      </c>
      <c r="D9" s="358">
        <v>49.6</v>
      </c>
      <c r="E9" s="358">
        <v>9.8409999999999993</v>
      </c>
      <c r="F9" s="358">
        <v>78.900000000000006</v>
      </c>
      <c r="G9" s="358">
        <v>32.9</v>
      </c>
      <c r="H9" s="358">
        <f t="shared" si="0"/>
        <v>52.129335741861709</v>
      </c>
      <c r="I9" s="358">
        <f t="shared" si="1"/>
        <v>46.104664258138286</v>
      </c>
      <c r="J9" s="339"/>
      <c r="K9" s="344">
        <v>13</v>
      </c>
      <c r="L9" s="344">
        <v>41</v>
      </c>
      <c r="M9" s="345">
        <v>40.970999999999997</v>
      </c>
      <c r="N9" s="345">
        <v>41</v>
      </c>
      <c r="O9" s="345">
        <v>2.2879999999999998</v>
      </c>
      <c r="P9" s="345">
        <v>45.5</v>
      </c>
      <c r="Q9" s="345">
        <v>36.1</v>
      </c>
      <c r="R9" s="345">
        <f t="shared" si="2"/>
        <v>41.671358111714213</v>
      </c>
      <c r="S9" s="345">
        <f t="shared" si="3"/>
        <v>40.27064188828578</v>
      </c>
    </row>
    <row r="10" spans="1:19" x14ac:dyDescent="0.3">
      <c r="A10" s="357">
        <v>14</v>
      </c>
      <c r="B10" s="357">
        <v>45</v>
      </c>
      <c r="C10" s="358">
        <v>52.024000000000001</v>
      </c>
      <c r="D10" s="358">
        <v>50.7</v>
      </c>
      <c r="E10" s="358">
        <v>8.1859999999999999</v>
      </c>
      <c r="F10" s="358">
        <v>72.8</v>
      </c>
      <c r="G10" s="358">
        <v>39.1</v>
      </c>
      <c r="H10" s="358">
        <f t="shared" si="0"/>
        <v>54.415781788604939</v>
      </c>
      <c r="I10" s="358">
        <f t="shared" si="1"/>
        <v>49.632218211395063</v>
      </c>
      <c r="J10" s="339"/>
      <c r="K10" s="344">
        <v>14</v>
      </c>
      <c r="L10" s="344">
        <v>45</v>
      </c>
      <c r="M10" s="345">
        <v>41.44</v>
      </c>
      <c r="N10" s="345">
        <v>41.4</v>
      </c>
      <c r="O10" s="345">
        <v>2.0910000000000002</v>
      </c>
      <c r="P10" s="345">
        <v>46.2</v>
      </c>
      <c r="Q10" s="345">
        <v>37</v>
      </c>
      <c r="R10" s="345">
        <f t="shared" si="2"/>
        <v>42.050947437084403</v>
      </c>
      <c r="S10" s="345">
        <f t="shared" si="3"/>
        <v>40.829052562915592</v>
      </c>
    </row>
    <row r="11" spans="1:19" x14ac:dyDescent="0.3">
      <c r="A11" s="357">
        <v>15</v>
      </c>
      <c r="B11" s="357">
        <v>12</v>
      </c>
      <c r="C11" s="358">
        <v>52.875</v>
      </c>
      <c r="D11" s="358">
        <v>52.15</v>
      </c>
      <c r="E11" s="358">
        <v>6.157</v>
      </c>
      <c r="F11" s="358">
        <v>65.8</v>
      </c>
      <c r="G11" s="358">
        <v>41.3</v>
      </c>
      <c r="H11" s="358">
        <f t="shared" si="0"/>
        <v>56.358650695252514</v>
      </c>
      <c r="I11" s="358">
        <f t="shared" si="1"/>
        <v>49.391349304747486</v>
      </c>
      <c r="J11" s="339"/>
      <c r="K11" s="344">
        <v>15</v>
      </c>
      <c r="L11" s="344">
        <v>12</v>
      </c>
      <c r="M11" s="345">
        <v>41.408000000000001</v>
      </c>
      <c r="N11" s="345">
        <v>41.85</v>
      </c>
      <c r="O11" s="345">
        <v>1.75</v>
      </c>
      <c r="P11" s="345">
        <v>43.9</v>
      </c>
      <c r="Q11" s="345">
        <v>37.200000000000003</v>
      </c>
      <c r="R11" s="345">
        <f t="shared" si="2"/>
        <v>42.398155711660209</v>
      </c>
      <c r="S11" s="345">
        <f t="shared" si="3"/>
        <v>40.417844288339793</v>
      </c>
    </row>
    <row r="12" spans="1:19" x14ac:dyDescent="0.3">
      <c r="A12" s="357">
        <v>16</v>
      </c>
      <c r="B12" s="357">
        <v>13</v>
      </c>
      <c r="C12" s="358">
        <v>51.877000000000002</v>
      </c>
      <c r="D12" s="358">
        <v>50.3</v>
      </c>
      <c r="E12" s="358">
        <v>6.1619999999999999</v>
      </c>
      <c r="F12" s="358">
        <v>64.3</v>
      </c>
      <c r="G12" s="358">
        <v>45.2</v>
      </c>
      <c r="H12" s="358">
        <f t="shared" si="0"/>
        <v>55.226701356957065</v>
      </c>
      <c r="I12" s="358">
        <f t="shared" si="1"/>
        <v>48.52729864304294</v>
      </c>
      <c r="J12" s="339"/>
      <c r="K12" s="344">
        <v>16</v>
      </c>
      <c r="L12" s="344">
        <v>12</v>
      </c>
      <c r="M12" s="345">
        <v>41.008000000000003</v>
      </c>
      <c r="N12" s="345">
        <v>41</v>
      </c>
      <c r="O12" s="345">
        <v>2.2709999999999999</v>
      </c>
      <c r="P12" s="345">
        <v>45.1</v>
      </c>
      <c r="Q12" s="345">
        <v>37.6</v>
      </c>
      <c r="R12" s="345">
        <f t="shared" si="2"/>
        <v>42.29293921210305</v>
      </c>
      <c r="S12" s="345">
        <f t="shared" si="3"/>
        <v>39.723060787896955</v>
      </c>
    </row>
    <row r="13" spans="1:19" x14ac:dyDescent="0.3">
      <c r="A13" s="357">
        <v>17</v>
      </c>
      <c r="B13" s="357">
        <v>4</v>
      </c>
      <c r="C13" s="358">
        <v>48.15</v>
      </c>
      <c r="D13" s="358">
        <v>49</v>
      </c>
      <c r="E13" s="358">
        <v>2.4279999999999999</v>
      </c>
      <c r="F13" s="358">
        <v>49.9</v>
      </c>
      <c r="G13" s="358">
        <v>44.7</v>
      </c>
      <c r="H13" s="358">
        <f t="shared" si="0"/>
        <v>50.529440000000001</v>
      </c>
      <c r="I13" s="358">
        <f t="shared" si="1"/>
        <v>45.770559999999996</v>
      </c>
      <c r="J13" s="339"/>
      <c r="K13" s="344">
        <v>17</v>
      </c>
      <c r="L13" s="344">
        <v>4</v>
      </c>
      <c r="M13" s="345">
        <v>39.700000000000003</v>
      </c>
      <c r="N13" s="345">
        <v>40.6</v>
      </c>
      <c r="O13" s="345">
        <v>4.0170000000000003</v>
      </c>
      <c r="P13" s="345">
        <v>43.5</v>
      </c>
      <c r="Q13" s="345">
        <v>34.1</v>
      </c>
      <c r="R13" s="345">
        <f t="shared" si="2"/>
        <v>43.636660000000006</v>
      </c>
      <c r="S13" s="345">
        <f t="shared" si="3"/>
        <v>35.763339999999999</v>
      </c>
    </row>
    <row r="14" spans="1:19" x14ac:dyDescent="0.3">
      <c r="A14" s="361">
        <v>18</v>
      </c>
      <c r="B14" s="361">
        <v>2</v>
      </c>
      <c r="C14" s="362">
        <v>54</v>
      </c>
      <c r="D14" s="362">
        <v>54</v>
      </c>
      <c r="E14" s="362">
        <v>7.92</v>
      </c>
      <c r="F14" s="362">
        <v>59.6</v>
      </c>
      <c r="G14" s="362">
        <v>48.4</v>
      </c>
      <c r="H14" s="362">
        <f t="shared" si="0"/>
        <v>64.976559985715014</v>
      </c>
      <c r="I14" s="362">
        <f t="shared" si="1"/>
        <v>43.023440014284986</v>
      </c>
      <c r="J14" s="339"/>
      <c r="K14" s="349">
        <v>18</v>
      </c>
      <c r="L14" s="349">
        <v>2</v>
      </c>
      <c r="M14" s="350">
        <v>46.05</v>
      </c>
      <c r="N14" s="350">
        <v>46.05</v>
      </c>
      <c r="O14" s="350">
        <v>1.3440000000000001</v>
      </c>
      <c r="P14" s="350">
        <v>47</v>
      </c>
      <c r="Q14" s="350">
        <v>45.1</v>
      </c>
      <c r="R14" s="350">
        <f t="shared" si="2"/>
        <v>47.91268896727285</v>
      </c>
      <c r="S14" s="350">
        <f t="shared" si="3"/>
        <v>44.187311032727145</v>
      </c>
    </row>
    <row r="15" spans="1:19" x14ac:dyDescent="0.3">
      <c r="A15" s="357"/>
      <c r="B15" s="357"/>
      <c r="C15" s="358"/>
      <c r="D15" s="358"/>
      <c r="E15" s="358"/>
      <c r="F15" s="358"/>
      <c r="G15" s="358"/>
      <c r="H15" s="358"/>
      <c r="I15" s="358"/>
      <c r="J15" s="339"/>
      <c r="K15" s="344"/>
      <c r="L15" s="344"/>
      <c r="M15" s="345"/>
      <c r="N15" s="345"/>
      <c r="O15" s="345"/>
      <c r="P15" s="345"/>
      <c r="Q15" s="345"/>
      <c r="R15" s="345"/>
      <c r="S15" s="345"/>
    </row>
    <row r="16" spans="1:19" x14ac:dyDescent="0.3">
      <c r="A16" s="356" t="s">
        <v>658</v>
      </c>
      <c r="B16" s="357"/>
      <c r="C16" s="358"/>
      <c r="D16" s="358"/>
      <c r="E16" s="358"/>
      <c r="F16" s="358"/>
      <c r="G16" s="358"/>
      <c r="H16" s="358"/>
      <c r="I16" s="358"/>
      <c r="J16" s="339"/>
      <c r="K16" s="344"/>
      <c r="L16" s="344"/>
      <c r="M16" s="345"/>
      <c r="N16" s="345"/>
      <c r="O16" s="345"/>
      <c r="P16" s="345"/>
      <c r="Q16" s="345"/>
      <c r="R16" s="345"/>
      <c r="S16" s="345"/>
    </row>
    <row r="17" spans="1:19" x14ac:dyDescent="0.3">
      <c r="A17" s="359" t="s">
        <v>514</v>
      </c>
      <c r="B17" s="359" t="s">
        <v>649</v>
      </c>
      <c r="C17" s="360" t="s">
        <v>650</v>
      </c>
      <c r="D17" s="360" t="s">
        <v>651</v>
      </c>
      <c r="E17" s="360" t="s">
        <v>652</v>
      </c>
      <c r="F17" s="360" t="s">
        <v>653</v>
      </c>
      <c r="G17" s="360" t="s">
        <v>654</v>
      </c>
      <c r="H17" s="360" t="s">
        <v>655</v>
      </c>
      <c r="I17" s="360" t="s">
        <v>656</v>
      </c>
      <c r="J17" s="339"/>
      <c r="K17" s="346" t="s">
        <v>668</v>
      </c>
      <c r="L17" s="344"/>
      <c r="M17" s="345"/>
      <c r="N17" s="345"/>
      <c r="O17" s="345"/>
      <c r="P17" s="345"/>
      <c r="Q17" s="345"/>
      <c r="R17" s="345"/>
      <c r="S17" s="345"/>
    </row>
    <row r="18" spans="1:19" x14ac:dyDescent="0.3">
      <c r="A18" s="357">
        <v>7</v>
      </c>
      <c r="B18" s="357">
        <v>1</v>
      </c>
      <c r="C18" s="358">
        <v>121.5</v>
      </c>
      <c r="D18" s="358">
        <v>121.5</v>
      </c>
      <c r="E18" s="358" t="s">
        <v>657</v>
      </c>
      <c r="F18" s="358">
        <v>121.5</v>
      </c>
      <c r="G18" s="358">
        <v>121.5</v>
      </c>
      <c r="H18" s="358"/>
      <c r="I18" s="358"/>
      <c r="J18" s="339"/>
      <c r="K18" s="347" t="s">
        <v>514</v>
      </c>
      <c r="L18" s="347" t="s">
        <v>649</v>
      </c>
      <c r="M18" s="348" t="s">
        <v>650</v>
      </c>
      <c r="N18" s="348" t="s">
        <v>651</v>
      </c>
      <c r="O18" s="348" t="s">
        <v>652</v>
      </c>
      <c r="P18" s="348" t="s">
        <v>653</v>
      </c>
      <c r="Q18" s="348" t="s">
        <v>654</v>
      </c>
      <c r="R18" s="348" t="s">
        <v>655</v>
      </c>
      <c r="S18" s="348" t="s">
        <v>656</v>
      </c>
    </row>
    <row r="19" spans="1:19" x14ac:dyDescent="0.3">
      <c r="A19" s="357">
        <v>8</v>
      </c>
      <c r="B19" s="357">
        <v>10</v>
      </c>
      <c r="C19" s="358">
        <v>128.24</v>
      </c>
      <c r="D19" s="358">
        <v>129</v>
      </c>
      <c r="E19" s="358">
        <v>7.0380000000000003</v>
      </c>
      <c r="F19" s="358">
        <v>137.4</v>
      </c>
      <c r="G19" s="358">
        <v>115.4</v>
      </c>
      <c r="H19" s="358">
        <f t="shared" ref="H19:H29" si="4">C19+(1.96*E19)/(B19)^0.5</f>
        <v>132.60219759376395</v>
      </c>
      <c r="I19" s="358">
        <f t="shared" ref="I19:I29" si="5">C19-(1.96*E19)/(B19)^0.5</f>
        <v>123.87780240623606</v>
      </c>
      <c r="J19" s="339"/>
      <c r="K19" s="344">
        <v>7</v>
      </c>
      <c r="L19" s="344">
        <v>1</v>
      </c>
      <c r="M19" s="345">
        <v>26.3</v>
      </c>
      <c r="N19" s="345">
        <v>26.3</v>
      </c>
      <c r="O19" s="345" t="s">
        <v>657</v>
      </c>
      <c r="P19" s="345">
        <v>26.3</v>
      </c>
      <c r="Q19" s="345">
        <v>26.3</v>
      </c>
      <c r="R19" s="345"/>
      <c r="S19" s="345"/>
    </row>
    <row r="20" spans="1:19" x14ac:dyDescent="0.3">
      <c r="A20" s="357">
        <v>9</v>
      </c>
      <c r="B20" s="357">
        <v>17</v>
      </c>
      <c r="C20" s="358">
        <v>136.71799999999999</v>
      </c>
      <c r="D20" s="358">
        <v>135</v>
      </c>
      <c r="E20" s="358">
        <v>6.6520000000000001</v>
      </c>
      <c r="F20" s="358">
        <v>151.6</v>
      </c>
      <c r="G20" s="358">
        <v>127.9</v>
      </c>
      <c r="H20" s="358">
        <f t="shared" si="4"/>
        <v>139.8801600763737</v>
      </c>
      <c r="I20" s="358">
        <f t="shared" si="5"/>
        <v>133.55583992362628</v>
      </c>
      <c r="J20" s="339"/>
      <c r="K20" s="344">
        <v>8</v>
      </c>
      <c r="L20" s="344">
        <v>10</v>
      </c>
      <c r="M20" s="345">
        <v>29</v>
      </c>
      <c r="N20" s="345">
        <v>28.95</v>
      </c>
      <c r="O20" s="345">
        <v>2.1080000000000001</v>
      </c>
      <c r="P20" s="345">
        <v>31.5</v>
      </c>
      <c r="Q20" s="345">
        <v>24.2</v>
      </c>
      <c r="R20" s="345">
        <f t="shared" si="2"/>
        <v>30.306551936296451</v>
      </c>
      <c r="S20" s="345">
        <f t="shared" si="3"/>
        <v>27.693448063703549</v>
      </c>
    </row>
    <row r="21" spans="1:19" x14ac:dyDescent="0.3">
      <c r="A21" s="357">
        <v>10</v>
      </c>
      <c r="B21" s="357">
        <v>22</v>
      </c>
      <c r="C21" s="358">
        <v>141.56399999999999</v>
      </c>
      <c r="D21" s="358">
        <v>142.19999999999999</v>
      </c>
      <c r="E21" s="358">
        <v>5.9290000000000003</v>
      </c>
      <c r="F21" s="358">
        <v>152.4</v>
      </c>
      <c r="G21" s="358">
        <v>129</v>
      </c>
      <c r="H21" s="358">
        <f t="shared" si="4"/>
        <v>144.04157141265392</v>
      </c>
      <c r="I21" s="358">
        <f t="shared" si="5"/>
        <v>139.08642858734606</v>
      </c>
      <c r="J21" s="339"/>
      <c r="K21" s="344">
        <v>9</v>
      </c>
      <c r="L21" s="344">
        <v>17</v>
      </c>
      <c r="M21" s="345">
        <v>31.059000000000001</v>
      </c>
      <c r="N21" s="345">
        <v>31</v>
      </c>
      <c r="O21" s="345">
        <v>1.958</v>
      </c>
      <c r="P21" s="345">
        <v>34.5</v>
      </c>
      <c r="Q21" s="345">
        <v>28.4</v>
      </c>
      <c r="R21" s="345">
        <f t="shared" si="2"/>
        <v>31.989774117489436</v>
      </c>
      <c r="S21" s="345">
        <f t="shared" si="3"/>
        <v>30.128225882510566</v>
      </c>
    </row>
    <row r="22" spans="1:19" x14ac:dyDescent="0.3">
      <c r="A22" s="357">
        <v>11</v>
      </c>
      <c r="B22" s="357">
        <v>21</v>
      </c>
      <c r="C22" s="358">
        <v>147.24299999999999</v>
      </c>
      <c r="D22" s="358">
        <v>146.80000000000001</v>
      </c>
      <c r="E22" s="358">
        <v>8.4960000000000004</v>
      </c>
      <c r="F22" s="358">
        <v>159</v>
      </c>
      <c r="G22" s="358">
        <v>129</v>
      </c>
      <c r="H22" s="358">
        <f t="shared" si="4"/>
        <v>150.87679922307217</v>
      </c>
      <c r="I22" s="358">
        <f t="shared" si="5"/>
        <v>143.60920077692782</v>
      </c>
      <c r="J22" s="339"/>
      <c r="K22" s="344">
        <v>10</v>
      </c>
      <c r="L22" s="344">
        <v>22</v>
      </c>
      <c r="M22" s="345">
        <v>32.695</v>
      </c>
      <c r="N22" s="345">
        <v>33.1</v>
      </c>
      <c r="O22" s="345">
        <v>2.0670000000000002</v>
      </c>
      <c r="P22" s="345">
        <v>37.6</v>
      </c>
      <c r="Q22" s="345">
        <v>28.7</v>
      </c>
      <c r="R22" s="345">
        <f t="shared" si="2"/>
        <v>33.55874432618581</v>
      </c>
      <c r="S22" s="345">
        <f t="shared" si="3"/>
        <v>31.831255673814187</v>
      </c>
    </row>
    <row r="23" spans="1:19" x14ac:dyDescent="0.3">
      <c r="A23" s="357">
        <v>12</v>
      </c>
      <c r="B23" s="357">
        <v>39</v>
      </c>
      <c r="C23" s="358">
        <v>151.077</v>
      </c>
      <c r="D23" s="358">
        <v>150.1</v>
      </c>
      <c r="E23" s="358">
        <v>7.4390000000000001</v>
      </c>
      <c r="F23" s="358">
        <v>168.8</v>
      </c>
      <c r="G23" s="358">
        <v>134.4</v>
      </c>
      <c r="H23" s="358">
        <f t="shared" si="4"/>
        <v>153.41173893886585</v>
      </c>
      <c r="I23" s="358">
        <f t="shared" si="5"/>
        <v>148.74226106113414</v>
      </c>
      <c r="J23" s="339"/>
      <c r="K23" s="344">
        <v>11</v>
      </c>
      <c r="L23" s="344">
        <v>20</v>
      </c>
      <c r="M23" s="345">
        <v>33.524999999999999</v>
      </c>
      <c r="N23" s="345">
        <v>33.299999999999997</v>
      </c>
      <c r="O23" s="345">
        <v>1.9079999999999999</v>
      </c>
      <c r="P23" s="345">
        <v>36.200000000000003</v>
      </c>
      <c r="Q23" s="345">
        <v>29</v>
      </c>
      <c r="R23" s="345">
        <f t="shared" si="2"/>
        <v>34.361217869409643</v>
      </c>
      <c r="S23" s="345">
        <f t="shared" si="3"/>
        <v>32.688782130590354</v>
      </c>
    </row>
    <row r="24" spans="1:19" x14ac:dyDescent="0.3">
      <c r="A24" s="357">
        <v>13</v>
      </c>
      <c r="B24" s="357">
        <v>41</v>
      </c>
      <c r="C24" s="358">
        <v>154.49799999999999</v>
      </c>
      <c r="D24" s="358">
        <v>156.1</v>
      </c>
      <c r="E24" s="358">
        <v>6.4089999999999998</v>
      </c>
      <c r="F24" s="358">
        <v>163.69999999999999</v>
      </c>
      <c r="G24" s="358">
        <v>139.4</v>
      </c>
      <c r="H24" s="358">
        <f t="shared" si="4"/>
        <v>156.45979857429037</v>
      </c>
      <c r="I24" s="358">
        <f t="shared" si="5"/>
        <v>152.53620142570961</v>
      </c>
      <c r="J24" s="339"/>
      <c r="K24" s="344">
        <v>12</v>
      </c>
      <c r="L24" s="344">
        <v>38</v>
      </c>
      <c r="M24" s="345">
        <v>34.642000000000003</v>
      </c>
      <c r="N24" s="345">
        <v>35</v>
      </c>
      <c r="O24" s="345">
        <v>2.3969999999999998</v>
      </c>
      <c r="P24" s="345">
        <v>39.6</v>
      </c>
      <c r="Q24" s="345">
        <v>30.5</v>
      </c>
      <c r="R24" s="345">
        <f t="shared" si="2"/>
        <v>35.404135703042861</v>
      </c>
      <c r="S24" s="345">
        <f t="shared" si="3"/>
        <v>33.879864296957145</v>
      </c>
    </row>
    <row r="25" spans="1:19" x14ac:dyDescent="0.3">
      <c r="A25" s="357">
        <v>14</v>
      </c>
      <c r="B25" s="357">
        <v>45</v>
      </c>
      <c r="C25" s="358">
        <v>157.63300000000001</v>
      </c>
      <c r="D25" s="358">
        <v>157.19999999999999</v>
      </c>
      <c r="E25" s="358">
        <v>5.34</v>
      </c>
      <c r="F25" s="358">
        <v>172.1</v>
      </c>
      <c r="G25" s="358">
        <v>147.4</v>
      </c>
      <c r="H25" s="358">
        <f t="shared" si="4"/>
        <v>159.19323879198026</v>
      </c>
      <c r="I25" s="358">
        <f t="shared" si="5"/>
        <v>156.07276120801976</v>
      </c>
      <c r="J25" s="339"/>
      <c r="K25" s="344">
        <v>13</v>
      </c>
      <c r="L25" s="344">
        <v>41</v>
      </c>
      <c r="M25" s="345">
        <v>35.093000000000004</v>
      </c>
      <c r="N25" s="345">
        <v>35.1</v>
      </c>
      <c r="O25" s="345">
        <v>2.0649999999999999</v>
      </c>
      <c r="P25" s="345">
        <v>39.799999999999997</v>
      </c>
      <c r="Q25" s="345">
        <v>30.4</v>
      </c>
      <c r="R25" s="345">
        <f t="shared" si="2"/>
        <v>35.725097683867951</v>
      </c>
      <c r="S25" s="345">
        <f t="shared" si="3"/>
        <v>34.460902316132056</v>
      </c>
    </row>
    <row r="26" spans="1:19" x14ac:dyDescent="0.3">
      <c r="A26" s="357">
        <v>15</v>
      </c>
      <c r="B26" s="357">
        <v>12</v>
      </c>
      <c r="C26" s="358">
        <v>158.917</v>
      </c>
      <c r="D26" s="358">
        <v>158.75</v>
      </c>
      <c r="E26" s="358">
        <v>6.1749999999999998</v>
      </c>
      <c r="F26" s="358">
        <v>169.4</v>
      </c>
      <c r="G26" s="358">
        <v>150.4</v>
      </c>
      <c r="H26" s="358">
        <f t="shared" si="4"/>
        <v>162.41083515400103</v>
      </c>
      <c r="I26" s="358">
        <f t="shared" si="5"/>
        <v>155.42316484599897</v>
      </c>
      <c r="J26" s="339"/>
      <c r="K26" s="344">
        <v>14</v>
      </c>
      <c r="L26" s="344">
        <v>45</v>
      </c>
      <c r="M26" s="345">
        <v>35.707000000000001</v>
      </c>
      <c r="N26" s="345">
        <v>36</v>
      </c>
      <c r="O26" s="345">
        <v>2.1320000000000001</v>
      </c>
      <c r="P26" s="345">
        <v>41.1</v>
      </c>
      <c r="Q26" s="345">
        <v>31.1</v>
      </c>
      <c r="R26" s="345">
        <f t="shared" si="2"/>
        <v>36.329926798595864</v>
      </c>
      <c r="S26" s="345">
        <f t="shared" si="3"/>
        <v>35.084073201404138</v>
      </c>
    </row>
    <row r="27" spans="1:19" x14ac:dyDescent="0.3">
      <c r="A27" s="357">
        <v>16</v>
      </c>
      <c r="B27" s="357">
        <v>13</v>
      </c>
      <c r="C27" s="358">
        <v>157.09200000000001</v>
      </c>
      <c r="D27" s="358">
        <v>157</v>
      </c>
      <c r="E27" s="358">
        <v>5.7309999999999999</v>
      </c>
      <c r="F27" s="358">
        <v>168.2</v>
      </c>
      <c r="G27" s="358">
        <v>145.30000000000001</v>
      </c>
      <c r="H27" s="358">
        <f t="shared" si="4"/>
        <v>160.20740708807546</v>
      </c>
      <c r="I27" s="358">
        <f t="shared" si="5"/>
        <v>153.97659291192457</v>
      </c>
      <c r="J27" s="339"/>
      <c r="K27" s="344">
        <v>15</v>
      </c>
      <c r="L27" s="344">
        <v>12</v>
      </c>
      <c r="M27" s="345">
        <v>35.607999999999997</v>
      </c>
      <c r="N27" s="345">
        <v>35.700000000000003</v>
      </c>
      <c r="O27" s="345">
        <v>1.5629999999999999</v>
      </c>
      <c r="P27" s="345">
        <v>37.799999999999997</v>
      </c>
      <c r="Q27" s="345">
        <v>33.4</v>
      </c>
      <c r="R27" s="345">
        <f t="shared" si="2"/>
        <v>36.492350501328517</v>
      </c>
      <c r="S27" s="345">
        <f t="shared" si="3"/>
        <v>34.723649498671477</v>
      </c>
    </row>
    <row r="28" spans="1:19" x14ac:dyDescent="0.3">
      <c r="A28" s="357">
        <v>17</v>
      </c>
      <c r="B28" s="357">
        <v>4</v>
      </c>
      <c r="C28" s="358">
        <v>159.92500000000001</v>
      </c>
      <c r="D28" s="358">
        <v>159.15</v>
      </c>
      <c r="E28" s="358">
        <v>4.17</v>
      </c>
      <c r="F28" s="358">
        <v>165.1</v>
      </c>
      <c r="G28" s="358">
        <v>156.30000000000001</v>
      </c>
      <c r="H28" s="358">
        <f t="shared" si="4"/>
        <v>164.01160000000002</v>
      </c>
      <c r="I28" s="358">
        <f t="shared" si="5"/>
        <v>155.83840000000001</v>
      </c>
      <c r="J28" s="339"/>
      <c r="K28" s="344">
        <v>16</v>
      </c>
      <c r="L28" s="344">
        <v>12</v>
      </c>
      <c r="M28" s="345">
        <v>34.433</v>
      </c>
      <c r="N28" s="345">
        <v>34.1</v>
      </c>
      <c r="O28" s="345">
        <v>2.1709999999999998</v>
      </c>
      <c r="P28" s="345">
        <v>38.700000000000003</v>
      </c>
      <c r="Q28" s="345">
        <v>30.3</v>
      </c>
      <c r="R28" s="345">
        <f t="shared" si="2"/>
        <v>35.661358885722464</v>
      </c>
      <c r="S28" s="345">
        <f t="shared" si="3"/>
        <v>33.204641114277536</v>
      </c>
    </row>
    <row r="29" spans="1:19" x14ac:dyDescent="0.3">
      <c r="A29" s="361">
        <v>18</v>
      </c>
      <c r="B29" s="361">
        <v>2</v>
      </c>
      <c r="C29" s="362">
        <v>158.94999999999999</v>
      </c>
      <c r="D29" s="362">
        <v>158.94999999999999</v>
      </c>
      <c r="E29" s="362">
        <v>9.9700000000000006</v>
      </c>
      <c r="F29" s="362">
        <v>166</v>
      </c>
      <c r="G29" s="362">
        <v>151.9</v>
      </c>
      <c r="H29" s="362">
        <f t="shared" si="4"/>
        <v>172.76771503252255</v>
      </c>
      <c r="I29" s="362">
        <f t="shared" si="5"/>
        <v>145.13228496747743</v>
      </c>
      <c r="J29" s="339"/>
      <c r="K29" s="344">
        <v>17</v>
      </c>
      <c r="L29" s="344">
        <v>4</v>
      </c>
      <c r="M29" s="345">
        <v>34.799999999999997</v>
      </c>
      <c r="N29" s="345">
        <v>35.049999999999997</v>
      </c>
      <c r="O29" s="345">
        <v>1.5249999999999999</v>
      </c>
      <c r="P29" s="345">
        <v>36.299999999999997</v>
      </c>
      <c r="Q29" s="345">
        <v>32.799999999999997</v>
      </c>
      <c r="R29" s="345">
        <f t="shared" si="2"/>
        <v>36.294499999999999</v>
      </c>
      <c r="S29" s="345">
        <f t="shared" si="3"/>
        <v>33.305499999999995</v>
      </c>
    </row>
    <row r="30" spans="1:19" x14ac:dyDescent="0.3">
      <c r="A30" s="344"/>
      <c r="B30" s="344"/>
      <c r="C30" s="345"/>
      <c r="D30" s="345"/>
      <c r="E30" s="345"/>
      <c r="F30" s="345"/>
      <c r="G30" s="345"/>
      <c r="H30" s="345"/>
      <c r="I30" s="345"/>
      <c r="J30" s="339"/>
      <c r="K30" s="349">
        <v>18</v>
      </c>
      <c r="L30" s="349">
        <v>2</v>
      </c>
      <c r="M30" s="350">
        <v>34.200000000000003</v>
      </c>
      <c r="N30" s="350">
        <v>34.200000000000003</v>
      </c>
      <c r="O30" s="350">
        <v>4.8079999999999998</v>
      </c>
      <c r="P30" s="350">
        <v>37.6</v>
      </c>
      <c r="Q30" s="350">
        <v>30.8</v>
      </c>
      <c r="R30" s="350">
        <f t="shared" si="2"/>
        <v>40.863548031732044</v>
      </c>
      <c r="S30" s="350">
        <f t="shared" si="3"/>
        <v>27.536451968267961</v>
      </c>
    </row>
    <row r="31" spans="1:19" x14ac:dyDescent="0.3">
      <c r="A31" s="346" t="s">
        <v>659</v>
      </c>
      <c r="B31" s="344"/>
      <c r="C31" s="345"/>
      <c r="D31" s="345"/>
      <c r="E31" s="345"/>
      <c r="F31" s="345"/>
      <c r="G31" s="345"/>
      <c r="H31" s="345"/>
      <c r="I31" s="345"/>
      <c r="J31" s="339"/>
      <c r="K31" s="344"/>
      <c r="L31" s="344"/>
      <c r="M31" s="345"/>
      <c r="N31" s="345"/>
      <c r="O31" s="345"/>
      <c r="P31" s="345"/>
      <c r="Q31" s="345"/>
      <c r="R31" s="345"/>
      <c r="S31" s="345"/>
    </row>
    <row r="32" spans="1:19" x14ac:dyDescent="0.3">
      <c r="A32" s="347" t="s">
        <v>514</v>
      </c>
      <c r="B32" s="347" t="s">
        <v>649</v>
      </c>
      <c r="C32" s="348" t="s">
        <v>650</v>
      </c>
      <c r="D32" s="348" t="s">
        <v>651</v>
      </c>
      <c r="E32" s="348" t="s">
        <v>652</v>
      </c>
      <c r="F32" s="348" t="s">
        <v>653</v>
      </c>
      <c r="G32" s="348" t="s">
        <v>654</v>
      </c>
      <c r="H32" s="348" t="s">
        <v>655</v>
      </c>
      <c r="I32" s="348" t="s">
        <v>656</v>
      </c>
      <c r="J32" s="339"/>
      <c r="K32" s="346" t="s">
        <v>669</v>
      </c>
      <c r="L32" s="344"/>
      <c r="M32" s="345"/>
      <c r="N32" s="345"/>
      <c r="O32" s="345"/>
      <c r="P32" s="345"/>
      <c r="Q32" s="345"/>
      <c r="R32" s="345"/>
      <c r="S32" s="345"/>
    </row>
    <row r="33" spans="1:19" x14ac:dyDescent="0.3">
      <c r="A33" s="344">
        <v>7</v>
      </c>
      <c r="B33" s="344">
        <v>1</v>
      </c>
      <c r="C33" s="345">
        <v>67.400000000000006</v>
      </c>
      <c r="D33" s="345">
        <v>67.400000000000006</v>
      </c>
      <c r="E33" s="345" t="s">
        <v>657</v>
      </c>
      <c r="F33" s="345">
        <v>67.400000000000006</v>
      </c>
      <c r="G33" s="345">
        <v>67.400000000000006</v>
      </c>
      <c r="H33" s="345"/>
      <c r="I33" s="345"/>
      <c r="J33" s="339"/>
      <c r="K33" s="347" t="s">
        <v>514</v>
      </c>
      <c r="L33" s="347" t="s">
        <v>649</v>
      </c>
      <c r="M33" s="348" t="s">
        <v>650</v>
      </c>
      <c r="N33" s="348" t="s">
        <v>651</v>
      </c>
      <c r="O33" s="348" t="s">
        <v>652</v>
      </c>
      <c r="P33" s="348" t="s">
        <v>653</v>
      </c>
      <c r="Q33" s="348" t="s">
        <v>654</v>
      </c>
      <c r="R33" s="348" t="s">
        <v>655</v>
      </c>
      <c r="S33" s="348" t="s">
        <v>656</v>
      </c>
    </row>
    <row r="34" spans="1:19" x14ac:dyDescent="0.3">
      <c r="A34" s="344">
        <v>8</v>
      </c>
      <c r="B34" s="344">
        <v>10</v>
      </c>
      <c r="C34" s="345">
        <v>69.209999999999994</v>
      </c>
      <c r="D34" s="345">
        <v>69.5</v>
      </c>
      <c r="E34" s="345">
        <v>3.5670000000000002</v>
      </c>
      <c r="F34" s="345">
        <v>74.3</v>
      </c>
      <c r="G34" s="345">
        <v>64</v>
      </c>
      <c r="H34" s="345">
        <f t="shared" ref="H34:H91" si="6">C34+(1.96*E34)/(B34)^0.5</f>
        <v>71.420849505108833</v>
      </c>
      <c r="I34" s="345">
        <f t="shared" ref="I34:I91" si="7">C34-(1.96*E34)/(B34)^0.5</f>
        <v>66.999150494891154</v>
      </c>
      <c r="J34" s="339"/>
      <c r="K34" s="344">
        <v>7</v>
      </c>
      <c r="L34" s="344">
        <v>1</v>
      </c>
      <c r="M34" s="345">
        <v>18.8</v>
      </c>
      <c r="N34" s="345">
        <v>18.8</v>
      </c>
      <c r="O34" s="345" t="s">
        <v>657</v>
      </c>
      <c r="P34" s="345">
        <v>18.8</v>
      </c>
      <c r="Q34" s="345">
        <v>18.8</v>
      </c>
      <c r="R34" s="345"/>
      <c r="S34" s="345"/>
    </row>
    <row r="35" spans="1:19" x14ac:dyDescent="0.3">
      <c r="A35" s="344">
        <v>9</v>
      </c>
      <c r="B35" s="344">
        <v>17</v>
      </c>
      <c r="C35" s="345">
        <v>72.052999999999997</v>
      </c>
      <c r="D35" s="345">
        <v>71.7</v>
      </c>
      <c r="E35" s="345">
        <v>2.8650000000000002</v>
      </c>
      <c r="F35" s="345">
        <v>76.599999999999994</v>
      </c>
      <c r="G35" s="345">
        <v>65.599999999999994</v>
      </c>
      <c r="H35" s="345">
        <f t="shared" si="6"/>
        <v>73.414934548829024</v>
      </c>
      <c r="I35" s="345">
        <f t="shared" si="7"/>
        <v>70.691065451170971</v>
      </c>
      <c r="J35" s="339"/>
      <c r="K35" s="344">
        <v>8</v>
      </c>
      <c r="L35" s="344">
        <v>10</v>
      </c>
      <c r="M35" s="345">
        <v>19.71</v>
      </c>
      <c r="N35" s="345">
        <v>19.75</v>
      </c>
      <c r="O35" s="345">
        <v>1.0620000000000001</v>
      </c>
      <c r="P35" s="345">
        <v>21.2</v>
      </c>
      <c r="Q35" s="345">
        <v>17.7</v>
      </c>
      <c r="R35" s="345">
        <f t="shared" ref="R35:R45" si="8">M35+(1.96*O35)/(L35)^0.5</f>
        <v>20.368234419519368</v>
      </c>
      <c r="S35" s="345">
        <f t="shared" ref="S35:S45" si="9">M35-(1.96*O35)/(L35)^0.5</f>
        <v>19.051765580480634</v>
      </c>
    </row>
    <row r="36" spans="1:19" x14ac:dyDescent="0.3">
      <c r="A36" s="344">
        <v>10</v>
      </c>
      <c r="B36" s="344">
        <v>22</v>
      </c>
      <c r="C36" s="345">
        <v>74.540999999999997</v>
      </c>
      <c r="D36" s="345">
        <v>74.650000000000006</v>
      </c>
      <c r="E36" s="345">
        <v>3.4319999999999999</v>
      </c>
      <c r="F36" s="345">
        <v>80.3</v>
      </c>
      <c r="G36" s="345">
        <v>68</v>
      </c>
      <c r="H36" s="345">
        <f t="shared" si="6"/>
        <v>75.975141522723604</v>
      </c>
      <c r="I36" s="345">
        <f t="shared" si="7"/>
        <v>73.10685847727639</v>
      </c>
      <c r="J36" s="339"/>
      <c r="K36" s="344">
        <v>9</v>
      </c>
      <c r="L36" s="344">
        <v>17</v>
      </c>
      <c r="M36" s="345">
        <v>21.218</v>
      </c>
      <c r="N36" s="345">
        <v>21.3</v>
      </c>
      <c r="O36" s="345">
        <v>1.325</v>
      </c>
      <c r="P36" s="345">
        <v>23.2</v>
      </c>
      <c r="Q36" s="345">
        <v>19.2</v>
      </c>
      <c r="R36" s="345">
        <f t="shared" si="8"/>
        <v>21.847865018219355</v>
      </c>
      <c r="S36" s="345">
        <f t="shared" si="9"/>
        <v>20.588134981780644</v>
      </c>
    </row>
    <row r="37" spans="1:19" x14ac:dyDescent="0.3">
      <c r="A37" s="344">
        <v>11</v>
      </c>
      <c r="B37" s="344">
        <v>21</v>
      </c>
      <c r="C37" s="345">
        <v>78.394999999999996</v>
      </c>
      <c r="D37" s="345">
        <v>79.400000000000006</v>
      </c>
      <c r="E37" s="345">
        <v>5.2009999999999996</v>
      </c>
      <c r="F37" s="345">
        <v>85.9</v>
      </c>
      <c r="G37" s="345">
        <v>68</v>
      </c>
      <c r="H37" s="345">
        <f t="shared" si="6"/>
        <v>80.619504444350099</v>
      </c>
      <c r="I37" s="345">
        <f t="shared" si="7"/>
        <v>76.170495555649893</v>
      </c>
      <c r="J37" s="339"/>
      <c r="K37" s="344">
        <v>10</v>
      </c>
      <c r="L37" s="344">
        <v>22</v>
      </c>
      <c r="M37" s="345">
        <v>21.85</v>
      </c>
      <c r="N37" s="345">
        <v>21.75</v>
      </c>
      <c r="O37" s="345">
        <v>1.409</v>
      </c>
      <c r="P37" s="345">
        <v>25.3</v>
      </c>
      <c r="Q37" s="345">
        <v>19.7</v>
      </c>
      <c r="R37" s="345">
        <f t="shared" si="8"/>
        <v>22.438783626316308</v>
      </c>
      <c r="S37" s="345">
        <f t="shared" si="9"/>
        <v>21.261216373683695</v>
      </c>
    </row>
    <row r="38" spans="1:19" x14ac:dyDescent="0.3">
      <c r="A38" s="344">
        <v>12</v>
      </c>
      <c r="B38" s="344">
        <v>39</v>
      </c>
      <c r="C38" s="345">
        <v>79.855999999999995</v>
      </c>
      <c r="D38" s="345">
        <v>79.3</v>
      </c>
      <c r="E38" s="345">
        <v>4.3129999999999997</v>
      </c>
      <c r="F38" s="345">
        <v>89.1</v>
      </c>
      <c r="G38" s="345">
        <v>71.900000000000006</v>
      </c>
      <c r="H38" s="345">
        <f t="shared" si="6"/>
        <v>81.209640145628228</v>
      </c>
      <c r="I38" s="345">
        <f t="shared" si="7"/>
        <v>78.502359854371761</v>
      </c>
      <c r="J38" s="339"/>
      <c r="K38" s="344">
        <v>11</v>
      </c>
      <c r="L38" s="344">
        <v>20</v>
      </c>
      <c r="M38" s="345">
        <v>22.76</v>
      </c>
      <c r="N38" s="345">
        <v>22.95</v>
      </c>
      <c r="O38" s="345">
        <v>1.397</v>
      </c>
      <c r="P38" s="345">
        <v>25.2</v>
      </c>
      <c r="Q38" s="345">
        <v>19.7</v>
      </c>
      <c r="R38" s="345">
        <f t="shared" si="8"/>
        <v>23.372262245055175</v>
      </c>
      <c r="S38" s="345">
        <f t="shared" si="9"/>
        <v>22.147737754944828</v>
      </c>
    </row>
    <row r="39" spans="1:19" x14ac:dyDescent="0.3">
      <c r="A39" s="344">
        <v>13</v>
      </c>
      <c r="B39" s="344">
        <v>41</v>
      </c>
      <c r="C39" s="345">
        <v>81.823999999999998</v>
      </c>
      <c r="D39" s="345">
        <v>81.3</v>
      </c>
      <c r="E39" s="345">
        <v>3.976</v>
      </c>
      <c r="F39" s="345">
        <v>88.4</v>
      </c>
      <c r="G39" s="345">
        <v>74.8</v>
      </c>
      <c r="H39" s="345">
        <f t="shared" si="6"/>
        <v>83.041055879447427</v>
      </c>
      <c r="I39" s="345">
        <f t="shared" si="7"/>
        <v>80.606944120552569</v>
      </c>
      <c r="J39" s="339"/>
      <c r="K39" s="344">
        <v>12</v>
      </c>
      <c r="L39" s="344">
        <v>39</v>
      </c>
      <c r="M39" s="345">
        <v>23.015000000000001</v>
      </c>
      <c r="N39" s="345">
        <v>23.1</v>
      </c>
      <c r="O39" s="345">
        <v>1.234</v>
      </c>
      <c r="P39" s="345">
        <v>25.3</v>
      </c>
      <c r="Q39" s="345">
        <v>19.7</v>
      </c>
      <c r="R39" s="345">
        <f t="shared" si="8"/>
        <v>23.402292357919137</v>
      </c>
      <c r="S39" s="345">
        <f t="shared" si="9"/>
        <v>22.627707642080864</v>
      </c>
    </row>
    <row r="40" spans="1:19" x14ac:dyDescent="0.3">
      <c r="A40" s="344">
        <v>14</v>
      </c>
      <c r="B40" s="344">
        <v>45</v>
      </c>
      <c r="C40" s="345">
        <v>84.149000000000001</v>
      </c>
      <c r="D40" s="345">
        <v>83.9</v>
      </c>
      <c r="E40" s="345">
        <v>2.87</v>
      </c>
      <c r="F40" s="345">
        <v>90.3</v>
      </c>
      <c r="G40" s="345">
        <v>78.2</v>
      </c>
      <c r="H40" s="345">
        <f t="shared" si="6"/>
        <v>84.987555305802118</v>
      </c>
      <c r="I40" s="345">
        <f t="shared" si="7"/>
        <v>83.310444694197884</v>
      </c>
      <c r="J40" s="339"/>
      <c r="K40" s="344">
        <v>13</v>
      </c>
      <c r="L40" s="344">
        <v>40</v>
      </c>
      <c r="M40" s="345">
        <v>23.234999999999999</v>
      </c>
      <c r="N40" s="345">
        <v>23.2</v>
      </c>
      <c r="O40" s="345">
        <v>1.266</v>
      </c>
      <c r="P40" s="345">
        <v>26.2</v>
      </c>
      <c r="Q40" s="345">
        <v>20.3</v>
      </c>
      <c r="R40" s="345">
        <f t="shared" si="8"/>
        <v>23.627337464741771</v>
      </c>
      <c r="S40" s="345">
        <f t="shared" si="9"/>
        <v>22.842662535258228</v>
      </c>
    </row>
    <row r="41" spans="1:19" x14ac:dyDescent="0.3">
      <c r="A41" s="344">
        <v>15</v>
      </c>
      <c r="B41" s="344">
        <v>12</v>
      </c>
      <c r="C41" s="345">
        <v>85.15</v>
      </c>
      <c r="D41" s="345">
        <v>84.95</v>
      </c>
      <c r="E41" s="345">
        <v>3.153</v>
      </c>
      <c r="F41" s="345">
        <v>90.3</v>
      </c>
      <c r="G41" s="345">
        <v>81</v>
      </c>
      <c r="H41" s="345">
        <f t="shared" si="6"/>
        <v>86.933977690779798</v>
      </c>
      <c r="I41" s="345">
        <f t="shared" si="7"/>
        <v>83.366022309220213</v>
      </c>
      <c r="J41" s="339"/>
      <c r="K41" s="344">
        <v>14</v>
      </c>
      <c r="L41" s="344">
        <v>45</v>
      </c>
      <c r="M41" s="345">
        <v>23.318000000000001</v>
      </c>
      <c r="N41" s="345">
        <v>23.4</v>
      </c>
      <c r="O41" s="345">
        <v>0.93600000000000005</v>
      </c>
      <c r="P41" s="345">
        <v>25.1</v>
      </c>
      <c r="Q41" s="345">
        <v>21.3</v>
      </c>
      <c r="R41" s="345">
        <f t="shared" si="8"/>
        <v>23.591480057920137</v>
      </c>
      <c r="S41" s="345">
        <f t="shared" si="9"/>
        <v>23.044519942079866</v>
      </c>
    </row>
    <row r="42" spans="1:19" x14ac:dyDescent="0.3">
      <c r="A42" s="344">
        <v>16</v>
      </c>
      <c r="B42" s="344">
        <v>13</v>
      </c>
      <c r="C42" s="345">
        <v>84.608000000000004</v>
      </c>
      <c r="D42" s="345">
        <v>85</v>
      </c>
      <c r="E42" s="345">
        <v>2.2679999999999998</v>
      </c>
      <c r="F42" s="345">
        <v>88.5</v>
      </c>
      <c r="G42" s="345">
        <v>79.5</v>
      </c>
      <c r="H42" s="345">
        <f t="shared" si="6"/>
        <v>85.840898844138053</v>
      </c>
      <c r="I42" s="345">
        <f t="shared" si="7"/>
        <v>83.375101155861955</v>
      </c>
      <c r="J42" s="339"/>
      <c r="K42" s="344">
        <v>15</v>
      </c>
      <c r="L42" s="344">
        <v>12</v>
      </c>
      <c r="M42" s="345">
        <v>22.85</v>
      </c>
      <c r="N42" s="345">
        <v>23</v>
      </c>
      <c r="O42" s="345">
        <v>0.78200000000000003</v>
      </c>
      <c r="P42" s="345">
        <v>23.9</v>
      </c>
      <c r="Q42" s="345">
        <v>21.8</v>
      </c>
      <c r="R42" s="345">
        <f t="shared" si="8"/>
        <v>23.292458152296163</v>
      </c>
      <c r="S42" s="345">
        <f t="shared" si="9"/>
        <v>22.40754184770384</v>
      </c>
    </row>
    <row r="43" spans="1:19" x14ac:dyDescent="0.3">
      <c r="A43" s="344">
        <v>17</v>
      </c>
      <c r="B43" s="344">
        <v>4</v>
      </c>
      <c r="C43" s="345">
        <v>84.45</v>
      </c>
      <c r="D43" s="345">
        <v>84.65</v>
      </c>
      <c r="E43" s="345">
        <v>1.0469999999999999</v>
      </c>
      <c r="F43" s="345">
        <v>85.5</v>
      </c>
      <c r="G43" s="345">
        <v>83</v>
      </c>
      <c r="H43" s="345">
        <f t="shared" si="6"/>
        <v>85.476060000000004</v>
      </c>
      <c r="I43" s="345">
        <f t="shared" si="7"/>
        <v>83.423940000000002</v>
      </c>
      <c r="J43" s="339"/>
      <c r="K43" s="344">
        <v>16</v>
      </c>
      <c r="L43" s="344">
        <v>12</v>
      </c>
      <c r="M43" s="345">
        <v>22.817</v>
      </c>
      <c r="N43" s="345">
        <v>22.75</v>
      </c>
      <c r="O43" s="345">
        <v>0.75800000000000001</v>
      </c>
      <c r="P43" s="345">
        <v>24.6</v>
      </c>
      <c r="Q43" s="345">
        <v>21.6</v>
      </c>
      <c r="R43" s="345">
        <f t="shared" si="8"/>
        <v>23.245878873964823</v>
      </c>
      <c r="S43" s="345">
        <f t="shared" si="9"/>
        <v>22.388121126035177</v>
      </c>
    </row>
    <row r="44" spans="1:19" x14ac:dyDescent="0.3">
      <c r="A44" s="349">
        <v>18</v>
      </c>
      <c r="B44" s="349">
        <v>2</v>
      </c>
      <c r="C44" s="350">
        <v>88.75</v>
      </c>
      <c r="D44" s="350">
        <v>88.75</v>
      </c>
      <c r="E44" s="350">
        <v>3.8889999999999998</v>
      </c>
      <c r="F44" s="350">
        <v>91.5</v>
      </c>
      <c r="G44" s="350">
        <v>86</v>
      </c>
      <c r="H44" s="350">
        <f t="shared" si="6"/>
        <v>94.139879013187581</v>
      </c>
      <c r="I44" s="350">
        <f t="shared" si="7"/>
        <v>83.360120986812419</v>
      </c>
      <c r="J44" s="339"/>
      <c r="K44" s="344">
        <v>17</v>
      </c>
      <c r="L44" s="344">
        <v>4</v>
      </c>
      <c r="M44" s="345">
        <v>22.7</v>
      </c>
      <c r="N44" s="345">
        <v>22.85</v>
      </c>
      <c r="O44" s="345">
        <v>0.88300000000000001</v>
      </c>
      <c r="P44" s="345">
        <v>23.6</v>
      </c>
      <c r="Q44" s="345">
        <v>21.5</v>
      </c>
      <c r="R44" s="345">
        <f t="shared" si="8"/>
        <v>23.565339999999999</v>
      </c>
      <c r="S44" s="345">
        <f t="shared" si="9"/>
        <v>21.83466</v>
      </c>
    </row>
    <row r="45" spans="1:19" x14ac:dyDescent="0.3">
      <c r="A45" s="344"/>
      <c r="B45" s="344"/>
      <c r="C45" s="345"/>
      <c r="D45" s="345"/>
      <c r="E45" s="345"/>
      <c r="F45" s="345"/>
      <c r="G45" s="345"/>
      <c r="H45" s="345"/>
      <c r="I45" s="345"/>
      <c r="J45" s="339"/>
      <c r="K45" s="349">
        <v>18</v>
      </c>
      <c r="L45" s="349">
        <v>2</v>
      </c>
      <c r="M45" s="350">
        <v>21.9</v>
      </c>
      <c r="N45" s="350">
        <v>21.9</v>
      </c>
      <c r="O45" s="350">
        <v>1.4139999999999999</v>
      </c>
      <c r="P45" s="350">
        <v>22.9</v>
      </c>
      <c r="Q45" s="350">
        <v>20.9</v>
      </c>
      <c r="R45" s="350">
        <f t="shared" si="8"/>
        <v>23.859704017651644</v>
      </c>
      <c r="S45" s="350">
        <f t="shared" si="9"/>
        <v>19.940295982348353</v>
      </c>
    </row>
    <row r="46" spans="1:19" x14ac:dyDescent="0.3">
      <c r="A46" s="346" t="s">
        <v>660</v>
      </c>
      <c r="B46" s="344"/>
      <c r="C46" s="345"/>
      <c r="D46" s="345"/>
      <c r="E46" s="345"/>
      <c r="F46" s="345"/>
      <c r="G46" s="345"/>
      <c r="H46" s="345"/>
      <c r="I46" s="345"/>
      <c r="J46" s="339"/>
      <c r="K46" s="344"/>
      <c r="L46" s="344"/>
      <c r="M46" s="345"/>
      <c r="N46" s="345"/>
      <c r="O46" s="345"/>
      <c r="P46" s="345"/>
      <c r="Q46" s="345"/>
      <c r="R46" s="345"/>
      <c r="S46" s="345"/>
    </row>
    <row r="47" spans="1:19" x14ac:dyDescent="0.3">
      <c r="A47" s="347" t="s">
        <v>514</v>
      </c>
      <c r="B47" s="347" t="s">
        <v>649</v>
      </c>
      <c r="C47" s="348" t="s">
        <v>650</v>
      </c>
      <c r="D47" s="348" t="s">
        <v>651</v>
      </c>
      <c r="E47" s="348" t="s">
        <v>652</v>
      </c>
      <c r="F47" s="348" t="s">
        <v>653</v>
      </c>
      <c r="G47" s="348" t="s">
        <v>654</v>
      </c>
      <c r="H47" s="348" t="s">
        <v>655</v>
      </c>
      <c r="I47" s="348" t="s">
        <v>656</v>
      </c>
      <c r="J47" s="339"/>
      <c r="K47" s="344"/>
      <c r="L47" s="344"/>
      <c r="M47" s="345"/>
      <c r="N47" s="345"/>
      <c r="O47" s="345"/>
      <c r="P47" s="345"/>
      <c r="Q47" s="345"/>
      <c r="R47" s="345"/>
      <c r="S47" s="345"/>
    </row>
    <row r="48" spans="1:19" x14ac:dyDescent="0.3">
      <c r="A48" s="344">
        <v>7</v>
      </c>
      <c r="B48" s="344">
        <v>1</v>
      </c>
      <c r="C48" s="345">
        <v>118.7</v>
      </c>
      <c r="D48" s="345">
        <v>118.7</v>
      </c>
      <c r="E48" s="345" t="s">
        <v>657</v>
      </c>
      <c r="F48" s="345">
        <v>118.7</v>
      </c>
      <c r="G48" s="345">
        <v>118.7</v>
      </c>
      <c r="H48" s="345"/>
      <c r="I48" s="345"/>
      <c r="J48" s="339"/>
      <c r="K48" s="346" t="s">
        <v>670</v>
      </c>
      <c r="L48" s="344"/>
      <c r="M48" s="345"/>
      <c r="N48" s="345"/>
      <c r="O48" s="345"/>
      <c r="P48" s="345"/>
      <c r="Q48" s="345"/>
      <c r="R48" s="345"/>
      <c r="S48" s="345"/>
    </row>
    <row r="49" spans="1:19" x14ac:dyDescent="0.3">
      <c r="A49" s="344">
        <v>8</v>
      </c>
      <c r="B49" s="344">
        <v>10</v>
      </c>
      <c r="C49" s="345">
        <v>128.22999999999999</v>
      </c>
      <c r="D49" s="345">
        <v>128.69999999999999</v>
      </c>
      <c r="E49" s="345">
        <v>6.3970000000000002</v>
      </c>
      <c r="F49" s="345">
        <v>137</v>
      </c>
      <c r="G49" s="345">
        <v>115.1</v>
      </c>
      <c r="H49" s="345">
        <f t="shared" si="6"/>
        <v>132.19490167765102</v>
      </c>
      <c r="I49" s="345">
        <f t="shared" si="7"/>
        <v>124.26509832234895</v>
      </c>
      <c r="J49" s="339"/>
      <c r="K49" s="347" t="s">
        <v>514</v>
      </c>
      <c r="L49" s="347" t="s">
        <v>649</v>
      </c>
      <c r="M49" s="348" t="s">
        <v>650</v>
      </c>
      <c r="N49" s="348" t="s">
        <v>651</v>
      </c>
      <c r="O49" s="348" t="s">
        <v>652</v>
      </c>
      <c r="P49" s="348" t="s">
        <v>653</v>
      </c>
      <c r="Q49" s="348" t="s">
        <v>654</v>
      </c>
      <c r="R49" s="348" t="s">
        <v>655</v>
      </c>
      <c r="S49" s="348" t="s">
        <v>656</v>
      </c>
    </row>
    <row r="50" spans="1:19" x14ac:dyDescent="0.3">
      <c r="A50" s="344">
        <v>9</v>
      </c>
      <c r="B50" s="344">
        <v>17</v>
      </c>
      <c r="C50" s="345">
        <v>137.624</v>
      </c>
      <c r="D50" s="345">
        <v>135.4</v>
      </c>
      <c r="E50" s="345">
        <v>7.2240000000000002</v>
      </c>
      <c r="F50" s="345">
        <v>148.4</v>
      </c>
      <c r="G50" s="345">
        <v>127.8</v>
      </c>
      <c r="H50" s="345">
        <f t="shared" si="6"/>
        <v>141.05807161631444</v>
      </c>
      <c r="I50" s="345">
        <f t="shared" si="7"/>
        <v>134.18992838368555</v>
      </c>
      <c r="J50" s="339"/>
      <c r="K50" s="344">
        <v>7</v>
      </c>
      <c r="L50" s="344">
        <v>1</v>
      </c>
      <c r="M50" s="345">
        <v>27.3</v>
      </c>
      <c r="N50" s="345">
        <v>27.3</v>
      </c>
      <c r="O50" s="345" t="s">
        <v>657</v>
      </c>
      <c r="P50" s="345">
        <v>27.3</v>
      </c>
      <c r="Q50" s="345">
        <v>27.3</v>
      </c>
      <c r="R50" s="345"/>
      <c r="S50" s="345"/>
    </row>
    <row r="51" spans="1:19" x14ac:dyDescent="0.3">
      <c r="A51" s="344">
        <v>10</v>
      </c>
      <c r="B51" s="344">
        <v>22</v>
      </c>
      <c r="C51" s="345">
        <v>143.87299999999999</v>
      </c>
      <c r="D51" s="345">
        <v>143.19999999999999</v>
      </c>
      <c r="E51" s="345">
        <v>7.8879999999999999</v>
      </c>
      <c r="F51" s="345">
        <v>159.19999999999999</v>
      </c>
      <c r="G51" s="345">
        <v>131.4</v>
      </c>
      <c r="H51" s="345">
        <f t="shared" si="6"/>
        <v>147.16918541120157</v>
      </c>
      <c r="I51" s="345">
        <f t="shared" si="7"/>
        <v>140.57681458879841</v>
      </c>
      <c r="J51" s="339"/>
      <c r="K51" s="344">
        <v>8</v>
      </c>
      <c r="L51" s="344">
        <v>10</v>
      </c>
      <c r="M51" s="345">
        <v>27.98</v>
      </c>
      <c r="N51" s="345">
        <v>27.8</v>
      </c>
      <c r="O51" s="345">
        <v>1.679</v>
      </c>
      <c r="P51" s="345">
        <v>30.4</v>
      </c>
      <c r="Q51" s="345">
        <v>24.6</v>
      </c>
      <c r="R51" s="345">
        <f t="shared" ref="R51:R109" si="10">M51+(1.96*O51)/(L51)^0.5</f>
        <v>29.020654981518852</v>
      </c>
      <c r="S51" s="345">
        <f t="shared" ref="S51:S109" si="11">M51-(1.96*O51)/(L51)^0.5</f>
        <v>26.939345018481148</v>
      </c>
    </row>
    <row r="52" spans="1:19" x14ac:dyDescent="0.3">
      <c r="A52" s="344">
        <v>11</v>
      </c>
      <c r="B52" s="344">
        <v>21</v>
      </c>
      <c r="C52" s="345">
        <v>149.22900000000001</v>
      </c>
      <c r="D52" s="345">
        <v>152.5</v>
      </c>
      <c r="E52" s="345">
        <v>8.2430000000000003</v>
      </c>
      <c r="F52" s="345">
        <v>160</v>
      </c>
      <c r="G52" s="345">
        <v>129.69999999999999</v>
      </c>
      <c r="H52" s="345">
        <f t="shared" si="6"/>
        <v>152.75458933566196</v>
      </c>
      <c r="I52" s="345">
        <f t="shared" si="7"/>
        <v>145.70341066433807</v>
      </c>
      <c r="J52" s="339"/>
      <c r="K52" s="344">
        <v>9</v>
      </c>
      <c r="L52" s="344">
        <v>17</v>
      </c>
      <c r="M52" s="345">
        <v>29.405999999999999</v>
      </c>
      <c r="N52" s="345">
        <v>29.3</v>
      </c>
      <c r="O52" s="345">
        <v>1.41</v>
      </c>
      <c r="P52" s="345">
        <v>31.3</v>
      </c>
      <c r="Q52" s="345">
        <v>26.1</v>
      </c>
      <c r="R52" s="345">
        <f t="shared" si="10"/>
        <v>30.076271453350408</v>
      </c>
      <c r="S52" s="345">
        <f t="shared" si="11"/>
        <v>28.73572854664959</v>
      </c>
    </row>
    <row r="53" spans="1:19" x14ac:dyDescent="0.3">
      <c r="A53" s="344">
        <v>12</v>
      </c>
      <c r="B53" s="344">
        <v>39</v>
      </c>
      <c r="C53" s="345">
        <v>153.49199999999999</v>
      </c>
      <c r="D53" s="345">
        <v>154.19999999999999</v>
      </c>
      <c r="E53" s="345">
        <v>7.8540000000000001</v>
      </c>
      <c r="F53" s="345">
        <v>170</v>
      </c>
      <c r="G53" s="345">
        <v>138</v>
      </c>
      <c r="H53" s="345">
        <f t="shared" si="6"/>
        <v>155.95698717917088</v>
      </c>
      <c r="I53" s="345">
        <f t="shared" si="7"/>
        <v>151.0270128208291</v>
      </c>
      <c r="J53" s="339"/>
      <c r="K53" s="344">
        <v>10</v>
      </c>
      <c r="L53" s="344">
        <v>22</v>
      </c>
      <c r="M53" s="345">
        <v>30.968</v>
      </c>
      <c r="N53" s="345">
        <v>30.9</v>
      </c>
      <c r="O53" s="345">
        <v>2.2109999999999999</v>
      </c>
      <c r="P53" s="345">
        <v>36.5</v>
      </c>
      <c r="Q53" s="345">
        <v>26.8</v>
      </c>
      <c r="R53" s="345">
        <f t="shared" si="10"/>
        <v>31.89191809637002</v>
      </c>
      <c r="S53" s="345">
        <f t="shared" si="11"/>
        <v>30.04408190362998</v>
      </c>
    </row>
    <row r="54" spans="1:19" x14ac:dyDescent="0.3">
      <c r="A54" s="344">
        <v>13</v>
      </c>
      <c r="B54" s="344">
        <v>40</v>
      </c>
      <c r="C54" s="345">
        <v>156.97999999999999</v>
      </c>
      <c r="D54" s="345">
        <v>158.85</v>
      </c>
      <c r="E54" s="345">
        <v>6.9539999999999997</v>
      </c>
      <c r="F54" s="345">
        <v>174</v>
      </c>
      <c r="G54" s="345">
        <v>140.6</v>
      </c>
      <c r="H54" s="345">
        <f t="shared" si="6"/>
        <v>159.13506692718346</v>
      </c>
      <c r="I54" s="345">
        <f t="shared" si="7"/>
        <v>154.82493307281652</v>
      </c>
      <c r="J54" s="339"/>
      <c r="K54" s="344">
        <v>11</v>
      </c>
      <c r="L54" s="344">
        <v>21</v>
      </c>
      <c r="M54" s="345">
        <v>32.143000000000001</v>
      </c>
      <c r="N54" s="345">
        <v>32.1</v>
      </c>
      <c r="O54" s="345">
        <v>1.9179999999999999</v>
      </c>
      <c r="P54" s="345">
        <v>35.700000000000003</v>
      </c>
      <c r="Q54" s="345">
        <v>28.2</v>
      </c>
      <c r="R54" s="345">
        <f t="shared" si="10"/>
        <v>32.963342150406362</v>
      </c>
      <c r="S54" s="345">
        <f t="shared" si="11"/>
        <v>31.322657849593639</v>
      </c>
    </row>
    <row r="55" spans="1:19" x14ac:dyDescent="0.3">
      <c r="A55" s="344">
        <v>14</v>
      </c>
      <c r="B55" s="344">
        <v>44</v>
      </c>
      <c r="C55" s="345">
        <v>160.316</v>
      </c>
      <c r="D55" s="345">
        <v>160.94999999999999</v>
      </c>
      <c r="E55" s="345">
        <v>6.3970000000000002</v>
      </c>
      <c r="F55" s="345">
        <v>178.2</v>
      </c>
      <c r="G55" s="345">
        <v>148.30000000000001</v>
      </c>
      <c r="H55" s="345">
        <f t="shared" si="6"/>
        <v>162.20619270983869</v>
      </c>
      <c r="I55" s="345">
        <f t="shared" si="7"/>
        <v>158.42580729016132</v>
      </c>
      <c r="J55" s="339"/>
      <c r="K55" s="344">
        <v>12</v>
      </c>
      <c r="L55" s="344">
        <v>39</v>
      </c>
      <c r="M55" s="345">
        <v>32.936</v>
      </c>
      <c r="N55" s="345">
        <v>33.200000000000003</v>
      </c>
      <c r="O55" s="345">
        <v>1.7010000000000001</v>
      </c>
      <c r="P55" s="345">
        <v>36</v>
      </c>
      <c r="Q55" s="345">
        <v>29.3</v>
      </c>
      <c r="R55" s="345">
        <f t="shared" si="10"/>
        <v>33.46986085966001</v>
      </c>
      <c r="S55" s="345">
        <f t="shared" si="11"/>
        <v>32.40213914033999</v>
      </c>
    </row>
    <row r="56" spans="1:19" x14ac:dyDescent="0.3">
      <c r="A56" s="344">
        <v>15</v>
      </c>
      <c r="B56" s="344">
        <v>12</v>
      </c>
      <c r="C56" s="345">
        <v>157.52500000000001</v>
      </c>
      <c r="D56" s="345">
        <v>159.5</v>
      </c>
      <c r="E56" s="345">
        <v>5.2279999999999998</v>
      </c>
      <c r="F56" s="345">
        <v>167</v>
      </c>
      <c r="G56" s="345">
        <v>150.5</v>
      </c>
      <c r="H56" s="345">
        <f t="shared" si="6"/>
        <v>160.4830194631769</v>
      </c>
      <c r="I56" s="345">
        <f t="shared" si="7"/>
        <v>154.56698053682311</v>
      </c>
      <c r="J56" s="339"/>
      <c r="K56" s="344">
        <v>13</v>
      </c>
      <c r="L56" s="344">
        <v>41</v>
      </c>
      <c r="M56" s="345">
        <v>33.551000000000002</v>
      </c>
      <c r="N56" s="345">
        <v>33.5</v>
      </c>
      <c r="O56" s="345">
        <v>1.8560000000000001</v>
      </c>
      <c r="P56" s="345">
        <v>37.700000000000003</v>
      </c>
      <c r="Q56" s="345">
        <v>30.1</v>
      </c>
      <c r="R56" s="345">
        <f t="shared" si="10"/>
        <v>34.1191226640479</v>
      </c>
      <c r="S56" s="345">
        <f t="shared" si="11"/>
        <v>32.982877335952104</v>
      </c>
    </row>
    <row r="57" spans="1:19" x14ac:dyDescent="0.3">
      <c r="A57" s="344">
        <v>16</v>
      </c>
      <c r="B57" s="344">
        <v>12</v>
      </c>
      <c r="C57" s="345">
        <v>158.63300000000001</v>
      </c>
      <c r="D57" s="345">
        <v>157.55000000000001</v>
      </c>
      <c r="E57" s="345">
        <v>7.8109999999999999</v>
      </c>
      <c r="F57" s="345">
        <v>174.5</v>
      </c>
      <c r="G57" s="345">
        <v>148.5</v>
      </c>
      <c r="H57" s="345">
        <f t="shared" si="6"/>
        <v>163.05248929358737</v>
      </c>
      <c r="I57" s="345">
        <f t="shared" si="7"/>
        <v>154.21351070641265</v>
      </c>
      <c r="J57" s="339"/>
      <c r="K57" s="344">
        <v>14</v>
      </c>
      <c r="L57" s="344">
        <v>45</v>
      </c>
      <c r="M57" s="345">
        <v>34.642000000000003</v>
      </c>
      <c r="N57" s="345">
        <v>34.4</v>
      </c>
      <c r="O57" s="345">
        <v>1.8640000000000001</v>
      </c>
      <c r="P57" s="345">
        <v>38.9</v>
      </c>
      <c r="Q57" s="345">
        <v>31.1</v>
      </c>
      <c r="R57" s="345">
        <f t="shared" si="10"/>
        <v>35.186622679447794</v>
      </c>
      <c r="S57" s="345">
        <f t="shared" si="11"/>
        <v>34.097377320552212</v>
      </c>
    </row>
    <row r="58" spans="1:19" x14ac:dyDescent="0.3">
      <c r="A58" s="344">
        <v>17</v>
      </c>
      <c r="B58" s="344">
        <v>4</v>
      </c>
      <c r="C58" s="345">
        <v>159.57499999999999</v>
      </c>
      <c r="D58" s="345">
        <v>160.30000000000001</v>
      </c>
      <c r="E58" s="345">
        <v>7.2389999999999999</v>
      </c>
      <c r="F58" s="345">
        <v>167.6</v>
      </c>
      <c r="G58" s="345">
        <v>150.1</v>
      </c>
      <c r="H58" s="345">
        <f t="shared" si="6"/>
        <v>166.66922</v>
      </c>
      <c r="I58" s="345">
        <f t="shared" si="7"/>
        <v>152.48077999999998</v>
      </c>
      <c r="J58" s="339"/>
      <c r="K58" s="344">
        <v>15</v>
      </c>
      <c r="L58" s="344">
        <v>12</v>
      </c>
      <c r="M58" s="345">
        <v>33.674999999999997</v>
      </c>
      <c r="N58" s="345">
        <v>33.85</v>
      </c>
      <c r="O58" s="345">
        <v>1.6419999999999999</v>
      </c>
      <c r="P58" s="345">
        <v>37.200000000000003</v>
      </c>
      <c r="Q58" s="345">
        <v>31</v>
      </c>
      <c r="R58" s="345">
        <f t="shared" si="10"/>
        <v>34.604048959169177</v>
      </c>
      <c r="S58" s="345">
        <f t="shared" si="11"/>
        <v>32.745951040830818</v>
      </c>
    </row>
    <row r="59" spans="1:19" x14ac:dyDescent="0.3">
      <c r="A59" s="349">
        <v>18</v>
      </c>
      <c r="B59" s="349">
        <v>2</v>
      </c>
      <c r="C59" s="350">
        <v>156.55000000000001</v>
      </c>
      <c r="D59" s="350">
        <v>156.55000000000001</v>
      </c>
      <c r="E59" s="350">
        <v>12.657</v>
      </c>
      <c r="F59" s="350">
        <v>165.5</v>
      </c>
      <c r="G59" s="350">
        <v>147.6</v>
      </c>
      <c r="H59" s="350">
        <f t="shared" si="6"/>
        <v>174.09170703777716</v>
      </c>
      <c r="I59" s="350">
        <f t="shared" si="7"/>
        <v>139.00829296222287</v>
      </c>
      <c r="J59" s="339"/>
      <c r="K59" s="344">
        <v>16</v>
      </c>
      <c r="L59" s="344">
        <v>13</v>
      </c>
      <c r="M59" s="345">
        <v>33.484999999999999</v>
      </c>
      <c r="N59" s="345">
        <v>34</v>
      </c>
      <c r="O59" s="345">
        <v>1.79</v>
      </c>
      <c r="P59" s="345">
        <v>35.9</v>
      </c>
      <c r="Q59" s="345">
        <v>30.2</v>
      </c>
      <c r="R59" s="345">
        <f t="shared" si="10"/>
        <v>34.458055084218294</v>
      </c>
      <c r="S59" s="345">
        <f t="shared" si="11"/>
        <v>32.511944915781704</v>
      </c>
    </row>
    <row r="60" spans="1:19" x14ac:dyDescent="0.3">
      <c r="A60" s="344"/>
      <c r="B60" s="344"/>
      <c r="C60" s="345"/>
      <c r="D60" s="345"/>
      <c r="E60" s="345"/>
      <c r="F60" s="345"/>
      <c r="G60" s="345"/>
      <c r="H60" s="345"/>
      <c r="I60" s="345"/>
      <c r="J60" s="339"/>
      <c r="K60" s="344">
        <v>17</v>
      </c>
      <c r="L60" s="344">
        <v>4</v>
      </c>
      <c r="M60" s="345">
        <v>33.549999999999997</v>
      </c>
      <c r="N60" s="345">
        <v>33.4</v>
      </c>
      <c r="O60" s="345">
        <v>1.33</v>
      </c>
      <c r="P60" s="345">
        <v>35.200000000000003</v>
      </c>
      <c r="Q60" s="345">
        <v>32.200000000000003</v>
      </c>
      <c r="R60" s="345">
        <f t="shared" si="10"/>
        <v>34.853400000000001</v>
      </c>
      <c r="S60" s="345">
        <f t="shared" si="11"/>
        <v>32.246599999999994</v>
      </c>
    </row>
    <row r="61" spans="1:19" x14ac:dyDescent="0.3">
      <c r="A61" s="344"/>
      <c r="B61" s="344"/>
      <c r="C61" s="345"/>
      <c r="D61" s="345"/>
      <c r="E61" s="345"/>
      <c r="F61" s="345"/>
      <c r="G61" s="345"/>
      <c r="H61" s="345"/>
      <c r="I61" s="345"/>
      <c r="J61" s="339"/>
      <c r="K61" s="349">
        <v>18</v>
      </c>
      <c r="L61" s="349">
        <v>2</v>
      </c>
      <c r="M61" s="350">
        <v>34.299999999999997</v>
      </c>
      <c r="N61" s="350">
        <v>34.299999999999997</v>
      </c>
      <c r="O61" s="350">
        <v>0.28299999999999997</v>
      </c>
      <c r="P61" s="350">
        <v>34.5</v>
      </c>
      <c r="Q61" s="350">
        <v>34.1</v>
      </c>
      <c r="R61" s="350">
        <f t="shared" si="10"/>
        <v>34.692217989388553</v>
      </c>
      <c r="S61" s="350">
        <f t="shared" si="11"/>
        <v>33.907782010611442</v>
      </c>
    </row>
    <row r="62" spans="1:19" x14ac:dyDescent="0.3">
      <c r="A62" s="346" t="s">
        <v>661</v>
      </c>
      <c r="B62" s="344"/>
      <c r="C62" s="345"/>
      <c r="D62" s="345"/>
      <c r="E62" s="345"/>
      <c r="F62" s="345"/>
      <c r="G62" s="345"/>
      <c r="H62" s="345"/>
      <c r="I62" s="345"/>
      <c r="J62" s="339"/>
      <c r="K62" s="344"/>
      <c r="L62" s="344"/>
      <c r="M62" s="345"/>
      <c r="N62" s="345"/>
      <c r="O62" s="345"/>
      <c r="P62" s="345"/>
      <c r="Q62" s="345"/>
      <c r="R62" s="345"/>
      <c r="S62" s="345"/>
    </row>
    <row r="63" spans="1:19" x14ac:dyDescent="0.3">
      <c r="A63" s="347" t="s">
        <v>514</v>
      </c>
      <c r="B63" s="347" t="s">
        <v>649</v>
      </c>
      <c r="C63" s="348" t="s">
        <v>650</v>
      </c>
      <c r="D63" s="348" t="s">
        <v>651</v>
      </c>
      <c r="E63" s="348" t="s">
        <v>652</v>
      </c>
      <c r="F63" s="348" t="s">
        <v>653</v>
      </c>
      <c r="G63" s="348" t="s">
        <v>654</v>
      </c>
      <c r="H63" s="348" t="s">
        <v>655</v>
      </c>
      <c r="I63" s="348" t="s">
        <v>656</v>
      </c>
      <c r="J63" s="339"/>
      <c r="K63" s="344"/>
      <c r="L63" s="344"/>
      <c r="M63" s="345"/>
      <c r="N63" s="345"/>
      <c r="O63" s="345"/>
      <c r="P63" s="345"/>
      <c r="Q63" s="345"/>
      <c r="R63" s="345"/>
      <c r="S63" s="345"/>
    </row>
    <row r="64" spans="1:19" x14ac:dyDescent="0.3">
      <c r="A64" s="344">
        <v>7</v>
      </c>
      <c r="B64" s="344">
        <v>1</v>
      </c>
      <c r="C64" s="345">
        <v>23.2</v>
      </c>
      <c r="D64" s="345">
        <v>23.2</v>
      </c>
      <c r="E64" s="345" t="s">
        <v>657</v>
      </c>
      <c r="F64" s="345">
        <v>23.2</v>
      </c>
      <c r="G64" s="345">
        <v>23.2</v>
      </c>
      <c r="H64" s="345"/>
      <c r="I64" s="345"/>
      <c r="J64" s="339"/>
      <c r="K64" s="346" t="s">
        <v>671</v>
      </c>
      <c r="L64" s="344"/>
      <c r="M64" s="345"/>
      <c r="N64" s="345"/>
      <c r="O64" s="345"/>
      <c r="P64" s="345"/>
      <c r="Q64" s="345"/>
      <c r="R64" s="345"/>
      <c r="S64" s="345"/>
    </row>
    <row r="65" spans="1:19" x14ac:dyDescent="0.3">
      <c r="A65" s="344">
        <v>8</v>
      </c>
      <c r="B65" s="344">
        <v>10</v>
      </c>
      <c r="C65" s="345">
        <v>24.49</v>
      </c>
      <c r="D65" s="345">
        <v>24.55</v>
      </c>
      <c r="E65" s="345">
        <v>1.3089999999999999</v>
      </c>
      <c r="F65" s="345">
        <v>26.6</v>
      </c>
      <c r="G65" s="345">
        <v>21.8</v>
      </c>
      <c r="H65" s="345">
        <f t="shared" si="6"/>
        <v>25.301326605603439</v>
      </c>
      <c r="I65" s="345">
        <f t="shared" si="7"/>
        <v>23.678673394396558</v>
      </c>
      <c r="J65" s="339"/>
      <c r="K65" s="347" t="s">
        <v>514</v>
      </c>
      <c r="L65" s="347" t="s">
        <v>649</v>
      </c>
      <c r="M65" s="348" t="s">
        <v>650</v>
      </c>
      <c r="N65" s="348" t="s">
        <v>651</v>
      </c>
      <c r="O65" s="348" t="s">
        <v>652</v>
      </c>
      <c r="P65" s="348" t="s">
        <v>653</v>
      </c>
      <c r="Q65" s="348" t="s">
        <v>654</v>
      </c>
      <c r="R65" s="348" t="s">
        <v>655</v>
      </c>
      <c r="S65" s="348" t="s">
        <v>656</v>
      </c>
    </row>
    <row r="66" spans="1:19" x14ac:dyDescent="0.3">
      <c r="A66" s="344">
        <v>9</v>
      </c>
      <c r="B66" s="344">
        <v>17</v>
      </c>
      <c r="C66" s="345">
        <v>26.452999999999999</v>
      </c>
      <c r="D66" s="345">
        <v>26.3</v>
      </c>
      <c r="E66" s="345">
        <v>1.637</v>
      </c>
      <c r="F66" s="345">
        <v>28.9</v>
      </c>
      <c r="G66" s="345">
        <v>22.7</v>
      </c>
      <c r="H66" s="345">
        <f t="shared" si="6"/>
        <v>27.231180403641574</v>
      </c>
      <c r="I66" s="345">
        <f t="shared" si="7"/>
        <v>25.674819596358425</v>
      </c>
      <c r="J66" s="339"/>
      <c r="K66" s="344">
        <v>7</v>
      </c>
      <c r="L66" s="344">
        <v>1</v>
      </c>
      <c r="M66" s="345">
        <v>20</v>
      </c>
      <c r="N66" s="345">
        <v>20</v>
      </c>
      <c r="O66" s="345" t="s">
        <v>657</v>
      </c>
      <c r="P66" s="345">
        <v>20</v>
      </c>
      <c r="Q66" s="345">
        <v>20</v>
      </c>
      <c r="R66" s="345"/>
      <c r="S66" s="345"/>
    </row>
    <row r="67" spans="1:19" x14ac:dyDescent="0.3">
      <c r="A67" s="344">
        <v>10</v>
      </c>
      <c r="B67" s="344">
        <v>22</v>
      </c>
      <c r="C67" s="345">
        <v>27.4</v>
      </c>
      <c r="D67" s="345">
        <v>27.55</v>
      </c>
      <c r="E67" s="345">
        <v>1.6539999999999999</v>
      </c>
      <c r="F67" s="345">
        <v>31.3</v>
      </c>
      <c r="G67" s="345">
        <v>24.3</v>
      </c>
      <c r="H67" s="345">
        <f t="shared" si="6"/>
        <v>28.091162610310271</v>
      </c>
      <c r="I67" s="345">
        <f t="shared" si="7"/>
        <v>26.708837389689727</v>
      </c>
      <c r="J67" s="339"/>
      <c r="K67" s="344">
        <v>8</v>
      </c>
      <c r="L67" s="344">
        <v>10</v>
      </c>
      <c r="M67" s="345">
        <v>19.350000000000001</v>
      </c>
      <c r="N67" s="345">
        <v>19.75</v>
      </c>
      <c r="O67" s="345">
        <v>0.84199999999999997</v>
      </c>
      <c r="P67" s="345">
        <v>20.3</v>
      </c>
      <c r="Q67" s="345">
        <v>18.100000000000001</v>
      </c>
      <c r="R67" s="345">
        <f t="shared" si="10"/>
        <v>19.871877006812909</v>
      </c>
      <c r="S67" s="345">
        <f t="shared" si="11"/>
        <v>18.828122993187094</v>
      </c>
    </row>
    <row r="68" spans="1:19" x14ac:dyDescent="0.3">
      <c r="A68" s="344">
        <v>11</v>
      </c>
      <c r="B68" s="344">
        <v>20</v>
      </c>
      <c r="C68" s="345">
        <v>28.31</v>
      </c>
      <c r="D68" s="345">
        <v>28.6</v>
      </c>
      <c r="E68" s="345">
        <v>1.883</v>
      </c>
      <c r="F68" s="345">
        <v>31.2</v>
      </c>
      <c r="G68" s="345">
        <v>24.7</v>
      </c>
      <c r="H68" s="345">
        <f t="shared" si="6"/>
        <v>29.13526113631989</v>
      </c>
      <c r="I68" s="345">
        <f t="shared" si="7"/>
        <v>27.484738863680107</v>
      </c>
      <c r="J68" s="339"/>
      <c r="K68" s="344">
        <v>9</v>
      </c>
      <c r="L68" s="344">
        <v>17</v>
      </c>
      <c r="M68" s="345">
        <v>20.434999999999999</v>
      </c>
      <c r="N68" s="345">
        <v>20.7</v>
      </c>
      <c r="O68" s="345">
        <v>0.96399999999999997</v>
      </c>
      <c r="P68" s="345">
        <v>21.8</v>
      </c>
      <c r="Q68" s="345">
        <v>18.600000000000001</v>
      </c>
      <c r="R68" s="345">
        <f t="shared" si="10"/>
        <v>20.893256511368648</v>
      </c>
      <c r="S68" s="345">
        <f t="shared" si="11"/>
        <v>19.97674348863135</v>
      </c>
    </row>
    <row r="69" spans="1:19" x14ac:dyDescent="0.3">
      <c r="A69" s="344">
        <v>12</v>
      </c>
      <c r="B69" s="344">
        <v>39</v>
      </c>
      <c r="C69" s="345">
        <v>29.244</v>
      </c>
      <c r="D69" s="345">
        <v>29.4</v>
      </c>
      <c r="E69" s="345">
        <v>1.8029999999999999</v>
      </c>
      <c r="F69" s="345">
        <v>33.6</v>
      </c>
      <c r="G69" s="345">
        <v>25.6</v>
      </c>
      <c r="H69" s="345">
        <f t="shared" si="6"/>
        <v>29.809873680168721</v>
      </c>
      <c r="I69" s="345">
        <f t="shared" si="7"/>
        <v>28.678126319831279</v>
      </c>
      <c r="J69" s="339"/>
      <c r="K69" s="344">
        <v>10</v>
      </c>
      <c r="L69" s="344">
        <v>22</v>
      </c>
      <c r="M69" s="345">
        <v>22.05</v>
      </c>
      <c r="N69" s="345">
        <v>21.7</v>
      </c>
      <c r="O69" s="345">
        <v>2.234</v>
      </c>
      <c r="P69" s="345">
        <v>29.4</v>
      </c>
      <c r="Q69" s="345">
        <v>19.5</v>
      </c>
      <c r="R69" s="345">
        <f t="shared" si="10"/>
        <v>22.983529184663333</v>
      </c>
      <c r="S69" s="345">
        <f t="shared" si="11"/>
        <v>21.116470815336669</v>
      </c>
    </row>
    <row r="70" spans="1:19" x14ac:dyDescent="0.3">
      <c r="A70" s="344">
        <v>13</v>
      </c>
      <c r="B70" s="344">
        <v>41</v>
      </c>
      <c r="C70" s="345">
        <v>30.044</v>
      </c>
      <c r="D70" s="345">
        <v>30.2</v>
      </c>
      <c r="E70" s="345">
        <v>1.631</v>
      </c>
      <c r="F70" s="345">
        <v>33.700000000000003</v>
      </c>
      <c r="G70" s="345">
        <v>25.3</v>
      </c>
      <c r="H70" s="345">
        <f t="shared" si="6"/>
        <v>30.543250035055021</v>
      </c>
      <c r="I70" s="345">
        <f t="shared" si="7"/>
        <v>29.54474996494498</v>
      </c>
      <c r="J70" s="339"/>
      <c r="K70" s="344">
        <v>11</v>
      </c>
      <c r="L70" s="344">
        <v>21</v>
      </c>
      <c r="M70" s="345">
        <v>22.271000000000001</v>
      </c>
      <c r="N70" s="345">
        <v>22.1</v>
      </c>
      <c r="O70" s="345">
        <v>1.7629999999999999</v>
      </c>
      <c r="P70" s="345">
        <v>25.6</v>
      </c>
      <c r="Q70" s="345">
        <v>19.8</v>
      </c>
      <c r="R70" s="345">
        <f t="shared" si="10"/>
        <v>23.025047555352668</v>
      </c>
      <c r="S70" s="345">
        <f t="shared" si="11"/>
        <v>21.516952444647334</v>
      </c>
    </row>
    <row r="71" spans="1:19" x14ac:dyDescent="0.3">
      <c r="A71" s="344">
        <v>14</v>
      </c>
      <c r="B71" s="344">
        <v>45</v>
      </c>
      <c r="C71" s="345">
        <v>30.538</v>
      </c>
      <c r="D71" s="345">
        <v>30.4</v>
      </c>
      <c r="E71" s="345">
        <v>1.454</v>
      </c>
      <c r="F71" s="345">
        <v>35</v>
      </c>
      <c r="G71" s="345">
        <v>27.5</v>
      </c>
      <c r="H71" s="345">
        <f t="shared" si="6"/>
        <v>30.962829064333199</v>
      </c>
      <c r="I71" s="345">
        <f t="shared" si="7"/>
        <v>30.113170935666801</v>
      </c>
      <c r="J71" s="339"/>
      <c r="K71" s="344">
        <v>12</v>
      </c>
      <c r="L71" s="344">
        <v>39</v>
      </c>
      <c r="M71" s="345">
        <v>22.805</v>
      </c>
      <c r="N71" s="345">
        <v>22.7</v>
      </c>
      <c r="O71" s="345">
        <v>1.734</v>
      </c>
      <c r="P71" s="345">
        <v>27.6</v>
      </c>
      <c r="Q71" s="345">
        <v>18.5</v>
      </c>
      <c r="R71" s="345">
        <f t="shared" si="10"/>
        <v>23.349217948648121</v>
      </c>
      <c r="S71" s="345">
        <f t="shared" si="11"/>
        <v>22.260782051351878</v>
      </c>
    </row>
    <row r="72" spans="1:19" x14ac:dyDescent="0.3">
      <c r="A72" s="344">
        <v>15</v>
      </c>
      <c r="B72" s="344">
        <v>12</v>
      </c>
      <c r="C72" s="345">
        <v>30.632999999999999</v>
      </c>
      <c r="D72" s="345">
        <v>30.65</v>
      </c>
      <c r="E72" s="345">
        <v>1.323</v>
      </c>
      <c r="F72" s="345">
        <v>33.200000000000003</v>
      </c>
      <c r="G72" s="345">
        <v>28</v>
      </c>
      <c r="H72" s="345">
        <f t="shared" si="6"/>
        <v>31.381557718015117</v>
      </c>
      <c r="I72" s="345">
        <f t="shared" si="7"/>
        <v>29.884442281984882</v>
      </c>
      <c r="J72" s="339"/>
      <c r="K72" s="344">
        <v>13</v>
      </c>
      <c r="L72" s="344">
        <v>41</v>
      </c>
      <c r="M72" s="345">
        <v>23.38</v>
      </c>
      <c r="N72" s="345">
        <v>23.3</v>
      </c>
      <c r="O72" s="345">
        <v>1.64</v>
      </c>
      <c r="P72" s="345">
        <v>27.5</v>
      </c>
      <c r="Q72" s="345">
        <v>20.399999999999999</v>
      </c>
      <c r="R72" s="345">
        <f t="shared" si="10"/>
        <v>23.882004940214735</v>
      </c>
      <c r="S72" s="345">
        <f t="shared" si="11"/>
        <v>22.877995059785263</v>
      </c>
    </row>
    <row r="73" spans="1:19" x14ac:dyDescent="0.3">
      <c r="A73" s="344">
        <v>16</v>
      </c>
      <c r="B73" s="344">
        <v>12</v>
      </c>
      <c r="C73" s="345">
        <v>30.466999999999999</v>
      </c>
      <c r="D73" s="345">
        <v>30.35</v>
      </c>
      <c r="E73" s="345">
        <v>1.845</v>
      </c>
      <c r="F73" s="345">
        <v>34.4</v>
      </c>
      <c r="G73" s="345">
        <v>27.3</v>
      </c>
      <c r="H73" s="345">
        <f t="shared" si="6"/>
        <v>31.51090702172176</v>
      </c>
      <c r="I73" s="345">
        <f t="shared" si="7"/>
        <v>29.423092978278238</v>
      </c>
      <c r="J73" s="339"/>
      <c r="K73" s="344">
        <v>14</v>
      </c>
      <c r="L73" s="344">
        <v>45</v>
      </c>
      <c r="M73" s="345">
        <v>24.263999999999999</v>
      </c>
      <c r="N73" s="345">
        <v>24.3</v>
      </c>
      <c r="O73" s="345">
        <v>1.554</v>
      </c>
      <c r="P73" s="345">
        <v>28</v>
      </c>
      <c r="Q73" s="345">
        <v>19.600000000000001</v>
      </c>
      <c r="R73" s="345">
        <f t="shared" si="10"/>
        <v>24.718047019239197</v>
      </c>
      <c r="S73" s="345">
        <f t="shared" si="11"/>
        <v>23.809952980760801</v>
      </c>
    </row>
    <row r="74" spans="1:19" x14ac:dyDescent="0.3">
      <c r="A74" s="344">
        <v>17</v>
      </c>
      <c r="B74" s="344">
        <v>4</v>
      </c>
      <c r="C74" s="345">
        <v>30.675000000000001</v>
      </c>
      <c r="D74" s="345">
        <v>30.95</v>
      </c>
      <c r="E74" s="345">
        <v>1.8009999999999999</v>
      </c>
      <c r="F74" s="345">
        <v>32.299999999999997</v>
      </c>
      <c r="G74" s="345">
        <v>28.5</v>
      </c>
      <c r="H74" s="345">
        <f t="shared" si="6"/>
        <v>32.439979999999998</v>
      </c>
      <c r="I74" s="345">
        <f t="shared" si="7"/>
        <v>28.910019999999999</v>
      </c>
      <c r="J74" s="339"/>
      <c r="K74" s="344">
        <v>15</v>
      </c>
      <c r="L74" s="344">
        <v>12</v>
      </c>
      <c r="M74" s="345">
        <v>22.942</v>
      </c>
      <c r="N74" s="345">
        <v>22.7</v>
      </c>
      <c r="O74" s="345">
        <v>1.381</v>
      </c>
      <c r="P74" s="345">
        <v>25.1</v>
      </c>
      <c r="Q74" s="345">
        <v>20.7</v>
      </c>
      <c r="R74" s="345">
        <f t="shared" si="10"/>
        <v>23.723374307315854</v>
      </c>
      <c r="S74" s="345">
        <f t="shared" si="11"/>
        <v>22.160625692684146</v>
      </c>
    </row>
    <row r="75" spans="1:19" x14ac:dyDescent="0.3">
      <c r="A75" s="349">
        <v>18</v>
      </c>
      <c r="B75" s="349">
        <v>2</v>
      </c>
      <c r="C75" s="350">
        <v>29.8</v>
      </c>
      <c r="D75" s="350">
        <v>29.8</v>
      </c>
      <c r="E75" s="350">
        <v>1.4139999999999999</v>
      </c>
      <c r="F75" s="350">
        <v>30.8</v>
      </c>
      <c r="G75" s="350">
        <v>28.8</v>
      </c>
      <c r="H75" s="350">
        <f t="shared" si="6"/>
        <v>31.759704017651647</v>
      </c>
      <c r="I75" s="350">
        <f t="shared" si="7"/>
        <v>27.840295982348355</v>
      </c>
      <c r="J75" s="339"/>
      <c r="K75" s="344">
        <v>16</v>
      </c>
      <c r="L75" s="344">
        <v>13</v>
      </c>
      <c r="M75" s="345">
        <v>23.492000000000001</v>
      </c>
      <c r="N75" s="345">
        <v>23.7</v>
      </c>
      <c r="O75" s="345">
        <v>2.2149999999999999</v>
      </c>
      <c r="P75" s="345">
        <v>27.5</v>
      </c>
      <c r="Q75" s="345">
        <v>19.3</v>
      </c>
      <c r="R75" s="345">
        <f t="shared" si="10"/>
        <v>24.696087715946106</v>
      </c>
      <c r="S75" s="345">
        <f t="shared" si="11"/>
        <v>22.287912284053895</v>
      </c>
    </row>
    <row r="76" spans="1:19" x14ac:dyDescent="0.3">
      <c r="A76" s="344"/>
      <c r="B76" s="344"/>
      <c r="C76" s="345"/>
      <c r="D76" s="345"/>
      <c r="E76" s="345"/>
      <c r="F76" s="345"/>
      <c r="G76" s="345"/>
      <c r="H76" s="345"/>
      <c r="I76" s="345"/>
      <c r="J76" s="339"/>
      <c r="K76" s="344">
        <v>17</v>
      </c>
      <c r="L76" s="344">
        <v>4</v>
      </c>
      <c r="M76" s="345">
        <v>21.875</v>
      </c>
      <c r="N76" s="345">
        <v>21.6</v>
      </c>
      <c r="O76" s="345">
        <v>1.32</v>
      </c>
      <c r="P76" s="345">
        <v>23.6</v>
      </c>
      <c r="Q76" s="345">
        <v>20.7</v>
      </c>
      <c r="R76" s="345">
        <f t="shared" si="10"/>
        <v>23.168600000000001</v>
      </c>
      <c r="S76" s="345">
        <f t="shared" si="11"/>
        <v>20.581399999999999</v>
      </c>
    </row>
    <row r="77" spans="1:19" x14ac:dyDescent="0.3">
      <c r="A77" s="344"/>
      <c r="B77" s="344"/>
      <c r="C77" s="345"/>
      <c r="D77" s="345"/>
      <c r="E77" s="345"/>
      <c r="F77" s="345"/>
      <c r="G77" s="345"/>
      <c r="H77" s="345"/>
      <c r="I77" s="345"/>
      <c r="J77" s="339"/>
      <c r="K77" s="349">
        <v>18</v>
      </c>
      <c r="L77" s="349">
        <v>2</v>
      </c>
      <c r="M77" s="350">
        <v>23.3</v>
      </c>
      <c r="N77" s="350">
        <v>23.3</v>
      </c>
      <c r="O77" s="350">
        <v>0.42399999999999999</v>
      </c>
      <c r="P77" s="350">
        <v>23.6</v>
      </c>
      <c r="Q77" s="350">
        <v>23</v>
      </c>
      <c r="R77" s="350">
        <f t="shared" si="10"/>
        <v>23.887634019437268</v>
      </c>
      <c r="S77" s="350">
        <f t="shared" si="11"/>
        <v>22.712365980562733</v>
      </c>
    </row>
    <row r="78" spans="1:19" x14ac:dyDescent="0.3">
      <c r="A78" s="346" t="s">
        <v>662</v>
      </c>
      <c r="B78" s="344"/>
      <c r="C78" s="345"/>
      <c r="D78" s="345"/>
      <c r="E78" s="345"/>
      <c r="F78" s="345"/>
      <c r="G78" s="345"/>
      <c r="H78" s="345"/>
      <c r="I78" s="345"/>
      <c r="J78" s="339"/>
      <c r="K78" s="344"/>
      <c r="L78" s="344"/>
      <c r="M78" s="345"/>
      <c r="N78" s="345"/>
      <c r="O78" s="345"/>
      <c r="P78" s="345"/>
      <c r="Q78" s="345"/>
      <c r="R78" s="345"/>
      <c r="S78" s="345"/>
    </row>
    <row r="79" spans="1:19" x14ac:dyDescent="0.3">
      <c r="A79" s="347" t="s">
        <v>514</v>
      </c>
      <c r="B79" s="347" t="s">
        <v>649</v>
      </c>
      <c r="C79" s="348" t="s">
        <v>650</v>
      </c>
      <c r="D79" s="348" t="s">
        <v>651</v>
      </c>
      <c r="E79" s="348" t="s">
        <v>652</v>
      </c>
      <c r="F79" s="348" t="s">
        <v>653</v>
      </c>
      <c r="G79" s="348" t="s">
        <v>654</v>
      </c>
      <c r="H79" s="348" t="s">
        <v>655</v>
      </c>
      <c r="I79" s="348" t="s">
        <v>656</v>
      </c>
      <c r="J79" s="339"/>
      <c r="K79" s="344"/>
      <c r="L79" s="344"/>
      <c r="M79" s="345"/>
      <c r="N79" s="345"/>
      <c r="O79" s="345"/>
      <c r="P79" s="345"/>
      <c r="Q79" s="345"/>
      <c r="R79" s="345"/>
      <c r="S79" s="345"/>
    </row>
    <row r="80" spans="1:19" x14ac:dyDescent="0.3">
      <c r="A80" s="344">
        <v>7</v>
      </c>
      <c r="B80" s="344">
        <v>1</v>
      </c>
      <c r="C80" s="345">
        <v>16.100000000000001</v>
      </c>
      <c r="D80" s="345">
        <v>16.100000000000001</v>
      </c>
      <c r="E80" s="345" t="s">
        <v>657</v>
      </c>
      <c r="F80" s="345">
        <v>16.100000000000001</v>
      </c>
      <c r="G80" s="345">
        <v>16.100000000000001</v>
      </c>
      <c r="H80" s="345"/>
      <c r="I80" s="345"/>
      <c r="J80" s="339"/>
      <c r="K80" s="346" t="s">
        <v>672</v>
      </c>
      <c r="L80" s="344"/>
      <c r="M80" s="345"/>
      <c r="N80" s="345"/>
      <c r="O80" s="345"/>
      <c r="P80" s="345"/>
      <c r="Q80" s="345"/>
      <c r="R80" s="345"/>
      <c r="S80" s="345"/>
    </row>
    <row r="81" spans="1:19" x14ac:dyDescent="0.3">
      <c r="A81" s="344">
        <v>8</v>
      </c>
      <c r="B81" s="344">
        <v>10</v>
      </c>
      <c r="C81" s="345">
        <v>18.690000000000001</v>
      </c>
      <c r="D81" s="345">
        <v>18.5</v>
      </c>
      <c r="E81" s="345">
        <v>1.4359999999999999</v>
      </c>
      <c r="F81" s="345">
        <v>21.2</v>
      </c>
      <c r="G81" s="345">
        <v>16.100000000000001</v>
      </c>
      <c r="H81" s="345">
        <f t="shared" si="6"/>
        <v>19.580042021120352</v>
      </c>
      <c r="I81" s="345">
        <f t="shared" si="7"/>
        <v>17.79995797887965</v>
      </c>
      <c r="J81" s="339"/>
      <c r="K81" s="347" t="s">
        <v>514</v>
      </c>
      <c r="L81" s="347" t="s">
        <v>649</v>
      </c>
      <c r="M81" s="348" t="s">
        <v>650</v>
      </c>
      <c r="N81" s="348" t="s">
        <v>651</v>
      </c>
      <c r="O81" s="348" t="s">
        <v>652</v>
      </c>
      <c r="P81" s="348" t="s">
        <v>653</v>
      </c>
      <c r="Q81" s="348" t="s">
        <v>654</v>
      </c>
      <c r="R81" s="348" t="s">
        <v>655</v>
      </c>
      <c r="S81" s="348" t="s">
        <v>656</v>
      </c>
    </row>
    <row r="82" spans="1:19" x14ac:dyDescent="0.3">
      <c r="A82" s="344">
        <v>9</v>
      </c>
      <c r="B82" s="344">
        <v>17</v>
      </c>
      <c r="C82" s="345">
        <v>20.018000000000001</v>
      </c>
      <c r="D82" s="345">
        <v>20</v>
      </c>
      <c r="E82" s="345">
        <v>1.032</v>
      </c>
      <c r="F82" s="345">
        <v>22</v>
      </c>
      <c r="G82" s="345">
        <v>18.100000000000001</v>
      </c>
      <c r="H82" s="345">
        <f t="shared" si="6"/>
        <v>20.508581659473492</v>
      </c>
      <c r="I82" s="345">
        <f t="shared" si="7"/>
        <v>19.527418340526509</v>
      </c>
      <c r="J82" s="339"/>
      <c r="K82" s="344">
        <v>7</v>
      </c>
      <c r="L82" s="344">
        <v>1</v>
      </c>
      <c r="M82" s="345">
        <v>16.600000000000001</v>
      </c>
      <c r="N82" s="345">
        <v>16.600000000000001</v>
      </c>
      <c r="O82" s="345" t="s">
        <v>657</v>
      </c>
      <c r="P82" s="345">
        <v>16.600000000000001</v>
      </c>
      <c r="Q82" s="345">
        <v>16.600000000000001</v>
      </c>
      <c r="R82" s="345"/>
      <c r="S82" s="345"/>
    </row>
    <row r="83" spans="1:19" x14ac:dyDescent="0.3">
      <c r="A83" s="344">
        <v>10</v>
      </c>
      <c r="B83" s="344">
        <v>22</v>
      </c>
      <c r="C83" s="345">
        <v>21.190999999999999</v>
      </c>
      <c r="D83" s="345">
        <v>21.15</v>
      </c>
      <c r="E83" s="345">
        <v>1.452</v>
      </c>
      <c r="F83" s="345">
        <v>24.8</v>
      </c>
      <c r="G83" s="345">
        <v>18.8</v>
      </c>
      <c r="H83" s="345">
        <f t="shared" si="6"/>
        <v>21.797752182690758</v>
      </c>
      <c r="I83" s="345">
        <f t="shared" si="7"/>
        <v>20.58424781730924</v>
      </c>
      <c r="J83" s="339"/>
      <c r="K83" s="344">
        <v>8</v>
      </c>
      <c r="L83" s="344">
        <v>10</v>
      </c>
      <c r="M83" s="345">
        <v>14.31</v>
      </c>
      <c r="N83" s="345">
        <v>14.35</v>
      </c>
      <c r="O83" s="345">
        <v>1.077</v>
      </c>
      <c r="P83" s="345">
        <v>16.600000000000001</v>
      </c>
      <c r="Q83" s="345">
        <v>12.8</v>
      </c>
      <c r="R83" s="345">
        <f t="shared" si="10"/>
        <v>14.977531515840264</v>
      </c>
      <c r="S83" s="345">
        <f t="shared" si="11"/>
        <v>13.642468484159737</v>
      </c>
    </row>
    <row r="84" spans="1:19" x14ac:dyDescent="0.3">
      <c r="A84" s="344">
        <v>11</v>
      </c>
      <c r="B84" s="344">
        <v>19</v>
      </c>
      <c r="C84" s="345">
        <v>21.678999999999998</v>
      </c>
      <c r="D84" s="345">
        <v>22.2</v>
      </c>
      <c r="E84" s="345">
        <v>1.377</v>
      </c>
      <c r="F84" s="345">
        <v>23.6</v>
      </c>
      <c r="G84" s="345">
        <v>18.100000000000001</v>
      </c>
      <c r="H84" s="345">
        <f t="shared" si="6"/>
        <v>22.298174712457936</v>
      </c>
      <c r="I84" s="345">
        <f t="shared" si="7"/>
        <v>21.059825287542061</v>
      </c>
      <c r="J84" s="339"/>
      <c r="K84" s="344">
        <v>9</v>
      </c>
      <c r="L84" s="344">
        <v>17</v>
      </c>
      <c r="M84" s="345">
        <v>15.006</v>
      </c>
      <c r="N84" s="345">
        <v>14.6</v>
      </c>
      <c r="O84" s="345">
        <v>1.341</v>
      </c>
      <c r="P84" s="345">
        <v>17.100000000000001</v>
      </c>
      <c r="Q84" s="345">
        <v>12.6</v>
      </c>
      <c r="R84" s="345">
        <f t="shared" si="10"/>
        <v>15.643470935420495</v>
      </c>
      <c r="S84" s="345">
        <f t="shared" si="11"/>
        <v>14.368529064579505</v>
      </c>
    </row>
    <row r="85" spans="1:19" x14ac:dyDescent="0.3">
      <c r="A85" s="344">
        <v>12</v>
      </c>
      <c r="B85" s="344">
        <v>39</v>
      </c>
      <c r="C85" s="345">
        <v>22.2</v>
      </c>
      <c r="D85" s="345">
        <v>22.2</v>
      </c>
      <c r="E85" s="345">
        <v>1.3280000000000001</v>
      </c>
      <c r="F85" s="345">
        <v>24.7</v>
      </c>
      <c r="G85" s="345">
        <v>19.3</v>
      </c>
      <c r="H85" s="345">
        <f t="shared" si="6"/>
        <v>22.616794368976183</v>
      </c>
      <c r="I85" s="345">
        <f t="shared" si="7"/>
        <v>21.783205631023815</v>
      </c>
      <c r="J85" s="339"/>
      <c r="K85" s="344">
        <v>10</v>
      </c>
      <c r="L85" s="344">
        <v>22</v>
      </c>
      <c r="M85" s="345">
        <v>15.477</v>
      </c>
      <c r="N85" s="345">
        <v>15.4</v>
      </c>
      <c r="O85" s="345">
        <v>1.585</v>
      </c>
      <c r="P85" s="345">
        <v>20.8</v>
      </c>
      <c r="Q85" s="345">
        <v>13.6</v>
      </c>
      <c r="R85" s="345">
        <f t="shared" si="10"/>
        <v>16.13932934543034</v>
      </c>
      <c r="S85" s="345">
        <f t="shared" si="11"/>
        <v>14.81467065456966</v>
      </c>
    </row>
    <row r="86" spans="1:19" x14ac:dyDescent="0.3">
      <c r="A86" s="344">
        <v>13</v>
      </c>
      <c r="B86" s="344">
        <v>41</v>
      </c>
      <c r="C86" s="345">
        <v>22.821999999999999</v>
      </c>
      <c r="D86" s="345">
        <v>23</v>
      </c>
      <c r="E86" s="345">
        <v>1.2450000000000001</v>
      </c>
      <c r="F86" s="345">
        <v>24.8</v>
      </c>
      <c r="G86" s="345">
        <v>19.8</v>
      </c>
      <c r="H86" s="345">
        <f t="shared" si="6"/>
        <v>23.203095213760577</v>
      </c>
      <c r="I86" s="345">
        <f t="shared" si="7"/>
        <v>22.440904786239422</v>
      </c>
      <c r="J86" s="339"/>
      <c r="K86" s="344">
        <v>11</v>
      </c>
      <c r="L86" s="344">
        <v>21</v>
      </c>
      <c r="M86" s="345">
        <v>15.705</v>
      </c>
      <c r="N86" s="345">
        <v>15.7</v>
      </c>
      <c r="O86" s="345">
        <v>1.252</v>
      </c>
      <c r="P86" s="345">
        <v>18</v>
      </c>
      <c r="Q86" s="345">
        <v>12.3</v>
      </c>
      <c r="R86" s="345">
        <f t="shared" si="10"/>
        <v>16.240489245207907</v>
      </c>
      <c r="S86" s="345">
        <f t="shared" si="11"/>
        <v>15.169510754792094</v>
      </c>
    </row>
    <row r="87" spans="1:19" x14ac:dyDescent="0.3">
      <c r="A87" s="344">
        <v>14</v>
      </c>
      <c r="B87" s="344">
        <v>45</v>
      </c>
      <c r="C87" s="345">
        <v>23.266999999999999</v>
      </c>
      <c r="D87" s="345">
        <v>23</v>
      </c>
      <c r="E87" s="345">
        <v>1.119</v>
      </c>
      <c r="F87" s="345">
        <v>26.1</v>
      </c>
      <c r="G87" s="345">
        <v>20.7</v>
      </c>
      <c r="H87" s="345">
        <f t="shared" si="6"/>
        <v>23.593948915398109</v>
      </c>
      <c r="I87" s="345">
        <f t="shared" si="7"/>
        <v>22.94005108460189</v>
      </c>
      <c r="J87" s="339"/>
      <c r="K87" s="344">
        <v>12</v>
      </c>
      <c r="L87" s="344">
        <v>39</v>
      </c>
      <c r="M87" s="345">
        <v>15.928000000000001</v>
      </c>
      <c r="N87" s="345">
        <v>15.7</v>
      </c>
      <c r="O87" s="345">
        <v>1.5820000000000001</v>
      </c>
      <c r="P87" s="345">
        <v>22.8</v>
      </c>
      <c r="Q87" s="345">
        <v>13.2</v>
      </c>
      <c r="R87" s="345">
        <f t="shared" si="10"/>
        <v>16.424512569066511</v>
      </c>
      <c r="S87" s="345">
        <f t="shared" si="11"/>
        <v>15.43148743093349</v>
      </c>
    </row>
    <row r="88" spans="1:19" x14ac:dyDescent="0.3">
      <c r="A88" s="344">
        <v>15</v>
      </c>
      <c r="B88" s="344">
        <v>12</v>
      </c>
      <c r="C88" s="345">
        <v>23.158000000000001</v>
      </c>
      <c r="D88" s="345">
        <v>23.35</v>
      </c>
      <c r="E88" s="345">
        <v>0.94799999999999995</v>
      </c>
      <c r="F88" s="345">
        <v>24.4</v>
      </c>
      <c r="G88" s="345">
        <v>21</v>
      </c>
      <c r="H88" s="345">
        <f t="shared" si="6"/>
        <v>23.694381494087931</v>
      </c>
      <c r="I88" s="345">
        <f t="shared" si="7"/>
        <v>22.621618505912071</v>
      </c>
      <c r="J88" s="339"/>
      <c r="K88" s="344">
        <v>13</v>
      </c>
      <c r="L88" s="344">
        <v>41</v>
      </c>
      <c r="M88" s="345">
        <v>16.327000000000002</v>
      </c>
      <c r="N88" s="345">
        <v>15.9</v>
      </c>
      <c r="O88" s="345">
        <v>1.448</v>
      </c>
      <c r="P88" s="345">
        <v>20.2</v>
      </c>
      <c r="Q88" s="345">
        <v>13.2</v>
      </c>
      <c r="R88" s="345">
        <f t="shared" si="10"/>
        <v>16.770233630140815</v>
      </c>
      <c r="S88" s="345">
        <f t="shared" si="11"/>
        <v>15.883766369859186</v>
      </c>
    </row>
    <row r="89" spans="1:19" x14ac:dyDescent="0.3">
      <c r="A89" s="344">
        <v>16</v>
      </c>
      <c r="B89" s="344">
        <v>12</v>
      </c>
      <c r="C89" s="345">
        <v>22.908000000000001</v>
      </c>
      <c r="D89" s="345">
        <v>22.8</v>
      </c>
      <c r="E89" s="345">
        <v>1.802</v>
      </c>
      <c r="F89" s="345">
        <v>26.1</v>
      </c>
      <c r="G89" s="345">
        <v>20.7</v>
      </c>
      <c r="H89" s="345">
        <f t="shared" si="6"/>
        <v>23.927577481378112</v>
      </c>
      <c r="I89" s="345">
        <f t="shared" si="7"/>
        <v>21.888422518621891</v>
      </c>
      <c r="J89" s="339"/>
      <c r="K89" s="344">
        <v>14</v>
      </c>
      <c r="L89" s="344">
        <v>45</v>
      </c>
      <c r="M89" s="345">
        <v>16.462</v>
      </c>
      <c r="N89" s="345">
        <v>16.399999999999999</v>
      </c>
      <c r="O89" s="345">
        <v>1.375</v>
      </c>
      <c r="P89" s="345">
        <v>20</v>
      </c>
      <c r="Q89" s="345">
        <v>13.7</v>
      </c>
      <c r="R89" s="345">
        <f t="shared" si="10"/>
        <v>16.863746879957461</v>
      </c>
      <c r="S89" s="345">
        <f t="shared" si="11"/>
        <v>16.060253120042539</v>
      </c>
    </row>
    <row r="90" spans="1:19" x14ac:dyDescent="0.3">
      <c r="A90" s="344">
        <v>17</v>
      </c>
      <c r="B90" s="344">
        <v>4</v>
      </c>
      <c r="C90" s="345">
        <v>23.625</v>
      </c>
      <c r="D90" s="345">
        <v>23.65</v>
      </c>
      <c r="E90" s="345">
        <v>0.58499999999999996</v>
      </c>
      <c r="F90" s="345">
        <v>24.3</v>
      </c>
      <c r="G90" s="345">
        <v>22.9</v>
      </c>
      <c r="H90" s="345">
        <f t="shared" si="6"/>
        <v>24.1983</v>
      </c>
      <c r="I90" s="345">
        <f t="shared" si="7"/>
        <v>23.0517</v>
      </c>
      <c r="J90" s="339"/>
      <c r="K90" s="344">
        <v>15</v>
      </c>
      <c r="L90" s="344">
        <v>12</v>
      </c>
      <c r="M90" s="345">
        <v>16.574999999999999</v>
      </c>
      <c r="N90" s="345">
        <v>16.899999999999999</v>
      </c>
      <c r="O90" s="345">
        <v>1.256</v>
      </c>
      <c r="P90" s="345">
        <v>18.7</v>
      </c>
      <c r="Q90" s="345">
        <v>14.7</v>
      </c>
      <c r="R90" s="345">
        <f t="shared" si="10"/>
        <v>17.285648899340124</v>
      </c>
      <c r="S90" s="345">
        <f t="shared" si="11"/>
        <v>15.864351100659873</v>
      </c>
    </row>
    <row r="91" spans="1:19" x14ac:dyDescent="0.3">
      <c r="A91" s="349">
        <v>18</v>
      </c>
      <c r="B91" s="349">
        <v>2</v>
      </c>
      <c r="C91" s="350">
        <v>22.9</v>
      </c>
      <c r="D91" s="350">
        <v>22.9</v>
      </c>
      <c r="E91" s="350">
        <v>2.6869999999999998</v>
      </c>
      <c r="F91" s="350">
        <v>24.8</v>
      </c>
      <c r="G91" s="350">
        <v>21</v>
      </c>
      <c r="H91" s="350">
        <f t="shared" si="6"/>
        <v>26.623992005254575</v>
      </c>
      <c r="I91" s="350">
        <f t="shared" si="7"/>
        <v>19.176007994745422</v>
      </c>
      <c r="J91" s="339"/>
      <c r="K91" s="344">
        <v>16</v>
      </c>
      <c r="L91" s="344">
        <v>13</v>
      </c>
      <c r="M91" s="345">
        <v>16.8</v>
      </c>
      <c r="N91" s="345">
        <v>17.100000000000001</v>
      </c>
      <c r="O91" s="345">
        <v>1.1779999999999999</v>
      </c>
      <c r="P91" s="345">
        <v>18.8</v>
      </c>
      <c r="Q91" s="345">
        <v>15.3</v>
      </c>
      <c r="R91" s="345">
        <f t="shared" si="10"/>
        <v>17.440368094530253</v>
      </c>
      <c r="S91" s="345">
        <f t="shared" si="11"/>
        <v>16.159631905469748</v>
      </c>
    </row>
    <row r="92" spans="1:19" x14ac:dyDescent="0.3">
      <c r="A92" s="344"/>
      <c r="B92" s="344"/>
      <c r="C92" s="345"/>
      <c r="D92" s="345"/>
      <c r="E92" s="345"/>
      <c r="F92" s="345"/>
      <c r="G92" s="345"/>
      <c r="H92" s="345"/>
      <c r="I92" s="345"/>
      <c r="J92" s="339"/>
      <c r="K92" s="344">
        <v>17</v>
      </c>
      <c r="L92" s="344">
        <v>4</v>
      </c>
      <c r="M92" s="345">
        <v>15.75</v>
      </c>
      <c r="N92" s="345">
        <v>15.55</v>
      </c>
      <c r="O92" s="345">
        <v>0.88900000000000001</v>
      </c>
      <c r="P92" s="345">
        <v>16.899999999999999</v>
      </c>
      <c r="Q92" s="345">
        <v>15</v>
      </c>
      <c r="R92" s="345">
        <f t="shared" si="10"/>
        <v>16.621220000000001</v>
      </c>
      <c r="S92" s="345">
        <f t="shared" si="11"/>
        <v>14.878780000000001</v>
      </c>
    </row>
    <row r="93" spans="1:19" x14ac:dyDescent="0.3">
      <c r="A93" s="344"/>
      <c r="B93" s="344"/>
      <c r="C93" s="345"/>
      <c r="D93" s="345"/>
      <c r="E93" s="345"/>
      <c r="F93" s="345"/>
      <c r="G93" s="345"/>
      <c r="H93" s="345"/>
      <c r="I93" s="345"/>
      <c r="J93" s="339"/>
      <c r="K93" s="349">
        <v>18</v>
      </c>
      <c r="L93" s="349">
        <v>2</v>
      </c>
      <c r="M93" s="350">
        <v>17.75</v>
      </c>
      <c r="N93" s="350">
        <v>17.75</v>
      </c>
      <c r="O93" s="350">
        <v>0.91900000000000004</v>
      </c>
      <c r="P93" s="350">
        <v>18.399999999999999</v>
      </c>
      <c r="Q93" s="350">
        <v>17.100000000000001</v>
      </c>
      <c r="R93" s="350">
        <f t="shared" si="10"/>
        <v>19.023669018544457</v>
      </c>
      <c r="S93" s="350">
        <f t="shared" si="11"/>
        <v>16.476330981455543</v>
      </c>
    </row>
    <row r="94" spans="1:19" x14ac:dyDescent="0.3">
      <c r="A94" s="344"/>
      <c r="B94" s="344"/>
      <c r="C94" s="345"/>
      <c r="D94" s="345"/>
      <c r="E94" s="345"/>
      <c r="F94" s="345"/>
      <c r="G94" s="345"/>
      <c r="H94" s="345"/>
      <c r="I94" s="345"/>
      <c r="J94" s="339"/>
      <c r="K94" s="344"/>
      <c r="L94" s="344"/>
      <c r="M94" s="345"/>
      <c r="N94" s="345"/>
      <c r="O94" s="345"/>
      <c r="P94" s="345"/>
      <c r="Q94" s="345"/>
      <c r="R94" s="345"/>
      <c r="S94" s="345"/>
    </row>
    <row r="95" spans="1:19" x14ac:dyDescent="0.3">
      <c r="A95" s="346" t="s">
        <v>663</v>
      </c>
      <c r="B95" s="344"/>
      <c r="C95" s="345"/>
      <c r="D95" s="345"/>
      <c r="E95" s="345"/>
      <c r="F95" s="345"/>
      <c r="G95" s="345"/>
      <c r="H95" s="345"/>
      <c r="I95" s="345"/>
      <c r="J95" s="339"/>
      <c r="K95" s="344"/>
      <c r="L95" s="344"/>
      <c r="M95" s="345"/>
      <c r="N95" s="345"/>
      <c r="O95" s="345"/>
      <c r="P95" s="345"/>
      <c r="Q95" s="345"/>
      <c r="R95" s="345"/>
      <c r="S95" s="345"/>
    </row>
    <row r="96" spans="1:19" x14ac:dyDescent="0.3">
      <c r="A96" s="347" t="s">
        <v>514</v>
      </c>
      <c r="B96" s="347" t="s">
        <v>649</v>
      </c>
      <c r="C96" s="348" t="s">
        <v>650</v>
      </c>
      <c r="D96" s="348" t="s">
        <v>651</v>
      </c>
      <c r="E96" s="348" t="s">
        <v>652</v>
      </c>
      <c r="F96" s="348" t="s">
        <v>653</v>
      </c>
      <c r="G96" s="348" t="s">
        <v>654</v>
      </c>
      <c r="H96" s="348" t="s">
        <v>655</v>
      </c>
      <c r="I96" s="348" t="s">
        <v>656</v>
      </c>
      <c r="J96" s="339"/>
      <c r="K96" s="346" t="s">
        <v>673</v>
      </c>
      <c r="L96" s="344"/>
      <c r="M96" s="345"/>
      <c r="N96" s="345"/>
      <c r="O96" s="345"/>
      <c r="P96" s="345"/>
      <c r="Q96" s="345"/>
      <c r="R96" s="345"/>
      <c r="S96" s="345"/>
    </row>
    <row r="97" spans="1:19" x14ac:dyDescent="0.3">
      <c r="A97" s="344">
        <v>7</v>
      </c>
      <c r="B97" s="344">
        <v>1</v>
      </c>
      <c r="C97" s="345">
        <v>13.9</v>
      </c>
      <c r="D97" s="345">
        <v>13.9</v>
      </c>
      <c r="E97" s="345" t="s">
        <v>657</v>
      </c>
      <c r="F97" s="345">
        <v>13.9</v>
      </c>
      <c r="G97" s="345">
        <v>13.9</v>
      </c>
      <c r="H97" s="345"/>
      <c r="I97" s="345"/>
      <c r="J97" s="339"/>
      <c r="K97" s="347" t="s">
        <v>514</v>
      </c>
      <c r="L97" s="347" t="s">
        <v>649</v>
      </c>
      <c r="M97" s="348" t="s">
        <v>650</v>
      </c>
      <c r="N97" s="348" t="s">
        <v>651</v>
      </c>
      <c r="O97" s="348" t="s">
        <v>652</v>
      </c>
      <c r="P97" s="348" t="s">
        <v>653</v>
      </c>
      <c r="Q97" s="348" t="s">
        <v>654</v>
      </c>
      <c r="R97" s="348" t="s">
        <v>655</v>
      </c>
      <c r="S97" s="348" t="s">
        <v>656</v>
      </c>
    </row>
    <row r="98" spans="1:19" x14ac:dyDescent="0.3">
      <c r="A98" s="344">
        <v>8</v>
      </c>
      <c r="B98" s="344">
        <v>10</v>
      </c>
      <c r="C98" s="345">
        <v>14.76</v>
      </c>
      <c r="D98" s="345">
        <v>14.8</v>
      </c>
      <c r="E98" s="345">
        <v>0.67700000000000005</v>
      </c>
      <c r="F98" s="345">
        <v>15.6</v>
      </c>
      <c r="G98" s="345">
        <v>13.6</v>
      </c>
      <c r="H98" s="345">
        <f t="shared" ref="H98:H139" si="12">C98+(1.96*E98)/(B98)^0.5</f>
        <v>15.179608947283063</v>
      </c>
      <c r="I98" s="345">
        <f t="shared" ref="I98:I139" si="13">C98-(1.96*E98)/(B98)^0.5</f>
        <v>14.340391052716937</v>
      </c>
      <c r="J98" s="339"/>
      <c r="K98" s="344">
        <v>7</v>
      </c>
      <c r="L98" s="344">
        <v>1</v>
      </c>
      <c r="M98" s="345">
        <v>20</v>
      </c>
      <c r="N98" s="345">
        <v>20</v>
      </c>
      <c r="O98" s="345" t="s">
        <v>657</v>
      </c>
      <c r="P98" s="345">
        <v>20</v>
      </c>
      <c r="Q98" s="345">
        <v>20</v>
      </c>
      <c r="R98" s="345"/>
      <c r="S98" s="345"/>
    </row>
    <row r="99" spans="1:19" x14ac:dyDescent="0.3">
      <c r="A99" s="344">
        <v>9</v>
      </c>
      <c r="B99" s="344">
        <v>17</v>
      </c>
      <c r="C99" s="345">
        <v>15.882</v>
      </c>
      <c r="D99" s="345">
        <v>15.9</v>
      </c>
      <c r="E99" s="345">
        <v>0.92800000000000005</v>
      </c>
      <c r="F99" s="345">
        <v>17.100000000000001</v>
      </c>
      <c r="G99" s="345">
        <v>13.5</v>
      </c>
      <c r="H99" s="345">
        <f t="shared" si="12"/>
        <v>16.323143197666084</v>
      </c>
      <c r="I99" s="345">
        <f t="shared" si="13"/>
        <v>15.440856802333915</v>
      </c>
      <c r="J99" s="339"/>
      <c r="K99" s="344">
        <v>8</v>
      </c>
      <c r="L99" s="344">
        <v>10</v>
      </c>
      <c r="M99" s="345">
        <v>20.61</v>
      </c>
      <c r="N99" s="345">
        <v>20.2</v>
      </c>
      <c r="O99" s="345">
        <v>2.266</v>
      </c>
      <c r="P99" s="345">
        <v>25.3</v>
      </c>
      <c r="Q99" s="345">
        <v>17.899999999999999</v>
      </c>
      <c r="R99" s="345">
        <f t="shared" si="10"/>
        <v>22.014481350876544</v>
      </c>
      <c r="S99" s="345">
        <f t="shared" si="11"/>
        <v>19.205518649123455</v>
      </c>
    </row>
    <row r="100" spans="1:19" x14ac:dyDescent="0.3">
      <c r="A100" s="344">
        <v>10</v>
      </c>
      <c r="B100" s="344">
        <v>22</v>
      </c>
      <c r="C100" s="345">
        <v>16.677</v>
      </c>
      <c r="D100" s="345">
        <v>16.55</v>
      </c>
      <c r="E100" s="345">
        <v>1.0389999999999999</v>
      </c>
      <c r="F100" s="345">
        <v>18.899999999999999</v>
      </c>
      <c r="G100" s="345">
        <v>15.2</v>
      </c>
      <c r="H100" s="345">
        <f t="shared" si="12"/>
        <v>17.111170466815217</v>
      </c>
      <c r="I100" s="345">
        <f t="shared" si="13"/>
        <v>16.242829533184782</v>
      </c>
      <c r="J100" s="339"/>
      <c r="K100" s="344">
        <v>9</v>
      </c>
      <c r="L100" s="344">
        <v>17</v>
      </c>
      <c r="M100" s="345">
        <v>21.888000000000002</v>
      </c>
      <c r="N100" s="345">
        <v>21.6</v>
      </c>
      <c r="O100" s="345">
        <v>1.56</v>
      </c>
      <c r="P100" s="345">
        <v>24.5</v>
      </c>
      <c r="Q100" s="345">
        <v>19</v>
      </c>
      <c r="R100" s="345">
        <f t="shared" si="10"/>
        <v>22.629576927111092</v>
      </c>
      <c r="S100" s="345">
        <f t="shared" si="11"/>
        <v>21.146423072888911</v>
      </c>
    </row>
    <row r="101" spans="1:19" x14ac:dyDescent="0.3">
      <c r="A101" s="344">
        <v>11</v>
      </c>
      <c r="B101" s="344">
        <v>20</v>
      </c>
      <c r="C101" s="345">
        <v>17.375</v>
      </c>
      <c r="D101" s="345">
        <v>17.25</v>
      </c>
      <c r="E101" s="345">
        <v>0.92400000000000004</v>
      </c>
      <c r="F101" s="345">
        <v>19.100000000000001</v>
      </c>
      <c r="G101" s="345">
        <v>15.2</v>
      </c>
      <c r="H101" s="345">
        <f t="shared" si="12"/>
        <v>17.779960854997121</v>
      </c>
      <c r="I101" s="345">
        <f t="shared" si="13"/>
        <v>16.970039145002879</v>
      </c>
      <c r="J101" s="339"/>
      <c r="K101" s="344">
        <v>10</v>
      </c>
      <c r="L101" s="344">
        <v>22</v>
      </c>
      <c r="M101" s="345">
        <v>22.876999999999999</v>
      </c>
      <c r="N101" s="345">
        <v>22.75</v>
      </c>
      <c r="O101" s="345">
        <v>1.895</v>
      </c>
      <c r="P101" s="345">
        <v>28.6</v>
      </c>
      <c r="Q101" s="345">
        <v>20</v>
      </c>
      <c r="R101" s="345">
        <f t="shared" si="10"/>
        <v>23.668870100688007</v>
      </c>
      <c r="S101" s="345">
        <f t="shared" si="11"/>
        <v>22.08512989931199</v>
      </c>
    </row>
    <row r="102" spans="1:19" x14ac:dyDescent="0.3">
      <c r="A102" s="344">
        <v>12</v>
      </c>
      <c r="B102" s="344">
        <v>39</v>
      </c>
      <c r="C102" s="345">
        <v>17.553999999999998</v>
      </c>
      <c r="D102" s="345">
        <v>17.600000000000001</v>
      </c>
      <c r="E102" s="345">
        <v>0.97399999999999998</v>
      </c>
      <c r="F102" s="345">
        <v>19.899999999999999</v>
      </c>
      <c r="G102" s="345">
        <v>15.4</v>
      </c>
      <c r="H102" s="345">
        <f t="shared" si="12"/>
        <v>17.859691050740061</v>
      </c>
      <c r="I102" s="345">
        <f t="shared" si="13"/>
        <v>17.248308949259936</v>
      </c>
      <c r="J102" s="339"/>
      <c r="K102" s="344">
        <v>11</v>
      </c>
      <c r="L102" s="344">
        <v>21</v>
      </c>
      <c r="M102" s="345">
        <v>23.824000000000002</v>
      </c>
      <c r="N102" s="345">
        <v>24.2</v>
      </c>
      <c r="O102" s="345">
        <v>2.0489999999999999</v>
      </c>
      <c r="P102" s="345">
        <v>27.3</v>
      </c>
      <c r="Q102" s="345">
        <v>20.2</v>
      </c>
      <c r="R102" s="345">
        <f t="shared" si="10"/>
        <v>24.700371775903356</v>
      </c>
      <c r="S102" s="345">
        <f t="shared" si="11"/>
        <v>22.947628224096647</v>
      </c>
    </row>
    <row r="103" spans="1:19" x14ac:dyDescent="0.3">
      <c r="A103" s="344">
        <v>13</v>
      </c>
      <c r="B103" s="344">
        <v>41</v>
      </c>
      <c r="C103" s="345">
        <v>17.998000000000001</v>
      </c>
      <c r="D103" s="345">
        <v>18</v>
      </c>
      <c r="E103" s="345">
        <v>0.82699999999999996</v>
      </c>
      <c r="F103" s="345">
        <v>19.7</v>
      </c>
      <c r="G103" s="345">
        <v>16.2</v>
      </c>
      <c r="H103" s="345">
        <f t="shared" si="12"/>
        <v>18.251145174120481</v>
      </c>
      <c r="I103" s="345">
        <f t="shared" si="13"/>
        <v>17.744854825879521</v>
      </c>
      <c r="J103" s="339"/>
      <c r="K103" s="344">
        <v>12</v>
      </c>
      <c r="L103" s="344">
        <v>39</v>
      </c>
      <c r="M103" s="345">
        <v>24.477</v>
      </c>
      <c r="N103" s="345">
        <v>25</v>
      </c>
      <c r="O103" s="345">
        <v>1.925</v>
      </c>
      <c r="P103" s="345">
        <v>28.6</v>
      </c>
      <c r="Q103" s="345">
        <v>19.899999999999999</v>
      </c>
      <c r="R103" s="345">
        <f t="shared" si="10"/>
        <v>25.081163524306593</v>
      </c>
      <c r="S103" s="345">
        <f t="shared" si="11"/>
        <v>23.872836475693408</v>
      </c>
    </row>
    <row r="104" spans="1:19" x14ac:dyDescent="0.3">
      <c r="A104" s="344">
        <v>14</v>
      </c>
      <c r="B104" s="344">
        <v>45</v>
      </c>
      <c r="C104" s="345">
        <v>18.071000000000002</v>
      </c>
      <c r="D104" s="345">
        <v>18.2</v>
      </c>
      <c r="E104" s="345">
        <v>0.75</v>
      </c>
      <c r="F104" s="345">
        <v>20.2</v>
      </c>
      <c r="G104" s="345">
        <v>15.8</v>
      </c>
      <c r="H104" s="345">
        <f t="shared" si="12"/>
        <v>18.29013466179498</v>
      </c>
      <c r="I104" s="345">
        <f t="shared" si="13"/>
        <v>17.851865338205023</v>
      </c>
      <c r="J104" s="339"/>
      <c r="K104" s="344">
        <v>13</v>
      </c>
      <c r="L104" s="344">
        <v>41</v>
      </c>
      <c r="M104" s="345">
        <v>25.649000000000001</v>
      </c>
      <c r="N104" s="345">
        <v>25.4</v>
      </c>
      <c r="O104" s="345">
        <v>1.72</v>
      </c>
      <c r="P104" s="345">
        <v>30.7</v>
      </c>
      <c r="Q104" s="345">
        <v>22.2</v>
      </c>
      <c r="R104" s="345">
        <f t="shared" si="10"/>
        <v>26.175492986078869</v>
      </c>
      <c r="S104" s="345">
        <f t="shared" si="11"/>
        <v>25.122507013921133</v>
      </c>
    </row>
    <row r="105" spans="1:19" x14ac:dyDescent="0.3">
      <c r="A105" s="344">
        <v>15</v>
      </c>
      <c r="B105" s="344">
        <v>12</v>
      </c>
      <c r="C105" s="345">
        <v>17.667000000000002</v>
      </c>
      <c r="D105" s="345">
        <v>17.75</v>
      </c>
      <c r="E105" s="345">
        <v>0.59399999999999997</v>
      </c>
      <c r="F105" s="345">
        <v>18.8</v>
      </c>
      <c r="G105" s="345">
        <v>16.5</v>
      </c>
      <c r="H105" s="345">
        <f t="shared" si="12"/>
        <v>18.003087138700668</v>
      </c>
      <c r="I105" s="345">
        <f t="shared" si="13"/>
        <v>17.330912861299336</v>
      </c>
      <c r="J105" s="339"/>
      <c r="K105" s="344">
        <v>14</v>
      </c>
      <c r="L105" s="344">
        <v>45</v>
      </c>
      <c r="M105" s="345">
        <v>26.393000000000001</v>
      </c>
      <c r="N105" s="345">
        <v>26.3</v>
      </c>
      <c r="O105" s="345">
        <v>1.6919999999999999</v>
      </c>
      <c r="P105" s="345">
        <v>30.4</v>
      </c>
      <c r="Q105" s="345">
        <v>22.2</v>
      </c>
      <c r="R105" s="345">
        <f t="shared" si="10"/>
        <v>26.887367797009475</v>
      </c>
      <c r="S105" s="345">
        <f t="shared" si="11"/>
        <v>25.898632202990527</v>
      </c>
    </row>
    <row r="106" spans="1:19" x14ac:dyDescent="0.3">
      <c r="A106" s="344">
        <v>16</v>
      </c>
      <c r="B106" s="344">
        <v>12</v>
      </c>
      <c r="C106" s="345">
        <v>18.242000000000001</v>
      </c>
      <c r="D106" s="345">
        <v>17.95</v>
      </c>
      <c r="E106" s="345">
        <v>0.77</v>
      </c>
      <c r="F106" s="345">
        <v>19.8</v>
      </c>
      <c r="G106" s="345">
        <v>17.5</v>
      </c>
      <c r="H106" s="345">
        <f t="shared" si="12"/>
        <v>18.677668513130492</v>
      </c>
      <c r="I106" s="345">
        <f t="shared" si="13"/>
        <v>17.80633148686951</v>
      </c>
      <c r="J106" s="339"/>
      <c r="K106" s="344">
        <v>15</v>
      </c>
      <c r="L106" s="344">
        <v>12</v>
      </c>
      <c r="M106" s="345">
        <v>26.35</v>
      </c>
      <c r="N106" s="345">
        <v>25.8</v>
      </c>
      <c r="O106" s="345">
        <v>1.5049999999999999</v>
      </c>
      <c r="P106" s="345">
        <v>29</v>
      </c>
      <c r="Q106" s="345">
        <v>24.4</v>
      </c>
      <c r="R106" s="345">
        <f t="shared" si="10"/>
        <v>27.201533912027781</v>
      </c>
      <c r="S106" s="345">
        <f t="shared" si="11"/>
        <v>25.498466087972222</v>
      </c>
    </row>
    <row r="107" spans="1:19" x14ac:dyDescent="0.3">
      <c r="A107" s="344">
        <v>17</v>
      </c>
      <c r="B107" s="344">
        <v>4</v>
      </c>
      <c r="C107" s="345">
        <v>18.024999999999999</v>
      </c>
      <c r="D107" s="345">
        <v>18.25</v>
      </c>
      <c r="E107" s="345">
        <v>0.97799999999999998</v>
      </c>
      <c r="F107" s="345">
        <v>18.899999999999999</v>
      </c>
      <c r="G107" s="345">
        <v>16.7</v>
      </c>
      <c r="H107" s="345">
        <f t="shared" si="12"/>
        <v>18.983439999999998</v>
      </c>
      <c r="I107" s="345">
        <f t="shared" si="13"/>
        <v>17.066559999999999</v>
      </c>
      <c r="J107" s="339"/>
      <c r="K107" s="344">
        <v>16</v>
      </c>
      <c r="L107" s="344">
        <v>13</v>
      </c>
      <c r="M107" s="345">
        <v>26.692</v>
      </c>
      <c r="N107" s="345">
        <v>26.5</v>
      </c>
      <c r="O107" s="345">
        <v>1.9510000000000001</v>
      </c>
      <c r="P107" s="345">
        <v>31.2</v>
      </c>
      <c r="Q107" s="345">
        <v>24.4</v>
      </c>
      <c r="R107" s="345">
        <f t="shared" si="10"/>
        <v>27.752575681178715</v>
      </c>
      <c r="S107" s="345">
        <f t="shared" si="11"/>
        <v>25.631424318821285</v>
      </c>
    </row>
    <row r="108" spans="1:19" x14ac:dyDescent="0.3">
      <c r="A108" s="349">
        <v>18</v>
      </c>
      <c r="B108" s="349">
        <v>2</v>
      </c>
      <c r="C108" s="350">
        <v>17.5</v>
      </c>
      <c r="D108" s="350">
        <v>17.5</v>
      </c>
      <c r="E108" s="350">
        <v>2.121</v>
      </c>
      <c r="F108" s="350">
        <v>19</v>
      </c>
      <c r="G108" s="350">
        <v>16</v>
      </c>
      <c r="H108" s="350">
        <f t="shared" si="12"/>
        <v>20.439556026477469</v>
      </c>
      <c r="I108" s="350">
        <f t="shared" si="13"/>
        <v>14.560443973522531</v>
      </c>
      <c r="J108" s="339"/>
      <c r="K108" s="344">
        <v>17</v>
      </c>
      <c r="L108" s="344">
        <v>4</v>
      </c>
      <c r="M108" s="345">
        <v>25.324999999999999</v>
      </c>
      <c r="N108" s="345">
        <v>25.05</v>
      </c>
      <c r="O108" s="345">
        <v>0.82599999999999996</v>
      </c>
      <c r="P108" s="345">
        <v>26.5</v>
      </c>
      <c r="Q108" s="345">
        <v>24.7</v>
      </c>
      <c r="R108" s="345">
        <f t="shared" si="10"/>
        <v>26.13448</v>
      </c>
      <c r="S108" s="345">
        <f t="shared" si="11"/>
        <v>24.515519999999999</v>
      </c>
    </row>
    <row r="109" spans="1:19" x14ac:dyDescent="0.3">
      <c r="A109" s="344"/>
      <c r="B109" s="344"/>
      <c r="C109" s="345"/>
      <c r="D109" s="345"/>
      <c r="E109" s="345"/>
      <c r="F109" s="345"/>
      <c r="G109" s="345"/>
      <c r="H109" s="345"/>
      <c r="I109" s="345"/>
      <c r="J109" s="339"/>
      <c r="K109" s="349">
        <v>18</v>
      </c>
      <c r="L109" s="349">
        <v>2</v>
      </c>
      <c r="M109" s="350">
        <v>28.25</v>
      </c>
      <c r="N109" s="350">
        <v>28.25</v>
      </c>
      <c r="O109" s="350">
        <v>0.91900000000000004</v>
      </c>
      <c r="P109" s="350">
        <v>28.9</v>
      </c>
      <c r="Q109" s="350">
        <v>27.6</v>
      </c>
      <c r="R109" s="350">
        <f t="shared" si="10"/>
        <v>29.523669018544457</v>
      </c>
      <c r="S109" s="350">
        <f t="shared" si="11"/>
        <v>26.976330981455543</v>
      </c>
    </row>
    <row r="110" spans="1:19" x14ac:dyDescent="0.3">
      <c r="A110" s="344"/>
      <c r="B110" s="344"/>
      <c r="C110" s="345"/>
      <c r="D110" s="345"/>
      <c r="E110" s="345"/>
      <c r="F110" s="345"/>
      <c r="G110" s="345"/>
      <c r="H110" s="345"/>
      <c r="I110" s="345"/>
      <c r="J110" s="339"/>
      <c r="K110" s="344"/>
      <c r="L110" s="344"/>
      <c r="M110" s="345"/>
      <c r="N110" s="345"/>
      <c r="O110" s="345"/>
      <c r="P110" s="345"/>
      <c r="Q110" s="345"/>
      <c r="R110" s="345"/>
      <c r="S110" s="345"/>
    </row>
    <row r="111" spans="1:19" x14ac:dyDescent="0.3">
      <c r="A111" s="346" t="s">
        <v>664</v>
      </c>
      <c r="B111" s="344"/>
      <c r="C111" s="345"/>
      <c r="D111" s="345"/>
      <c r="E111" s="345"/>
      <c r="F111" s="345"/>
      <c r="G111" s="345"/>
      <c r="H111" s="345"/>
      <c r="I111" s="345"/>
      <c r="J111" s="339"/>
      <c r="K111" s="344"/>
      <c r="L111" s="344"/>
      <c r="M111" s="345"/>
      <c r="N111" s="345"/>
      <c r="O111" s="345"/>
      <c r="P111" s="345"/>
      <c r="Q111" s="345"/>
      <c r="R111" s="345"/>
      <c r="S111" s="345"/>
    </row>
    <row r="112" spans="1:19" x14ac:dyDescent="0.3">
      <c r="A112" s="347" t="s">
        <v>514</v>
      </c>
      <c r="B112" s="347" t="s">
        <v>649</v>
      </c>
      <c r="C112" s="348" t="s">
        <v>650</v>
      </c>
      <c r="D112" s="348" t="s">
        <v>651</v>
      </c>
      <c r="E112" s="348" t="s">
        <v>652</v>
      </c>
      <c r="F112" s="348" t="s">
        <v>653</v>
      </c>
      <c r="G112" s="348" t="s">
        <v>654</v>
      </c>
      <c r="H112" s="348" t="s">
        <v>655</v>
      </c>
      <c r="I112" s="348" t="s">
        <v>656</v>
      </c>
      <c r="J112" s="339"/>
      <c r="K112" s="346" t="s">
        <v>674</v>
      </c>
      <c r="L112" s="344"/>
      <c r="M112" s="345"/>
      <c r="N112" s="345"/>
      <c r="O112" s="345"/>
      <c r="P112" s="345"/>
      <c r="Q112" s="345"/>
      <c r="R112" s="345"/>
      <c r="S112" s="345"/>
    </row>
    <row r="113" spans="1:19" x14ac:dyDescent="0.3">
      <c r="A113" s="344">
        <v>7</v>
      </c>
      <c r="B113" s="344">
        <v>1</v>
      </c>
      <c r="C113" s="345">
        <v>65.2</v>
      </c>
      <c r="D113" s="345">
        <v>65.2</v>
      </c>
      <c r="E113" s="345" t="s">
        <v>657</v>
      </c>
      <c r="F113" s="345">
        <v>65.2</v>
      </c>
      <c r="G113" s="345">
        <v>65.2</v>
      </c>
      <c r="H113" s="345"/>
      <c r="I113" s="345"/>
      <c r="J113" s="339"/>
      <c r="K113" s="347" t="s">
        <v>514</v>
      </c>
      <c r="L113" s="347" t="s">
        <v>649</v>
      </c>
      <c r="M113" s="348" t="s">
        <v>650</v>
      </c>
      <c r="N113" s="348" t="s">
        <v>651</v>
      </c>
      <c r="O113" s="348" t="s">
        <v>652</v>
      </c>
      <c r="P113" s="348" t="s">
        <v>653</v>
      </c>
      <c r="Q113" s="348" t="s">
        <v>654</v>
      </c>
      <c r="R113" s="348" t="s">
        <v>655</v>
      </c>
      <c r="S113" s="348" t="s">
        <v>656</v>
      </c>
    </row>
    <row r="114" spans="1:19" x14ac:dyDescent="0.3">
      <c r="A114" s="344">
        <v>8</v>
      </c>
      <c r="B114" s="344">
        <v>10</v>
      </c>
      <c r="C114" s="345">
        <v>70.53</v>
      </c>
      <c r="D114" s="345">
        <v>70.75</v>
      </c>
      <c r="E114" s="345">
        <v>5.1790000000000003</v>
      </c>
      <c r="F114" s="345">
        <v>78.900000000000006</v>
      </c>
      <c r="G114" s="345">
        <v>60</v>
      </c>
      <c r="H114" s="345">
        <f t="shared" si="12"/>
        <v>73.739977456394357</v>
      </c>
      <c r="I114" s="345">
        <f t="shared" si="13"/>
        <v>67.320022543605646</v>
      </c>
      <c r="J114" s="339"/>
      <c r="K114" s="344">
        <v>7</v>
      </c>
      <c r="L114" s="344">
        <v>1</v>
      </c>
      <c r="M114" s="345">
        <v>5.5</v>
      </c>
      <c r="N114" s="345">
        <v>5.5</v>
      </c>
      <c r="O114" s="345" t="s">
        <v>657</v>
      </c>
      <c r="P114" s="345">
        <v>5.5</v>
      </c>
      <c r="Q114" s="345">
        <v>5.5</v>
      </c>
      <c r="R114" s="345"/>
      <c r="S114" s="345"/>
    </row>
    <row r="115" spans="1:19" x14ac:dyDescent="0.3">
      <c r="A115" s="344">
        <v>9</v>
      </c>
      <c r="B115" s="344">
        <v>17</v>
      </c>
      <c r="C115" s="345">
        <v>75.994</v>
      </c>
      <c r="D115" s="345">
        <v>75.599999999999994</v>
      </c>
      <c r="E115" s="345">
        <v>4.2679999999999998</v>
      </c>
      <c r="F115" s="345">
        <v>84</v>
      </c>
      <c r="G115" s="345">
        <v>69</v>
      </c>
      <c r="H115" s="345">
        <f t="shared" si="12"/>
        <v>78.02287841340393</v>
      </c>
      <c r="I115" s="345">
        <f t="shared" si="13"/>
        <v>73.965121586596069</v>
      </c>
      <c r="J115" s="339"/>
      <c r="K115" s="344">
        <v>8</v>
      </c>
      <c r="L115" s="344">
        <v>10</v>
      </c>
      <c r="M115" s="345">
        <v>5.38</v>
      </c>
      <c r="N115" s="345">
        <v>5.3</v>
      </c>
      <c r="O115" s="345">
        <v>0.55700000000000005</v>
      </c>
      <c r="P115" s="345">
        <v>6.7</v>
      </c>
      <c r="Q115" s="345">
        <v>4.7</v>
      </c>
      <c r="R115" s="345">
        <f t="shared" ref="R115:R173" si="14">M115+(1.96*O115)/(L115)^0.5</f>
        <v>5.7252321767159025</v>
      </c>
      <c r="S115" s="345">
        <f t="shared" ref="S115:S173" si="15">M115-(1.96*O115)/(L115)^0.5</f>
        <v>5.0347678232840973</v>
      </c>
    </row>
    <row r="116" spans="1:19" x14ac:dyDescent="0.3">
      <c r="A116" s="344">
        <v>10</v>
      </c>
      <c r="B116" s="344">
        <v>21</v>
      </c>
      <c r="C116" s="345">
        <v>79.290000000000006</v>
      </c>
      <c r="D116" s="345">
        <v>79.400000000000006</v>
      </c>
      <c r="E116" s="345">
        <v>3.5</v>
      </c>
      <c r="F116" s="345">
        <v>86.3</v>
      </c>
      <c r="G116" s="345">
        <v>71.099999999999994</v>
      </c>
      <c r="H116" s="345">
        <f t="shared" si="12"/>
        <v>80.786974727018915</v>
      </c>
      <c r="I116" s="345">
        <f t="shared" si="13"/>
        <v>77.793025272981097</v>
      </c>
      <c r="J116" s="339"/>
      <c r="K116" s="344">
        <v>9</v>
      </c>
      <c r="L116" s="344">
        <v>17</v>
      </c>
      <c r="M116" s="345">
        <v>5.524</v>
      </c>
      <c r="N116" s="345">
        <v>5.5</v>
      </c>
      <c r="O116" s="345">
        <v>0.29899999999999999</v>
      </c>
      <c r="P116" s="345">
        <v>6.1</v>
      </c>
      <c r="Q116" s="345">
        <v>5.0999999999999996</v>
      </c>
      <c r="R116" s="345">
        <f t="shared" si="14"/>
        <v>5.6661355776962923</v>
      </c>
      <c r="S116" s="345">
        <f t="shared" si="15"/>
        <v>5.3818644223037078</v>
      </c>
    </row>
    <row r="117" spans="1:19" x14ac:dyDescent="0.3">
      <c r="A117" s="344">
        <v>11</v>
      </c>
      <c r="B117" s="344">
        <v>20</v>
      </c>
      <c r="C117" s="345">
        <v>82.334999999999994</v>
      </c>
      <c r="D117" s="345">
        <v>82.2</v>
      </c>
      <c r="E117" s="345">
        <v>4.5999999999999996</v>
      </c>
      <c r="F117" s="345">
        <v>88.4</v>
      </c>
      <c r="G117" s="345">
        <v>71.3</v>
      </c>
      <c r="H117" s="345">
        <f t="shared" si="12"/>
        <v>84.351038888513798</v>
      </c>
      <c r="I117" s="345">
        <f t="shared" si="13"/>
        <v>80.318961111486189</v>
      </c>
      <c r="J117" s="339"/>
      <c r="K117" s="344">
        <v>10</v>
      </c>
      <c r="L117" s="344">
        <v>22</v>
      </c>
      <c r="M117" s="345">
        <v>5.8449999999999998</v>
      </c>
      <c r="N117" s="345">
        <v>5.8</v>
      </c>
      <c r="O117" s="345">
        <v>0.32500000000000001</v>
      </c>
      <c r="P117" s="345">
        <v>6.8</v>
      </c>
      <c r="Q117" s="345">
        <v>5.4</v>
      </c>
      <c r="R117" s="345">
        <f t="shared" si="14"/>
        <v>5.9808088563185233</v>
      </c>
      <c r="S117" s="345">
        <f t="shared" si="15"/>
        <v>5.7091911436814762</v>
      </c>
    </row>
    <row r="118" spans="1:19" x14ac:dyDescent="0.3">
      <c r="A118" s="344">
        <v>12</v>
      </c>
      <c r="B118" s="344">
        <v>39</v>
      </c>
      <c r="C118" s="345">
        <v>84.974000000000004</v>
      </c>
      <c r="D118" s="345">
        <v>84.8</v>
      </c>
      <c r="E118" s="345">
        <v>4.9939999999999998</v>
      </c>
      <c r="F118" s="345">
        <v>95.5</v>
      </c>
      <c r="G118" s="345">
        <v>74.7</v>
      </c>
      <c r="H118" s="345">
        <f t="shared" si="12"/>
        <v>86.541372800201117</v>
      </c>
      <c r="I118" s="345">
        <f t="shared" si="13"/>
        <v>83.406627199798891</v>
      </c>
      <c r="J118" s="339"/>
      <c r="K118" s="344">
        <v>11</v>
      </c>
      <c r="L118" s="344">
        <v>21</v>
      </c>
      <c r="M118" s="345">
        <v>5.9480000000000004</v>
      </c>
      <c r="N118" s="345">
        <v>6</v>
      </c>
      <c r="O118" s="345">
        <v>0.40799999999999997</v>
      </c>
      <c r="P118" s="345">
        <v>6.8</v>
      </c>
      <c r="Q118" s="345">
        <v>4.8</v>
      </c>
      <c r="R118" s="345">
        <f t="shared" si="14"/>
        <v>6.1225044824639188</v>
      </c>
      <c r="S118" s="345">
        <f t="shared" si="15"/>
        <v>5.773495517536082</v>
      </c>
    </row>
    <row r="119" spans="1:19" x14ac:dyDescent="0.3">
      <c r="A119" s="344">
        <v>13</v>
      </c>
      <c r="B119" s="344">
        <v>41</v>
      </c>
      <c r="C119" s="345">
        <v>86.067999999999998</v>
      </c>
      <c r="D119" s="345">
        <v>86.5</v>
      </c>
      <c r="E119" s="345">
        <v>3.9359999999999999</v>
      </c>
      <c r="F119" s="345">
        <v>92.1</v>
      </c>
      <c r="G119" s="345">
        <v>75.7</v>
      </c>
      <c r="H119" s="345">
        <f t="shared" si="12"/>
        <v>87.272811856515361</v>
      </c>
      <c r="I119" s="345">
        <f t="shared" si="13"/>
        <v>84.863188143484635</v>
      </c>
      <c r="J119" s="339"/>
      <c r="K119" s="344">
        <v>12</v>
      </c>
      <c r="L119" s="344">
        <v>39</v>
      </c>
      <c r="M119" s="345">
        <v>5.9950000000000001</v>
      </c>
      <c r="N119" s="345">
        <v>6</v>
      </c>
      <c r="O119" s="345">
        <v>0.37</v>
      </c>
      <c r="P119" s="345">
        <v>6.8</v>
      </c>
      <c r="Q119" s="345">
        <v>5</v>
      </c>
      <c r="R119" s="345">
        <f t="shared" si="14"/>
        <v>6.1111249371394489</v>
      </c>
      <c r="S119" s="345">
        <f t="shared" si="15"/>
        <v>5.8788750628605513</v>
      </c>
    </row>
    <row r="120" spans="1:19" x14ac:dyDescent="0.3">
      <c r="A120" s="344">
        <v>14</v>
      </c>
      <c r="B120" s="344">
        <v>45</v>
      </c>
      <c r="C120" s="345">
        <v>87.192999999999998</v>
      </c>
      <c r="D120" s="345">
        <v>87.3</v>
      </c>
      <c r="E120" s="345">
        <v>4.391</v>
      </c>
      <c r="F120" s="345">
        <v>99.1</v>
      </c>
      <c r="G120" s="345">
        <v>78.2</v>
      </c>
      <c r="H120" s="345">
        <f t="shared" si="12"/>
        <v>88.475960399922343</v>
      </c>
      <c r="I120" s="345">
        <f t="shared" si="13"/>
        <v>85.910039600077653</v>
      </c>
      <c r="J120" s="339"/>
      <c r="K120" s="344">
        <v>13</v>
      </c>
      <c r="L120" s="344">
        <v>41</v>
      </c>
      <c r="M120" s="345">
        <v>6.0949999999999998</v>
      </c>
      <c r="N120" s="345">
        <v>6</v>
      </c>
      <c r="O120" s="345">
        <v>0.33</v>
      </c>
      <c r="P120" s="345">
        <v>6.9</v>
      </c>
      <c r="Q120" s="345">
        <v>5.5</v>
      </c>
      <c r="R120" s="345">
        <f t="shared" si="14"/>
        <v>6.19601318918955</v>
      </c>
      <c r="S120" s="345">
        <f t="shared" si="15"/>
        <v>5.9939868108104495</v>
      </c>
    </row>
    <row r="121" spans="1:19" x14ac:dyDescent="0.3">
      <c r="A121" s="344">
        <v>15</v>
      </c>
      <c r="B121" s="344">
        <v>12</v>
      </c>
      <c r="C121" s="345">
        <v>87.075000000000003</v>
      </c>
      <c r="D121" s="345">
        <v>86.9</v>
      </c>
      <c r="E121" s="345">
        <v>2.948</v>
      </c>
      <c r="F121" s="345">
        <v>91.5</v>
      </c>
      <c r="G121" s="345">
        <v>81</v>
      </c>
      <c r="H121" s="345">
        <f t="shared" si="12"/>
        <v>88.742988021699603</v>
      </c>
      <c r="I121" s="345">
        <f t="shared" si="13"/>
        <v>85.407011978300403</v>
      </c>
      <c r="J121" s="339"/>
      <c r="K121" s="344">
        <v>14</v>
      </c>
      <c r="L121" s="344">
        <v>45</v>
      </c>
      <c r="M121" s="345">
        <v>6.0709999999999997</v>
      </c>
      <c r="N121" s="345">
        <v>6.1</v>
      </c>
      <c r="O121" s="345">
        <v>0.34200000000000003</v>
      </c>
      <c r="P121" s="345">
        <v>6.7</v>
      </c>
      <c r="Q121" s="345">
        <v>5.4</v>
      </c>
      <c r="R121" s="345">
        <f t="shared" si="14"/>
        <v>6.1709254057785099</v>
      </c>
      <c r="S121" s="345">
        <f t="shared" si="15"/>
        <v>5.9710745942214896</v>
      </c>
    </row>
    <row r="122" spans="1:19" x14ac:dyDescent="0.3">
      <c r="A122" s="344">
        <v>16</v>
      </c>
      <c r="B122" s="344">
        <v>12</v>
      </c>
      <c r="C122" s="345">
        <v>84.632999999999996</v>
      </c>
      <c r="D122" s="345">
        <v>84.9</v>
      </c>
      <c r="E122" s="345">
        <v>4.2990000000000004</v>
      </c>
      <c r="F122" s="345">
        <v>93.5</v>
      </c>
      <c r="G122" s="345">
        <v>78.5</v>
      </c>
      <c r="H122" s="345">
        <f t="shared" si="12"/>
        <v>87.065388231101267</v>
      </c>
      <c r="I122" s="345">
        <f t="shared" si="13"/>
        <v>82.200611768898725</v>
      </c>
      <c r="J122" s="339"/>
      <c r="K122" s="344">
        <v>15</v>
      </c>
      <c r="L122" s="344">
        <v>12</v>
      </c>
      <c r="M122" s="345">
        <v>5.9080000000000004</v>
      </c>
      <c r="N122" s="345">
        <v>5.85</v>
      </c>
      <c r="O122" s="345">
        <v>0.25</v>
      </c>
      <c r="P122" s="345">
        <v>6.3</v>
      </c>
      <c r="Q122" s="345">
        <v>5.5</v>
      </c>
      <c r="R122" s="345">
        <f t="shared" si="14"/>
        <v>6.0494508159514586</v>
      </c>
      <c r="S122" s="345">
        <f t="shared" si="15"/>
        <v>5.7665491840485421</v>
      </c>
    </row>
    <row r="123" spans="1:19" x14ac:dyDescent="0.3">
      <c r="A123" s="344">
        <v>17</v>
      </c>
      <c r="B123" s="344">
        <v>4</v>
      </c>
      <c r="C123" s="345">
        <v>87.35</v>
      </c>
      <c r="D123" s="345">
        <v>86.35</v>
      </c>
      <c r="E123" s="345">
        <v>3.2930000000000001</v>
      </c>
      <c r="F123" s="345">
        <v>92.1</v>
      </c>
      <c r="G123" s="345">
        <v>84.6</v>
      </c>
      <c r="H123" s="345">
        <f t="shared" si="12"/>
        <v>90.57714</v>
      </c>
      <c r="I123" s="345">
        <f t="shared" si="13"/>
        <v>84.122859999999989</v>
      </c>
      <c r="J123" s="339"/>
      <c r="K123" s="344">
        <v>16</v>
      </c>
      <c r="L123" s="344">
        <v>13</v>
      </c>
      <c r="M123" s="345">
        <v>6.008</v>
      </c>
      <c r="N123" s="345">
        <v>6</v>
      </c>
      <c r="O123" s="345">
        <v>0.26900000000000002</v>
      </c>
      <c r="P123" s="345">
        <v>6.4</v>
      </c>
      <c r="Q123" s="345">
        <v>5.6</v>
      </c>
      <c r="R123" s="345">
        <f t="shared" si="14"/>
        <v>6.1542300657288953</v>
      </c>
      <c r="S123" s="345">
        <f t="shared" si="15"/>
        <v>5.8617699342711047</v>
      </c>
    </row>
    <row r="124" spans="1:19" x14ac:dyDescent="0.3">
      <c r="A124" s="349">
        <v>18</v>
      </c>
      <c r="B124" s="349">
        <v>2</v>
      </c>
      <c r="C124" s="350">
        <v>83.55</v>
      </c>
      <c r="D124" s="350">
        <v>83.55</v>
      </c>
      <c r="E124" s="350">
        <v>6.2930000000000001</v>
      </c>
      <c r="F124" s="350">
        <v>88</v>
      </c>
      <c r="G124" s="350">
        <v>79.099999999999994</v>
      </c>
      <c r="H124" s="350">
        <f t="shared" si="12"/>
        <v>92.27165302905361</v>
      </c>
      <c r="I124" s="350">
        <f t="shared" si="13"/>
        <v>74.828346970946384</v>
      </c>
      <c r="J124" s="339"/>
      <c r="K124" s="344">
        <v>17</v>
      </c>
      <c r="L124" s="344">
        <v>4</v>
      </c>
      <c r="M124" s="345">
        <v>5.8250000000000002</v>
      </c>
      <c r="N124" s="345">
        <v>5.8</v>
      </c>
      <c r="O124" s="345">
        <v>0.126</v>
      </c>
      <c r="P124" s="345">
        <v>6</v>
      </c>
      <c r="Q124" s="345">
        <v>5.7</v>
      </c>
      <c r="R124" s="345">
        <f t="shared" si="14"/>
        <v>5.94848</v>
      </c>
      <c r="S124" s="345">
        <f t="shared" si="15"/>
        <v>5.7015200000000004</v>
      </c>
    </row>
    <row r="125" spans="1:19" x14ac:dyDescent="0.3">
      <c r="A125" s="344"/>
      <c r="B125" s="344"/>
      <c r="C125" s="345"/>
      <c r="D125" s="345"/>
      <c r="E125" s="345"/>
      <c r="F125" s="345"/>
      <c r="G125" s="345"/>
      <c r="H125" s="345"/>
      <c r="I125" s="345"/>
      <c r="J125" s="339"/>
      <c r="K125" s="349">
        <v>18</v>
      </c>
      <c r="L125" s="349">
        <v>2</v>
      </c>
      <c r="M125" s="350">
        <v>6</v>
      </c>
      <c r="N125" s="350">
        <v>6</v>
      </c>
      <c r="O125" s="350">
        <v>0.28299999999999997</v>
      </c>
      <c r="P125" s="350">
        <v>6.2</v>
      </c>
      <c r="Q125" s="350">
        <v>5.8</v>
      </c>
      <c r="R125" s="350">
        <f t="shared" si="14"/>
        <v>6.3922179893885538</v>
      </c>
      <c r="S125" s="350">
        <f t="shared" si="15"/>
        <v>5.6077820106114462</v>
      </c>
    </row>
    <row r="126" spans="1:19" x14ac:dyDescent="0.3">
      <c r="A126" s="344"/>
      <c r="B126" s="344"/>
      <c r="C126" s="345"/>
      <c r="D126" s="345"/>
      <c r="E126" s="345"/>
      <c r="F126" s="345"/>
      <c r="G126" s="345"/>
      <c r="H126" s="345"/>
      <c r="I126" s="345"/>
      <c r="J126" s="339"/>
      <c r="K126" s="344"/>
      <c r="L126" s="344"/>
      <c r="M126" s="345"/>
      <c r="N126" s="345"/>
      <c r="O126" s="345"/>
      <c r="P126" s="345"/>
      <c r="Q126" s="345"/>
      <c r="R126" s="345"/>
      <c r="S126" s="345"/>
    </row>
    <row r="127" spans="1:19" x14ac:dyDescent="0.3">
      <c r="A127" s="346" t="s">
        <v>665</v>
      </c>
      <c r="B127" s="344"/>
      <c r="C127" s="345"/>
      <c r="D127" s="345"/>
      <c r="E127" s="345"/>
      <c r="F127" s="345"/>
      <c r="G127" s="345"/>
      <c r="H127" s="345"/>
      <c r="I127" s="345"/>
      <c r="J127" s="339"/>
      <c r="K127" s="344"/>
      <c r="L127" s="344"/>
      <c r="M127" s="345"/>
      <c r="N127" s="345"/>
      <c r="O127" s="345"/>
      <c r="P127" s="345"/>
      <c r="Q127" s="345"/>
      <c r="R127" s="345"/>
      <c r="S127" s="345"/>
    </row>
    <row r="128" spans="1:19" x14ac:dyDescent="0.3">
      <c r="A128" s="347" t="s">
        <v>514</v>
      </c>
      <c r="B128" s="347" t="s">
        <v>649</v>
      </c>
      <c r="C128" s="348" t="s">
        <v>650</v>
      </c>
      <c r="D128" s="348" t="s">
        <v>651</v>
      </c>
      <c r="E128" s="348" t="s">
        <v>652</v>
      </c>
      <c r="F128" s="348" t="s">
        <v>653</v>
      </c>
      <c r="G128" s="348" t="s">
        <v>654</v>
      </c>
      <c r="H128" s="348" t="s">
        <v>655</v>
      </c>
      <c r="I128" s="348" t="s">
        <v>656</v>
      </c>
      <c r="J128" s="339"/>
      <c r="K128" s="346" t="s">
        <v>675</v>
      </c>
      <c r="L128" s="344"/>
      <c r="M128" s="345"/>
      <c r="N128" s="345"/>
      <c r="O128" s="345"/>
      <c r="P128" s="345"/>
      <c r="Q128" s="345"/>
      <c r="R128" s="345"/>
      <c r="S128" s="345"/>
    </row>
    <row r="129" spans="1:19" x14ac:dyDescent="0.3">
      <c r="A129" s="344">
        <v>7</v>
      </c>
      <c r="B129" s="344">
        <v>1</v>
      </c>
      <c r="C129" s="345">
        <v>60.9</v>
      </c>
      <c r="D129" s="345">
        <v>60.9</v>
      </c>
      <c r="E129" s="345" t="s">
        <v>657</v>
      </c>
      <c r="F129" s="345">
        <v>60.9</v>
      </c>
      <c r="G129" s="345">
        <v>60.9</v>
      </c>
      <c r="H129" s="345"/>
      <c r="I129" s="345"/>
      <c r="J129" s="339"/>
      <c r="K129" s="347" t="s">
        <v>514</v>
      </c>
      <c r="L129" s="347" t="s">
        <v>649</v>
      </c>
      <c r="M129" s="348" t="s">
        <v>650</v>
      </c>
      <c r="N129" s="348" t="s">
        <v>651</v>
      </c>
      <c r="O129" s="348" t="s">
        <v>652</v>
      </c>
      <c r="P129" s="348" t="s">
        <v>653</v>
      </c>
      <c r="Q129" s="348" t="s">
        <v>654</v>
      </c>
      <c r="R129" s="348" t="s">
        <v>655</v>
      </c>
      <c r="S129" s="348" t="s">
        <v>656</v>
      </c>
    </row>
    <row r="130" spans="1:19" x14ac:dyDescent="0.3">
      <c r="A130" s="344">
        <v>8</v>
      </c>
      <c r="B130" s="344">
        <v>10</v>
      </c>
      <c r="C130" s="345">
        <v>65.400000000000006</v>
      </c>
      <c r="D130" s="345">
        <v>65.25</v>
      </c>
      <c r="E130" s="345">
        <v>5.1079999999999997</v>
      </c>
      <c r="F130" s="345">
        <v>72.7</v>
      </c>
      <c r="G130" s="345">
        <v>55.3</v>
      </c>
      <c r="H130" s="345">
        <f t="shared" si="12"/>
        <v>68.56597120047546</v>
      </c>
      <c r="I130" s="345">
        <f t="shared" si="13"/>
        <v>62.234028799524552</v>
      </c>
      <c r="J130" s="339"/>
      <c r="K130" s="344">
        <v>7</v>
      </c>
      <c r="L130" s="344">
        <v>1</v>
      </c>
      <c r="M130" s="345">
        <v>8</v>
      </c>
      <c r="N130" s="345">
        <v>8</v>
      </c>
      <c r="O130" s="345" t="s">
        <v>657</v>
      </c>
      <c r="P130" s="345">
        <v>8</v>
      </c>
      <c r="Q130" s="345">
        <v>8</v>
      </c>
      <c r="R130" s="345"/>
      <c r="S130" s="345"/>
    </row>
    <row r="131" spans="1:19" x14ac:dyDescent="0.3">
      <c r="A131" s="344">
        <v>9</v>
      </c>
      <c r="B131" s="344">
        <v>16</v>
      </c>
      <c r="C131" s="345">
        <v>71.918999999999997</v>
      </c>
      <c r="D131" s="345">
        <v>72</v>
      </c>
      <c r="E131" s="345">
        <v>4.38</v>
      </c>
      <c r="F131" s="345">
        <v>80</v>
      </c>
      <c r="G131" s="345">
        <v>63</v>
      </c>
      <c r="H131" s="345">
        <f t="shared" si="12"/>
        <v>74.06519999999999</v>
      </c>
      <c r="I131" s="345">
        <f t="shared" si="13"/>
        <v>69.772800000000004</v>
      </c>
      <c r="J131" s="339"/>
      <c r="K131" s="344">
        <v>8</v>
      </c>
      <c r="L131" s="344">
        <v>10</v>
      </c>
      <c r="M131" s="345">
        <v>7.81</v>
      </c>
      <c r="N131" s="345">
        <v>7.75</v>
      </c>
      <c r="O131" s="345">
        <v>0.55700000000000005</v>
      </c>
      <c r="P131" s="345">
        <v>8.6</v>
      </c>
      <c r="Q131" s="345">
        <v>6.9</v>
      </c>
      <c r="R131" s="345">
        <f t="shared" si="14"/>
        <v>8.1552321767159022</v>
      </c>
      <c r="S131" s="345">
        <f t="shared" si="15"/>
        <v>7.464767823284097</v>
      </c>
    </row>
    <row r="132" spans="1:19" x14ac:dyDescent="0.3">
      <c r="A132" s="344">
        <v>10</v>
      </c>
      <c r="B132" s="344">
        <v>21</v>
      </c>
      <c r="C132" s="345">
        <v>74.238</v>
      </c>
      <c r="D132" s="345">
        <v>74.3</v>
      </c>
      <c r="E132" s="345">
        <v>3.0680000000000001</v>
      </c>
      <c r="F132" s="345">
        <v>79</v>
      </c>
      <c r="G132" s="345">
        <v>67.7</v>
      </c>
      <c r="H132" s="345">
        <f t="shared" si="12"/>
        <v>75.550205274998291</v>
      </c>
      <c r="I132" s="345">
        <f t="shared" si="13"/>
        <v>72.925794725001708</v>
      </c>
      <c r="J132" s="339"/>
      <c r="K132" s="344">
        <v>9</v>
      </c>
      <c r="L132" s="344">
        <v>17</v>
      </c>
      <c r="M132" s="345">
        <v>8.1709999999999994</v>
      </c>
      <c r="N132" s="345">
        <v>8.1</v>
      </c>
      <c r="O132" s="345">
        <v>0.49099999999999999</v>
      </c>
      <c r="P132" s="345">
        <v>9.4</v>
      </c>
      <c r="Q132" s="345">
        <v>7.5</v>
      </c>
      <c r="R132" s="345">
        <f t="shared" si="14"/>
        <v>8.4044065841099656</v>
      </c>
      <c r="S132" s="345">
        <f t="shared" si="15"/>
        <v>7.9375934158900341</v>
      </c>
    </row>
    <row r="133" spans="1:19" x14ac:dyDescent="0.3">
      <c r="A133" s="344">
        <v>11</v>
      </c>
      <c r="B133" s="344">
        <v>20</v>
      </c>
      <c r="C133" s="345">
        <v>77.27</v>
      </c>
      <c r="D133" s="345">
        <v>77.7</v>
      </c>
      <c r="E133" s="345">
        <v>4.4180000000000001</v>
      </c>
      <c r="F133" s="345">
        <v>84.4</v>
      </c>
      <c r="G133" s="345">
        <v>67.7</v>
      </c>
      <c r="H133" s="345">
        <f t="shared" si="12"/>
        <v>79.206273871620439</v>
      </c>
      <c r="I133" s="345">
        <f t="shared" si="13"/>
        <v>75.333726128379553</v>
      </c>
      <c r="J133" s="339"/>
      <c r="K133" s="344">
        <v>10</v>
      </c>
      <c r="L133" s="344">
        <v>22</v>
      </c>
      <c r="M133" s="345">
        <v>8.4359999999999999</v>
      </c>
      <c r="N133" s="345">
        <v>8.3000000000000007</v>
      </c>
      <c r="O133" s="345">
        <v>0.496</v>
      </c>
      <c r="P133" s="345">
        <v>10</v>
      </c>
      <c r="Q133" s="345">
        <v>7.7</v>
      </c>
      <c r="R133" s="345">
        <f t="shared" si="14"/>
        <v>8.6432652084122701</v>
      </c>
      <c r="S133" s="345">
        <f t="shared" si="15"/>
        <v>8.2287347915877298</v>
      </c>
    </row>
    <row r="134" spans="1:19" x14ac:dyDescent="0.3">
      <c r="A134" s="344">
        <v>12</v>
      </c>
      <c r="B134" s="344">
        <v>38</v>
      </c>
      <c r="C134" s="345">
        <v>79.191999999999993</v>
      </c>
      <c r="D134" s="345">
        <v>78.650000000000006</v>
      </c>
      <c r="E134" s="345">
        <v>4.657</v>
      </c>
      <c r="F134" s="345">
        <v>90.4</v>
      </c>
      <c r="G134" s="345">
        <v>70.400000000000006</v>
      </c>
      <c r="H134" s="345">
        <f t="shared" si="12"/>
        <v>80.672711710083675</v>
      </c>
      <c r="I134" s="345">
        <f t="shared" si="13"/>
        <v>77.711288289916311</v>
      </c>
      <c r="J134" s="339"/>
      <c r="K134" s="344">
        <v>11</v>
      </c>
      <c r="L134" s="344">
        <v>21</v>
      </c>
      <c r="M134" s="345">
        <v>8.6519999999999992</v>
      </c>
      <c r="N134" s="345">
        <v>8.6</v>
      </c>
      <c r="O134" s="345">
        <v>0.45800000000000002</v>
      </c>
      <c r="P134" s="345">
        <v>9.4</v>
      </c>
      <c r="Q134" s="345">
        <v>7.6</v>
      </c>
      <c r="R134" s="345">
        <f t="shared" si="14"/>
        <v>8.8478898357070452</v>
      </c>
      <c r="S134" s="345">
        <f t="shared" si="15"/>
        <v>8.4561101642929533</v>
      </c>
    </row>
    <row r="135" spans="1:19" x14ac:dyDescent="0.3">
      <c r="A135" s="344">
        <v>13</v>
      </c>
      <c r="B135" s="344">
        <v>35</v>
      </c>
      <c r="C135" s="345">
        <v>81.063000000000002</v>
      </c>
      <c r="D135" s="345">
        <v>81.7</v>
      </c>
      <c r="E135" s="345">
        <v>4.0069999999999997</v>
      </c>
      <c r="F135" s="345">
        <v>87.5</v>
      </c>
      <c r="G135" s="345">
        <v>71.900000000000006</v>
      </c>
      <c r="H135" s="345">
        <f t="shared" si="12"/>
        <v>82.390520974689295</v>
      </c>
      <c r="I135" s="345">
        <f t="shared" si="13"/>
        <v>79.73547902531071</v>
      </c>
      <c r="J135" s="339"/>
      <c r="K135" s="344">
        <v>12</v>
      </c>
      <c r="L135" s="344">
        <v>39</v>
      </c>
      <c r="M135" s="345">
        <v>8.7379999999999995</v>
      </c>
      <c r="N135" s="345">
        <v>8.6999999999999993</v>
      </c>
      <c r="O135" s="345">
        <v>0.45600000000000002</v>
      </c>
      <c r="P135" s="345">
        <v>9.8000000000000007</v>
      </c>
      <c r="Q135" s="345">
        <v>7.4</v>
      </c>
      <c r="R135" s="345">
        <f t="shared" si="14"/>
        <v>8.8811161387448347</v>
      </c>
      <c r="S135" s="345">
        <f t="shared" si="15"/>
        <v>8.5948838612551643</v>
      </c>
    </row>
    <row r="136" spans="1:19" x14ac:dyDescent="0.3">
      <c r="A136" s="344">
        <v>14</v>
      </c>
      <c r="B136" s="344">
        <v>43</v>
      </c>
      <c r="C136" s="345">
        <v>81.832999999999998</v>
      </c>
      <c r="D136" s="345">
        <v>81.8</v>
      </c>
      <c r="E136" s="345">
        <v>3.9710000000000001</v>
      </c>
      <c r="F136" s="345">
        <v>93.2</v>
      </c>
      <c r="G136" s="345">
        <v>73.900000000000006</v>
      </c>
      <c r="H136" s="345">
        <f t="shared" si="12"/>
        <v>83.01992077266992</v>
      </c>
      <c r="I136" s="345">
        <f t="shared" si="13"/>
        <v>80.646079227330077</v>
      </c>
      <c r="J136" s="339"/>
      <c r="K136" s="344">
        <v>13</v>
      </c>
      <c r="L136" s="344">
        <v>41</v>
      </c>
      <c r="M136" s="345">
        <v>8.8610000000000007</v>
      </c>
      <c r="N136" s="345">
        <v>8.6999999999999993</v>
      </c>
      <c r="O136" s="345">
        <v>0.52200000000000002</v>
      </c>
      <c r="P136" s="345">
        <v>10.3</v>
      </c>
      <c r="Q136" s="345">
        <v>8</v>
      </c>
      <c r="R136" s="345">
        <f t="shared" si="14"/>
        <v>9.0207844992634705</v>
      </c>
      <c r="S136" s="345">
        <f t="shared" si="15"/>
        <v>8.7012155007365308</v>
      </c>
    </row>
    <row r="137" spans="1:19" x14ac:dyDescent="0.3">
      <c r="A137" s="344">
        <v>15</v>
      </c>
      <c r="B137" s="344">
        <v>11</v>
      </c>
      <c r="C137" s="345">
        <v>82.590999999999994</v>
      </c>
      <c r="D137" s="345">
        <v>83.5</v>
      </c>
      <c r="E137" s="345">
        <v>3.1190000000000002</v>
      </c>
      <c r="F137" s="345">
        <v>86.2</v>
      </c>
      <c r="G137" s="345">
        <v>76.8</v>
      </c>
      <c r="H137" s="345">
        <f t="shared" si="12"/>
        <v>84.434211212126556</v>
      </c>
      <c r="I137" s="345">
        <f t="shared" si="13"/>
        <v>80.747788787873432</v>
      </c>
      <c r="J137" s="339"/>
      <c r="K137" s="344">
        <v>14</v>
      </c>
      <c r="L137" s="344">
        <v>45</v>
      </c>
      <c r="M137" s="345">
        <v>8.8309999999999995</v>
      </c>
      <c r="N137" s="345">
        <v>8.8000000000000007</v>
      </c>
      <c r="O137" s="345">
        <v>0.42899999999999999</v>
      </c>
      <c r="P137" s="345">
        <v>9.6999999999999993</v>
      </c>
      <c r="Q137" s="345">
        <v>7.8</v>
      </c>
      <c r="R137" s="345">
        <f t="shared" si="14"/>
        <v>8.9563450265467281</v>
      </c>
      <c r="S137" s="345">
        <f t="shared" si="15"/>
        <v>8.7056549734532709</v>
      </c>
    </row>
    <row r="138" spans="1:19" x14ac:dyDescent="0.3">
      <c r="A138" s="344">
        <v>16</v>
      </c>
      <c r="B138" s="344">
        <v>11</v>
      </c>
      <c r="C138" s="345">
        <v>79.691000000000003</v>
      </c>
      <c r="D138" s="345">
        <v>79</v>
      </c>
      <c r="E138" s="345">
        <v>4.4649999999999999</v>
      </c>
      <c r="F138" s="345">
        <v>87.7</v>
      </c>
      <c r="G138" s="345">
        <v>73.8</v>
      </c>
      <c r="H138" s="345">
        <f t="shared" si="12"/>
        <v>82.329646380937845</v>
      </c>
      <c r="I138" s="345">
        <f t="shared" si="13"/>
        <v>77.05235361906216</v>
      </c>
      <c r="J138" s="339"/>
      <c r="K138" s="344">
        <v>15</v>
      </c>
      <c r="L138" s="344">
        <v>12</v>
      </c>
      <c r="M138" s="345">
        <v>8.6920000000000002</v>
      </c>
      <c r="N138" s="345">
        <v>8.6999999999999993</v>
      </c>
      <c r="O138" s="345">
        <v>0.33700000000000002</v>
      </c>
      <c r="P138" s="345">
        <v>9.6</v>
      </c>
      <c r="Q138" s="345">
        <v>8.3000000000000007</v>
      </c>
      <c r="R138" s="345">
        <f t="shared" si="14"/>
        <v>8.8826756999025651</v>
      </c>
      <c r="S138" s="345">
        <f t="shared" si="15"/>
        <v>8.5013243000974352</v>
      </c>
    </row>
    <row r="139" spans="1:19" x14ac:dyDescent="0.3">
      <c r="A139" s="344">
        <v>17</v>
      </c>
      <c r="B139" s="344">
        <v>4</v>
      </c>
      <c r="C139" s="345">
        <v>82.025000000000006</v>
      </c>
      <c r="D139" s="345">
        <v>80.8</v>
      </c>
      <c r="E139" s="345">
        <v>3.694</v>
      </c>
      <c r="F139" s="345">
        <v>87.4</v>
      </c>
      <c r="G139" s="345">
        <v>79.099999999999994</v>
      </c>
      <c r="H139" s="345">
        <f t="shared" si="12"/>
        <v>85.645120000000006</v>
      </c>
      <c r="I139" s="345">
        <f t="shared" si="13"/>
        <v>78.404880000000006</v>
      </c>
      <c r="J139" s="339"/>
      <c r="K139" s="344">
        <v>16</v>
      </c>
      <c r="L139" s="344">
        <v>13</v>
      </c>
      <c r="M139" s="345">
        <v>8.7149999999999999</v>
      </c>
      <c r="N139" s="345">
        <v>8.6</v>
      </c>
      <c r="O139" s="345">
        <v>0.36699999999999999</v>
      </c>
      <c r="P139" s="345">
        <v>9.4</v>
      </c>
      <c r="Q139" s="345">
        <v>8.1</v>
      </c>
      <c r="R139" s="345">
        <f t="shared" si="14"/>
        <v>8.9145034725743653</v>
      </c>
      <c r="S139" s="345">
        <f t="shared" si="15"/>
        <v>8.5154965274256345</v>
      </c>
    </row>
    <row r="140" spans="1:19" x14ac:dyDescent="0.3">
      <c r="A140" s="349">
        <v>18</v>
      </c>
      <c r="B140" s="349">
        <v>1</v>
      </c>
      <c r="C140" s="350">
        <v>85.3</v>
      </c>
      <c r="D140" s="350">
        <v>85.3</v>
      </c>
      <c r="E140" s="350" t="s">
        <v>657</v>
      </c>
      <c r="F140" s="350">
        <v>85.3</v>
      </c>
      <c r="G140" s="350">
        <v>85.3</v>
      </c>
      <c r="H140" s="350"/>
      <c r="I140" s="350"/>
      <c r="J140" s="339"/>
      <c r="K140" s="344">
        <v>17</v>
      </c>
      <c r="L140" s="344">
        <v>4</v>
      </c>
      <c r="M140" s="345">
        <v>8.4749999999999996</v>
      </c>
      <c r="N140" s="345">
        <v>8.4499999999999993</v>
      </c>
      <c r="O140" s="345">
        <v>0.17100000000000001</v>
      </c>
      <c r="P140" s="345">
        <v>8.6999999999999993</v>
      </c>
      <c r="Q140" s="345">
        <v>8.3000000000000007</v>
      </c>
      <c r="R140" s="345">
        <f t="shared" si="14"/>
        <v>8.6425799999999988</v>
      </c>
      <c r="S140" s="345">
        <f t="shared" si="15"/>
        <v>8.3074200000000005</v>
      </c>
    </row>
    <row r="141" spans="1:19" x14ac:dyDescent="0.3">
      <c r="A141" s="344"/>
      <c r="B141" s="344"/>
      <c r="C141" s="345"/>
      <c r="D141" s="345"/>
      <c r="E141" s="345"/>
      <c r="F141" s="345"/>
      <c r="G141" s="345"/>
      <c r="H141" s="345"/>
      <c r="I141" s="345"/>
      <c r="J141" s="339"/>
      <c r="K141" s="349">
        <v>18</v>
      </c>
      <c r="L141" s="349">
        <v>2</v>
      </c>
      <c r="M141" s="350">
        <v>9.25</v>
      </c>
      <c r="N141" s="350">
        <v>9.25</v>
      </c>
      <c r="O141" s="350">
        <v>0.495</v>
      </c>
      <c r="P141" s="350">
        <v>9.6</v>
      </c>
      <c r="Q141" s="350">
        <v>8.9</v>
      </c>
      <c r="R141" s="350">
        <f t="shared" si="14"/>
        <v>9.9360349991071892</v>
      </c>
      <c r="S141" s="350">
        <f t="shared" si="15"/>
        <v>8.5639650008928108</v>
      </c>
    </row>
    <row r="142" spans="1:19" x14ac:dyDescent="0.3">
      <c r="A142" s="344"/>
      <c r="B142" s="344"/>
      <c r="C142" s="345"/>
      <c r="D142" s="345"/>
      <c r="E142" s="345"/>
      <c r="F142" s="345"/>
      <c r="G142" s="345"/>
      <c r="H142" s="345"/>
      <c r="I142" s="345"/>
      <c r="J142" s="339"/>
      <c r="K142" s="344"/>
      <c r="L142" s="344"/>
      <c r="M142" s="345"/>
      <c r="N142" s="345"/>
      <c r="O142" s="345"/>
      <c r="P142" s="345"/>
      <c r="Q142" s="345"/>
      <c r="R142" s="345"/>
      <c r="S142" s="345"/>
    </row>
    <row r="143" spans="1:19" x14ac:dyDescent="0.3">
      <c r="A143" s="346" t="s">
        <v>666</v>
      </c>
      <c r="B143" s="344"/>
      <c r="C143" s="345"/>
      <c r="D143" s="345"/>
      <c r="E143" s="345"/>
      <c r="F143" s="345"/>
      <c r="G143" s="345"/>
      <c r="H143" s="345"/>
      <c r="I143" s="345"/>
      <c r="J143" s="339"/>
      <c r="K143" s="344"/>
      <c r="L143" s="344"/>
      <c r="M143" s="345"/>
      <c r="N143" s="345"/>
      <c r="O143" s="345"/>
      <c r="P143" s="345"/>
      <c r="Q143" s="345"/>
      <c r="R143" s="345"/>
      <c r="S143" s="345"/>
    </row>
    <row r="144" spans="1:19" x14ac:dyDescent="0.3">
      <c r="A144" s="347" t="s">
        <v>514</v>
      </c>
      <c r="B144" s="347" t="s">
        <v>649</v>
      </c>
      <c r="C144" s="348" t="s">
        <v>650</v>
      </c>
      <c r="D144" s="348" t="s">
        <v>651</v>
      </c>
      <c r="E144" s="348" t="s">
        <v>652</v>
      </c>
      <c r="F144" s="348" t="s">
        <v>653</v>
      </c>
      <c r="G144" s="348" t="s">
        <v>654</v>
      </c>
      <c r="H144" s="348" t="s">
        <v>655</v>
      </c>
      <c r="I144" s="348" t="s">
        <v>656</v>
      </c>
      <c r="J144" s="339"/>
      <c r="K144" s="346" t="s">
        <v>676</v>
      </c>
      <c r="L144" s="344"/>
      <c r="M144" s="345"/>
      <c r="N144" s="345"/>
      <c r="O144" s="345"/>
      <c r="P144" s="345"/>
      <c r="Q144" s="345"/>
      <c r="R144" s="345"/>
      <c r="S144" s="345"/>
    </row>
    <row r="145" spans="1:19" x14ac:dyDescent="0.3">
      <c r="A145" s="344">
        <v>7</v>
      </c>
      <c r="B145" s="344">
        <v>1</v>
      </c>
      <c r="C145" s="345">
        <v>29.6</v>
      </c>
      <c r="D145" s="345">
        <v>29.6</v>
      </c>
      <c r="E145" s="345" t="s">
        <v>657</v>
      </c>
      <c r="F145" s="345">
        <v>29.6</v>
      </c>
      <c r="G145" s="345">
        <v>29.6</v>
      </c>
      <c r="H145" s="345"/>
      <c r="I145" s="345"/>
      <c r="J145" s="339"/>
      <c r="K145" s="347" t="s">
        <v>514</v>
      </c>
      <c r="L145" s="347" t="s">
        <v>649</v>
      </c>
      <c r="M145" s="348" t="s">
        <v>650</v>
      </c>
      <c r="N145" s="348" t="s">
        <v>651</v>
      </c>
      <c r="O145" s="348" t="s">
        <v>652</v>
      </c>
      <c r="P145" s="348" t="s">
        <v>653</v>
      </c>
      <c r="Q145" s="348" t="s">
        <v>654</v>
      </c>
      <c r="R145" s="348" t="s">
        <v>655</v>
      </c>
      <c r="S145" s="348" t="s">
        <v>656</v>
      </c>
    </row>
    <row r="146" spans="1:19" x14ac:dyDescent="0.3">
      <c r="A146" s="344">
        <v>8</v>
      </c>
      <c r="B146" s="344">
        <v>10</v>
      </c>
      <c r="C146" s="345">
        <v>31.9</v>
      </c>
      <c r="D146" s="345">
        <v>31.8</v>
      </c>
      <c r="E146" s="345">
        <v>2.6869999999999998</v>
      </c>
      <c r="F146" s="345">
        <v>35.5</v>
      </c>
      <c r="G146" s="345">
        <v>27.4</v>
      </c>
      <c r="H146" s="345">
        <f t="shared" ref="H146:H155" si="16">C146+(1.96*E146)/(B146)^0.5</f>
        <v>33.565419854282993</v>
      </c>
      <c r="I146" s="345">
        <f t="shared" ref="I146:I155" si="17">C146-(1.96*E146)/(B146)^0.5</f>
        <v>30.234580145717</v>
      </c>
      <c r="J146" s="339"/>
      <c r="K146" s="344">
        <v>7</v>
      </c>
      <c r="L146" s="344">
        <v>1</v>
      </c>
      <c r="M146" s="345">
        <v>4.4000000000000004</v>
      </c>
      <c r="N146" s="345">
        <v>4.4000000000000004</v>
      </c>
      <c r="O146" s="345" t="s">
        <v>657</v>
      </c>
      <c r="P146" s="345">
        <v>4.4000000000000004</v>
      </c>
      <c r="Q146" s="345">
        <v>4.4000000000000004</v>
      </c>
      <c r="R146" s="345"/>
      <c r="S146" s="345"/>
    </row>
    <row r="147" spans="1:19" x14ac:dyDescent="0.3">
      <c r="A147" s="344">
        <v>9</v>
      </c>
      <c r="B147" s="344">
        <v>17</v>
      </c>
      <c r="C147" s="345">
        <v>35.253</v>
      </c>
      <c r="D147" s="345">
        <v>35.6</v>
      </c>
      <c r="E147" s="345">
        <v>3.121</v>
      </c>
      <c r="F147" s="345">
        <v>40</v>
      </c>
      <c r="G147" s="345">
        <v>28.5</v>
      </c>
      <c r="H147" s="345">
        <f t="shared" si="16"/>
        <v>36.736629224047256</v>
      </c>
      <c r="I147" s="345">
        <f t="shared" si="17"/>
        <v>33.769370775952744</v>
      </c>
      <c r="J147" s="339"/>
      <c r="K147" s="344">
        <v>8</v>
      </c>
      <c r="L147" s="344">
        <v>10</v>
      </c>
      <c r="M147" s="345">
        <v>4.38</v>
      </c>
      <c r="N147" s="345">
        <v>4.4000000000000004</v>
      </c>
      <c r="O147" s="345">
        <v>0.23</v>
      </c>
      <c r="P147" s="345">
        <v>4.7</v>
      </c>
      <c r="Q147" s="345">
        <v>4</v>
      </c>
      <c r="R147" s="345">
        <f t="shared" si="14"/>
        <v>4.5225554769203908</v>
      </c>
      <c r="S147" s="345">
        <f t="shared" si="15"/>
        <v>4.2374445230796089</v>
      </c>
    </row>
    <row r="148" spans="1:19" x14ac:dyDescent="0.3">
      <c r="A148" s="344">
        <v>10</v>
      </c>
      <c r="B148" s="344">
        <v>20</v>
      </c>
      <c r="C148" s="345">
        <v>36.299999999999997</v>
      </c>
      <c r="D148" s="345">
        <v>36.549999999999997</v>
      </c>
      <c r="E148" s="345">
        <v>1.8560000000000001</v>
      </c>
      <c r="F148" s="345">
        <v>39.5</v>
      </c>
      <c r="G148" s="345">
        <v>31.5</v>
      </c>
      <c r="H148" s="345">
        <f t="shared" si="16"/>
        <v>37.11342786458296</v>
      </c>
      <c r="I148" s="345">
        <f t="shared" si="17"/>
        <v>35.486572135417035</v>
      </c>
      <c r="J148" s="339"/>
      <c r="K148" s="344">
        <v>9</v>
      </c>
      <c r="L148" s="344">
        <v>17</v>
      </c>
      <c r="M148" s="345">
        <v>4.4939999999999998</v>
      </c>
      <c r="N148" s="345">
        <v>4.4000000000000004</v>
      </c>
      <c r="O148" s="345">
        <v>0.27300000000000002</v>
      </c>
      <c r="P148" s="345">
        <v>5.2</v>
      </c>
      <c r="Q148" s="345">
        <v>4</v>
      </c>
      <c r="R148" s="345">
        <f t="shared" si="14"/>
        <v>4.6237759622444408</v>
      </c>
      <c r="S148" s="345">
        <f t="shared" si="15"/>
        <v>4.3642240377555588</v>
      </c>
    </row>
    <row r="149" spans="1:19" x14ac:dyDescent="0.3">
      <c r="A149" s="344">
        <v>11</v>
      </c>
      <c r="B149" s="344">
        <v>20</v>
      </c>
      <c r="C149" s="345">
        <v>38.46</v>
      </c>
      <c r="D149" s="345">
        <v>38.450000000000003</v>
      </c>
      <c r="E149" s="345">
        <v>2.9929999999999999</v>
      </c>
      <c r="F149" s="345">
        <v>42.6</v>
      </c>
      <c r="G149" s="345">
        <v>31.1</v>
      </c>
      <c r="H149" s="345">
        <f t="shared" si="16"/>
        <v>39.771740085504746</v>
      </c>
      <c r="I149" s="345">
        <f t="shared" si="17"/>
        <v>37.148259914495256</v>
      </c>
      <c r="J149" s="339"/>
      <c r="K149" s="344">
        <v>10</v>
      </c>
      <c r="L149" s="344">
        <v>21</v>
      </c>
      <c r="M149" s="345">
        <v>4.8099999999999996</v>
      </c>
      <c r="N149" s="345">
        <v>4.8</v>
      </c>
      <c r="O149" s="345">
        <v>0.30299999999999999</v>
      </c>
      <c r="P149" s="345">
        <v>5.5</v>
      </c>
      <c r="Q149" s="345">
        <v>4.2</v>
      </c>
      <c r="R149" s="345">
        <f t="shared" si="14"/>
        <v>4.9395952406533503</v>
      </c>
      <c r="S149" s="345">
        <f t="shared" si="15"/>
        <v>4.6804047593466489</v>
      </c>
    </row>
    <row r="150" spans="1:19" x14ac:dyDescent="0.3">
      <c r="A150" s="344">
        <v>12</v>
      </c>
      <c r="B150" s="344">
        <v>38</v>
      </c>
      <c r="C150" s="345">
        <v>39.152999999999999</v>
      </c>
      <c r="D150" s="345">
        <v>39</v>
      </c>
      <c r="E150" s="345">
        <v>2.9710000000000001</v>
      </c>
      <c r="F150" s="345">
        <v>46.1</v>
      </c>
      <c r="G150" s="345">
        <v>32.9</v>
      </c>
      <c r="H150" s="345">
        <f t="shared" si="16"/>
        <v>40.09764129067181</v>
      </c>
      <c r="I150" s="345">
        <f t="shared" si="17"/>
        <v>38.208358709328188</v>
      </c>
      <c r="J150" s="339"/>
      <c r="K150" s="344">
        <v>11</v>
      </c>
      <c r="L150" s="344">
        <v>21</v>
      </c>
      <c r="M150" s="345">
        <v>5.0570000000000004</v>
      </c>
      <c r="N150" s="345">
        <v>5.0999999999999996</v>
      </c>
      <c r="O150" s="345">
        <v>0.28699999999999998</v>
      </c>
      <c r="P150" s="345">
        <v>5.8</v>
      </c>
      <c r="Q150" s="345">
        <v>4.5999999999999996</v>
      </c>
      <c r="R150" s="345">
        <f t="shared" si="14"/>
        <v>5.179751927615551</v>
      </c>
      <c r="S150" s="345">
        <f t="shared" si="15"/>
        <v>4.9342480723844497</v>
      </c>
    </row>
    <row r="151" spans="1:19" x14ac:dyDescent="0.3">
      <c r="A151" s="344">
        <v>13</v>
      </c>
      <c r="B151" s="344">
        <v>34</v>
      </c>
      <c r="C151" s="345">
        <v>40.534999999999997</v>
      </c>
      <c r="D151" s="345">
        <v>41.1</v>
      </c>
      <c r="E151" s="345">
        <v>2.4529999999999998</v>
      </c>
      <c r="F151" s="345">
        <v>44.3</v>
      </c>
      <c r="G151" s="345">
        <v>34.5</v>
      </c>
      <c r="H151" s="345">
        <f t="shared" si="16"/>
        <v>41.359544617534965</v>
      </c>
      <c r="I151" s="345">
        <f t="shared" si="17"/>
        <v>39.710455382465028</v>
      </c>
      <c r="J151" s="339"/>
      <c r="K151" s="344">
        <v>12</v>
      </c>
      <c r="L151" s="344">
        <v>39</v>
      </c>
      <c r="M151" s="345">
        <v>5.0149999999999997</v>
      </c>
      <c r="N151" s="345">
        <v>5</v>
      </c>
      <c r="O151" s="345">
        <v>0.38800000000000001</v>
      </c>
      <c r="P151" s="345">
        <v>6.3</v>
      </c>
      <c r="Q151" s="345">
        <v>4.2</v>
      </c>
      <c r="R151" s="345">
        <f t="shared" si="14"/>
        <v>5.1367742584056924</v>
      </c>
      <c r="S151" s="345">
        <f t="shared" si="15"/>
        <v>4.893225741594307</v>
      </c>
    </row>
    <row r="152" spans="1:19" x14ac:dyDescent="0.3">
      <c r="A152" s="344">
        <v>14</v>
      </c>
      <c r="B152" s="344">
        <v>43</v>
      </c>
      <c r="C152" s="345">
        <v>40.536999999999999</v>
      </c>
      <c r="D152" s="345">
        <v>40.4</v>
      </c>
      <c r="E152" s="345">
        <v>2.63</v>
      </c>
      <c r="F152" s="345">
        <v>47.6</v>
      </c>
      <c r="G152" s="345">
        <v>35.299999999999997</v>
      </c>
      <c r="H152" s="345">
        <f t="shared" si="16"/>
        <v>41.323099630350512</v>
      </c>
      <c r="I152" s="345">
        <f t="shared" si="17"/>
        <v>39.750900369649486</v>
      </c>
      <c r="J152" s="339"/>
      <c r="K152" s="344">
        <v>13</v>
      </c>
      <c r="L152" s="344">
        <v>41</v>
      </c>
      <c r="M152" s="345">
        <v>5.0759999999999996</v>
      </c>
      <c r="N152" s="345">
        <v>5</v>
      </c>
      <c r="O152" s="345">
        <v>0.28899999999999998</v>
      </c>
      <c r="P152" s="345">
        <v>5.7</v>
      </c>
      <c r="Q152" s="345">
        <v>4.5999999999999996</v>
      </c>
      <c r="R152" s="345">
        <f t="shared" si="14"/>
        <v>5.1644630656841812</v>
      </c>
      <c r="S152" s="345">
        <f t="shared" si="15"/>
        <v>4.987536934315818</v>
      </c>
    </row>
    <row r="153" spans="1:19" x14ac:dyDescent="0.3">
      <c r="A153" s="344">
        <v>15</v>
      </c>
      <c r="B153" s="344">
        <v>11</v>
      </c>
      <c r="C153" s="345">
        <v>41.6</v>
      </c>
      <c r="D153" s="345">
        <v>41.9</v>
      </c>
      <c r="E153" s="345">
        <v>2.169</v>
      </c>
      <c r="F153" s="345">
        <v>44.7</v>
      </c>
      <c r="G153" s="345">
        <v>37.6</v>
      </c>
      <c r="H153" s="345">
        <f t="shared" si="16"/>
        <v>42.881797088522774</v>
      </c>
      <c r="I153" s="345">
        <f t="shared" si="17"/>
        <v>40.318202911477229</v>
      </c>
      <c r="J153" s="339"/>
      <c r="K153" s="344">
        <v>14</v>
      </c>
      <c r="L153" s="344">
        <v>45</v>
      </c>
      <c r="M153" s="345">
        <v>5.056</v>
      </c>
      <c r="N153" s="345">
        <v>5.0999999999999996</v>
      </c>
      <c r="O153" s="345">
        <v>0.23499999999999999</v>
      </c>
      <c r="P153" s="345">
        <v>5.5</v>
      </c>
      <c r="Q153" s="345">
        <v>4.5999999999999996</v>
      </c>
      <c r="R153" s="345">
        <f t="shared" si="14"/>
        <v>5.124662194029094</v>
      </c>
      <c r="S153" s="345">
        <f t="shared" si="15"/>
        <v>4.9873378059709061</v>
      </c>
    </row>
    <row r="154" spans="1:19" x14ac:dyDescent="0.3">
      <c r="A154" s="344">
        <v>16</v>
      </c>
      <c r="B154" s="344">
        <v>11</v>
      </c>
      <c r="C154" s="345">
        <v>39.972999999999999</v>
      </c>
      <c r="D154" s="345">
        <v>39.5</v>
      </c>
      <c r="E154" s="345">
        <v>3.1669999999999998</v>
      </c>
      <c r="F154" s="345">
        <v>45.9</v>
      </c>
      <c r="G154" s="345">
        <v>34.1</v>
      </c>
      <c r="H154" s="345">
        <f t="shared" si="16"/>
        <v>41.844577399424445</v>
      </c>
      <c r="I154" s="345">
        <f t="shared" si="17"/>
        <v>38.101422600575553</v>
      </c>
      <c r="J154" s="339"/>
      <c r="K154" s="344">
        <v>15</v>
      </c>
      <c r="L154" s="344">
        <v>12</v>
      </c>
      <c r="M154" s="345">
        <v>4.867</v>
      </c>
      <c r="N154" s="345">
        <v>4.8499999999999996</v>
      </c>
      <c r="O154" s="345">
        <v>0.187</v>
      </c>
      <c r="P154" s="345">
        <v>5.2</v>
      </c>
      <c r="Q154" s="345">
        <v>4.5999999999999996</v>
      </c>
      <c r="R154" s="345">
        <f t="shared" si="14"/>
        <v>4.9728052103316909</v>
      </c>
      <c r="S154" s="345">
        <f t="shared" si="15"/>
        <v>4.7611947896683091</v>
      </c>
    </row>
    <row r="155" spans="1:19" x14ac:dyDescent="0.3">
      <c r="A155" s="344">
        <v>17</v>
      </c>
      <c r="B155" s="344">
        <v>4</v>
      </c>
      <c r="C155" s="345">
        <v>42.25</v>
      </c>
      <c r="D155" s="345">
        <v>41.9</v>
      </c>
      <c r="E155" s="345">
        <v>2.161</v>
      </c>
      <c r="F155" s="345">
        <v>45</v>
      </c>
      <c r="G155" s="345">
        <v>40.200000000000003</v>
      </c>
      <c r="H155" s="345">
        <f t="shared" si="16"/>
        <v>44.367779999999996</v>
      </c>
      <c r="I155" s="345">
        <f t="shared" si="17"/>
        <v>40.132220000000004</v>
      </c>
      <c r="J155" s="339"/>
      <c r="K155" s="344">
        <v>16</v>
      </c>
      <c r="L155" s="344">
        <v>13</v>
      </c>
      <c r="M155" s="345">
        <v>4.931</v>
      </c>
      <c r="N155" s="345">
        <v>5</v>
      </c>
      <c r="O155" s="345">
        <v>0.19700000000000001</v>
      </c>
      <c r="P155" s="345">
        <v>5.2</v>
      </c>
      <c r="Q155" s="345">
        <v>4.5999999999999996</v>
      </c>
      <c r="R155" s="345">
        <f t="shared" si="14"/>
        <v>5.0380904198832432</v>
      </c>
      <c r="S155" s="345">
        <f t="shared" si="15"/>
        <v>4.8239095801167569</v>
      </c>
    </row>
    <row r="156" spans="1:19" x14ac:dyDescent="0.3">
      <c r="A156" s="349">
        <v>18</v>
      </c>
      <c r="B156" s="349">
        <v>1</v>
      </c>
      <c r="C156" s="350">
        <v>42</v>
      </c>
      <c r="D156" s="350">
        <v>42</v>
      </c>
      <c r="E156" s="350" t="s">
        <v>657</v>
      </c>
      <c r="F156" s="350">
        <v>42</v>
      </c>
      <c r="G156" s="350">
        <v>42</v>
      </c>
      <c r="H156" s="350"/>
      <c r="I156" s="350"/>
      <c r="J156" s="339"/>
      <c r="K156" s="344">
        <v>17</v>
      </c>
      <c r="L156" s="344">
        <v>4</v>
      </c>
      <c r="M156" s="345">
        <v>4.9249999999999998</v>
      </c>
      <c r="N156" s="345">
        <v>4.9000000000000004</v>
      </c>
      <c r="O156" s="345">
        <v>0.15</v>
      </c>
      <c r="P156" s="345">
        <v>5.0999999999999996</v>
      </c>
      <c r="Q156" s="345">
        <v>4.8</v>
      </c>
      <c r="R156" s="345">
        <f t="shared" si="14"/>
        <v>5.0720000000000001</v>
      </c>
      <c r="S156" s="345">
        <f t="shared" si="15"/>
        <v>4.7779999999999996</v>
      </c>
    </row>
    <row r="157" spans="1:19" x14ac:dyDescent="0.3">
      <c r="K157" s="349">
        <v>18</v>
      </c>
      <c r="L157" s="349">
        <v>2</v>
      </c>
      <c r="M157" s="350">
        <v>5.0999999999999996</v>
      </c>
      <c r="N157" s="350">
        <v>5.0999999999999996</v>
      </c>
      <c r="O157" s="350">
        <v>0</v>
      </c>
      <c r="P157" s="350">
        <v>5.0999999999999996</v>
      </c>
      <c r="Q157" s="350">
        <v>5.0999999999999996</v>
      </c>
      <c r="R157" s="350">
        <f t="shared" si="14"/>
        <v>5.0999999999999996</v>
      </c>
      <c r="S157" s="350">
        <f t="shared" si="15"/>
        <v>5.0999999999999996</v>
      </c>
    </row>
    <row r="158" spans="1:19" x14ac:dyDescent="0.3">
      <c r="K158" s="344"/>
      <c r="L158" s="344"/>
      <c r="M158" s="345"/>
      <c r="N158" s="345"/>
      <c r="O158" s="345"/>
      <c r="P158" s="345"/>
      <c r="Q158" s="345"/>
      <c r="R158" s="345"/>
      <c r="S158" s="345"/>
    </row>
    <row r="159" spans="1:19" x14ac:dyDescent="0.3">
      <c r="K159" s="344"/>
      <c r="L159" s="344"/>
      <c r="M159" s="345"/>
      <c r="N159" s="345"/>
      <c r="O159" s="345"/>
      <c r="P159" s="345"/>
      <c r="Q159" s="345"/>
      <c r="R159" s="345"/>
      <c r="S159" s="345"/>
    </row>
    <row r="160" spans="1:19" x14ac:dyDescent="0.3">
      <c r="K160" s="346" t="s">
        <v>677</v>
      </c>
      <c r="L160" s="344"/>
      <c r="M160" s="345"/>
      <c r="N160" s="345"/>
      <c r="O160" s="345"/>
      <c r="P160" s="345"/>
      <c r="Q160" s="345"/>
      <c r="R160" s="345"/>
      <c r="S160" s="345"/>
    </row>
    <row r="161" spans="11:19" x14ac:dyDescent="0.3">
      <c r="K161" s="347" t="s">
        <v>514</v>
      </c>
      <c r="L161" s="347" t="s">
        <v>649</v>
      </c>
      <c r="M161" s="348" t="s">
        <v>650</v>
      </c>
      <c r="N161" s="348" t="s">
        <v>651</v>
      </c>
      <c r="O161" s="348" t="s">
        <v>652</v>
      </c>
      <c r="P161" s="348" t="s">
        <v>653</v>
      </c>
      <c r="Q161" s="348" t="s">
        <v>654</v>
      </c>
      <c r="R161" s="348" t="s">
        <v>655</v>
      </c>
      <c r="S161" s="348" t="s">
        <v>656</v>
      </c>
    </row>
    <row r="162" spans="11:19" x14ac:dyDescent="0.3">
      <c r="K162" s="344">
        <v>7</v>
      </c>
      <c r="L162" s="344">
        <v>1</v>
      </c>
      <c r="M162" s="345">
        <v>6</v>
      </c>
      <c r="N162" s="345">
        <v>6</v>
      </c>
      <c r="O162" s="345" t="s">
        <v>657</v>
      </c>
      <c r="P162" s="345">
        <v>6</v>
      </c>
      <c r="Q162" s="345">
        <v>6</v>
      </c>
      <c r="R162" s="345"/>
      <c r="S162" s="345"/>
    </row>
    <row r="163" spans="11:19" x14ac:dyDescent="0.3">
      <c r="K163" s="344">
        <v>8</v>
      </c>
      <c r="L163" s="344">
        <v>10</v>
      </c>
      <c r="M163" s="345">
        <v>5.91</v>
      </c>
      <c r="N163" s="345">
        <v>6</v>
      </c>
      <c r="O163" s="345">
        <v>0.41199999999999998</v>
      </c>
      <c r="P163" s="345">
        <v>6.4</v>
      </c>
      <c r="Q163" s="345">
        <v>5.2</v>
      </c>
      <c r="R163" s="345">
        <f t="shared" si="14"/>
        <v>6.1653602456139174</v>
      </c>
      <c r="S163" s="345">
        <f t="shared" si="15"/>
        <v>5.6546397543860829</v>
      </c>
    </row>
    <row r="164" spans="11:19" x14ac:dyDescent="0.3">
      <c r="K164" s="344">
        <v>9</v>
      </c>
      <c r="L164" s="344">
        <v>17</v>
      </c>
      <c r="M164" s="345">
        <v>6.2240000000000002</v>
      </c>
      <c r="N164" s="345">
        <v>6.2</v>
      </c>
      <c r="O164" s="345">
        <v>0.27700000000000002</v>
      </c>
      <c r="P164" s="345">
        <v>6.8</v>
      </c>
      <c r="Q164" s="345">
        <v>5.8</v>
      </c>
      <c r="R164" s="345">
        <f t="shared" si="14"/>
        <v>6.3556774415447261</v>
      </c>
      <c r="S164" s="345">
        <f t="shared" si="15"/>
        <v>6.0923225584552743</v>
      </c>
    </row>
    <row r="165" spans="11:19" x14ac:dyDescent="0.3">
      <c r="K165" s="344">
        <v>10</v>
      </c>
      <c r="L165" s="344">
        <v>22</v>
      </c>
      <c r="M165" s="345">
        <v>6.4359999999999999</v>
      </c>
      <c r="N165" s="345">
        <v>6.4</v>
      </c>
      <c r="O165" s="345">
        <v>0.32</v>
      </c>
      <c r="P165" s="345">
        <v>7.1</v>
      </c>
      <c r="Q165" s="345">
        <v>6</v>
      </c>
      <c r="R165" s="345">
        <f t="shared" si="14"/>
        <v>6.5697194892982385</v>
      </c>
      <c r="S165" s="345">
        <f t="shared" si="15"/>
        <v>6.3022805107017614</v>
      </c>
    </row>
    <row r="166" spans="11:19" x14ac:dyDescent="0.3">
      <c r="K166" s="344">
        <v>11</v>
      </c>
      <c r="L166" s="344">
        <v>20</v>
      </c>
      <c r="M166" s="345">
        <v>6.5250000000000004</v>
      </c>
      <c r="N166" s="345">
        <v>6.55</v>
      </c>
      <c r="O166" s="345">
        <v>0.375</v>
      </c>
      <c r="P166" s="345">
        <v>7.2</v>
      </c>
      <c r="Q166" s="345">
        <v>6</v>
      </c>
      <c r="R166" s="345">
        <f t="shared" si="14"/>
        <v>6.689350996346235</v>
      </c>
      <c r="S166" s="345">
        <f t="shared" si="15"/>
        <v>6.3606490036537657</v>
      </c>
    </row>
    <row r="167" spans="11:19" x14ac:dyDescent="0.3">
      <c r="K167" s="344">
        <v>12</v>
      </c>
      <c r="L167" s="344">
        <v>39</v>
      </c>
      <c r="M167" s="345">
        <v>6.633</v>
      </c>
      <c r="N167" s="345">
        <v>6.6</v>
      </c>
      <c r="O167" s="345">
        <v>0.36</v>
      </c>
      <c r="P167" s="345">
        <v>7.4</v>
      </c>
      <c r="Q167" s="345">
        <v>5.9</v>
      </c>
      <c r="R167" s="345">
        <f t="shared" si="14"/>
        <v>6.7459864253248698</v>
      </c>
      <c r="S167" s="345">
        <f t="shared" si="15"/>
        <v>6.5200135746751302</v>
      </c>
    </row>
    <row r="168" spans="11:19" x14ac:dyDescent="0.3">
      <c r="K168" s="344">
        <v>13</v>
      </c>
      <c r="L168" s="344">
        <v>41</v>
      </c>
      <c r="M168" s="345">
        <v>6.69</v>
      </c>
      <c r="N168" s="345">
        <v>6.7</v>
      </c>
      <c r="O168" s="345">
        <v>0.35199999999999998</v>
      </c>
      <c r="P168" s="345">
        <v>7.4</v>
      </c>
      <c r="Q168" s="345">
        <v>5.7</v>
      </c>
      <c r="R168" s="345">
        <f t="shared" si="14"/>
        <v>6.7977474018021873</v>
      </c>
      <c r="S168" s="345">
        <f t="shared" si="15"/>
        <v>6.5822525981978135</v>
      </c>
    </row>
    <row r="169" spans="11:19" x14ac:dyDescent="0.3">
      <c r="K169" s="344">
        <v>14</v>
      </c>
      <c r="L169" s="344">
        <v>45</v>
      </c>
      <c r="M169" s="345">
        <v>6.6760000000000002</v>
      </c>
      <c r="N169" s="345">
        <v>6.7</v>
      </c>
      <c r="O169" s="345">
        <v>0.29299999999999998</v>
      </c>
      <c r="P169" s="345">
        <v>7.3</v>
      </c>
      <c r="Q169" s="345">
        <v>6</v>
      </c>
      <c r="R169" s="345">
        <f t="shared" si="14"/>
        <v>6.7616086078745719</v>
      </c>
      <c r="S169" s="345">
        <f t="shared" si="15"/>
        <v>6.5903913921254285</v>
      </c>
    </row>
    <row r="170" spans="11:19" x14ac:dyDescent="0.3">
      <c r="K170" s="344">
        <v>15</v>
      </c>
      <c r="L170" s="344">
        <v>12</v>
      </c>
      <c r="M170" s="345">
        <v>6.5670000000000002</v>
      </c>
      <c r="N170" s="345">
        <v>6.6</v>
      </c>
      <c r="O170" s="345">
        <v>0.187</v>
      </c>
      <c r="P170" s="345">
        <v>6.9</v>
      </c>
      <c r="Q170" s="345">
        <v>6.2</v>
      </c>
      <c r="R170" s="345">
        <f t="shared" si="14"/>
        <v>6.6728052103316911</v>
      </c>
      <c r="S170" s="345">
        <f t="shared" si="15"/>
        <v>6.4611947896683093</v>
      </c>
    </row>
    <row r="171" spans="11:19" x14ac:dyDescent="0.3">
      <c r="K171" s="344">
        <v>16</v>
      </c>
      <c r="L171" s="344">
        <v>13</v>
      </c>
      <c r="M171" s="345">
        <v>6.5</v>
      </c>
      <c r="N171" s="345">
        <v>6.5</v>
      </c>
      <c r="O171" s="345">
        <v>0.21199999999999999</v>
      </c>
      <c r="P171" s="345">
        <v>6.8</v>
      </c>
      <c r="Q171" s="345">
        <v>5.9</v>
      </c>
      <c r="R171" s="345">
        <f t="shared" si="14"/>
        <v>6.6152445127677533</v>
      </c>
      <c r="S171" s="345">
        <f t="shared" si="15"/>
        <v>6.3847554872322467</v>
      </c>
    </row>
    <row r="172" spans="11:19" x14ac:dyDescent="0.3">
      <c r="K172" s="344">
        <v>17</v>
      </c>
      <c r="L172" s="344">
        <v>4</v>
      </c>
      <c r="M172" s="345">
        <v>6.4249999999999998</v>
      </c>
      <c r="N172" s="345">
        <v>6.4</v>
      </c>
      <c r="O172" s="345">
        <v>0.126</v>
      </c>
      <c r="P172" s="345">
        <v>6.6</v>
      </c>
      <c r="Q172" s="345">
        <v>6.3</v>
      </c>
      <c r="R172" s="345">
        <f t="shared" si="14"/>
        <v>6.5484799999999996</v>
      </c>
      <c r="S172" s="345">
        <f t="shared" si="15"/>
        <v>6.30152</v>
      </c>
    </row>
    <row r="173" spans="11:19" x14ac:dyDescent="0.3">
      <c r="K173" s="349">
        <v>18</v>
      </c>
      <c r="L173" s="349">
        <v>2</v>
      </c>
      <c r="M173" s="350">
        <v>6.8</v>
      </c>
      <c r="N173" s="350">
        <v>6.8</v>
      </c>
      <c r="O173" s="350">
        <v>0.14099999999999999</v>
      </c>
      <c r="P173" s="350">
        <v>6.9</v>
      </c>
      <c r="Q173" s="350">
        <v>6.7</v>
      </c>
      <c r="R173" s="350">
        <f t="shared" si="14"/>
        <v>6.9954160300487143</v>
      </c>
      <c r="S173" s="350">
        <f t="shared" si="15"/>
        <v>6.6045839699512854</v>
      </c>
    </row>
    <row r="174" spans="11:19" x14ac:dyDescent="0.3">
      <c r="K174" s="344"/>
      <c r="L174" s="344"/>
      <c r="M174" s="345"/>
      <c r="N174" s="345"/>
      <c r="O174" s="345"/>
      <c r="P174" s="345"/>
      <c r="Q174" s="345"/>
      <c r="R174" s="345"/>
      <c r="S174" s="345"/>
    </row>
    <row r="175" spans="11:19" x14ac:dyDescent="0.3">
      <c r="K175" s="344"/>
      <c r="L175" s="344"/>
      <c r="M175" s="345"/>
      <c r="N175" s="345"/>
      <c r="O175" s="345"/>
      <c r="P175" s="345"/>
      <c r="Q175" s="345"/>
      <c r="R175" s="345"/>
      <c r="S175" s="345"/>
    </row>
    <row r="176" spans="11:19" x14ac:dyDescent="0.3">
      <c r="K176" s="346" t="s">
        <v>678</v>
      </c>
      <c r="L176" s="344"/>
      <c r="M176" s="345"/>
      <c r="N176" s="345"/>
      <c r="O176" s="345"/>
      <c r="P176" s="345"/>
      <c r="Q176" s="345"/>
      <c r="R176" s="345"/>
      <c r="S176" s="345"/>
    </row>
    <row r="177" spans="11:19" x14ac:dyDescent="0.3">
      <c r="K177" s="347" t="s">
        <v>514</v>
      </c>
      <c r="L177" s="347" t="s">
        <v>649</v>
      </c>
      <c r="M177" s="348" t="s">
        <v>650</v>
      </c>
      <c r="N177" s="348" t="s">
        <v>651</v>
      </c>
      <c r="O177" s="348" t="s">
        <v>652</v>
      </c>
      <c r="P177" s="348" t="s">
        <v>653</v>
      </c>
      <c r="Q177" s="348" t="s">
        <v>654</v>
      </c>
      <c r="R177" s="348" t="s">
        <v>655</v>
      </c>
      <c r="S177" s="348" t="s">
        <v>656</v>
      </c>
    </row>
    <row r="178" spans="11:19" x14ac:dyDescent="0.3">
      <c r="K178" s="344">
        <v>7</v>
      </c>
      <c r="L178" s="344">
        <v>1</v>
      </c>
      <c r="M178" s="345">
        <v>50.9</v>
      </c>
      <c r="N178" s="345">
        <v>50.9</v>
      </c>
      <c r="O178" s="345" t="s">
        <v>657</v>
      </c>
      <c r="P178" s="345">
        <v>50.9</v>
      </c>
      <c r="Q178" s="345">
        <v>50.9</v>
      </c>
      <c r="R178" s="345"/>
      <c r="S178" s="345"/>
    </row>
    <row r="179" spans="11:19" x14ac:dyDescent="0.3">
      <c r="K179" s="344">
        <v>8</v>
      </c>
      <c r="L179" s="344">
        <v>10</v>
      </c>
      <c r="M179" s="345">
        <v>51.65</v>
      </c>
      <c r="N179" s="345">
        <v>51.8</v>
      </c>
      <c r="O179" s="345">
        <v>1.2</v>
      </c>
      <c r="P179" s="345">
        <v>53.3</v>
      </c>
      <c r="Q179" s="345">
        <v>49.7</v>
      </c>
      <c r="R179" s="345">
        <f t="shared" ref="R179:R237" si="18">M179+(1.96*O179)/(L179)^0.5</f>
        <v>52.3937677056716</v>
      </c>
      <c r="S179" s="345">
        <f t="shared" ref="S179:S237" si="19">M179-(1.96*O179)/(L179)^0.5</f>
        <v>50.906232294328397</v>
      </c>
    </row>
    <row r="180" spans="11:19" x14ac:dyDescent="0.3">
      <c r="K180" s="344">
        <v>9</v>
      </c>
      <c r="L180" s="344">
        <v>17</v>
      </c>
      <c r="M180" s="345">
        <v>53.323999999999998</v>
      </c>
      <c r="N180" s="345">
        <v>53.3</v>
      </c>
      <c r="O180" s="345">
        <v>1.266</v>
      </c>
      <c r="P180" s="345">
        <v>55.3</v>
      </c>
      <c r="Q180" s="345">
        <v>51.6</v>
      </c>
      <c r="R180" s="345">
        <f t="shared" si="18"/>
        <v>53.925818198540156</v>
      </c>
      <c r="S180" s="345">
        <f t="shared" si="19"/>
        <v>52.72218180145984</v>
      </c>
    </row>
    <row r="181" spans="11:19" x14ac:dyDescent="0.3">
      <c r="K181" s="344">
        <v>10</v>
      </c>
      <c r="L181" s="344">
        <v>22</v>
      </c>
      <c r="M181" s="345">
        <v>52.914000000000001</v>
      </c>
      <c r="N181" s="345">
        <v>52.75</v>
      </c>
      <c r="O181" s="345">
        <v>1.21</v>
      </c>
      <c r="P181" s="345">
        <v>55.7</v>
      </c>
      <c r="Q181" s="345">
        <v>50.8</v>
      </c>
      <c r="R181" s="345">
        <f t="shared" si="18"/>
        <v>53.419626818908966</v>
      </c>
      <c r="S181" s="345">
        <f t="shared" si="19"/>
        <v>52.408373181091036</v>
      </c>
    </row>
    <row r="182" spans="11:19" x14ac:dyDescent="0.3">
      <c r="K182" s="344">
        <v>11</v>
      </c>
      <c r="L182" s="344">
        <v>21</v>
      </c>
      <c r="M182" s="345">
        <v>53.652000000000001</v>
      </c>
      <c r="N182" s="345">
        <v>53.7</v>
      </c>
      <c r="O182" s="345">
        <v>1.704</v>
      </c>
      <c r="P182" s="345">
        <v>56.9</v>
      </c>
      <c r="Q182" s="345">
        <v>51</v>
      </c>
      <c r="R182" s="345">
        <f t="shared" si="18"/>
        <v>54.380812838525777</v>
      </c>
      <c r="S182" s="345">
        <f t="shared" si="19"/>
        <v>52.923187161474225</v>
      </c>
    </row>
    <row r="183" spans="11:19" x14ac:dyDescent="0.3">
      <c r="K183" s="344">
        <v>12</v>
      </c>
      <c r="L183" s="344">
        <v>39</v>
      </c>
      <c r="M183" s="345">
        <v>53.279000000000003</v>
      </c>
      <c r="N183" s="345">
        <v>53.2</v>
      </c>
      <c r="O183" s="345">
        <v>1.7230000000000001</v>
      </c>
      <c r="P183" s="345">
        <v>56.4</v>
      </c>
      <c r="Q183" s="345">
        <v>49.9</v>
      </c>
      <c r="R183" s="345">
        <f t="shared" si="18"/>
        <v>53.819765585652085</v>
      </c>
      <c r="S183" s="345">
        <f t="shared" si="19"/>
        <v>52.738234414347922</v>
      </c>
    </row>
    <row r="184" spans="11:19" x14ac:dyDescent="0.3">
      <c r="K184" s="344">
        <v>13</v>
      </c>
      <c r="L184" s="344">
        <v>41</v>
      </c>
      <c r="M184" s="345">
        <v>53.927</v>
      </c>
      <c r="N184" s="345">
        <v>54.1</v>
      </c>
      <c r="O184" s="345">
        <v>1.5629999999999999</v>
      </c>
      <c r="P184" s="345">
        <v>57.2</v>
      </c>
      <c r="Q184" s="345">
        <v>50.5</v>
      </c>
      <c r="R184" s="345">
        <f t="shared" si="18"/>
        <v>54.405435196070506</v>
      </c>
      <c r="S184" s="345">
        <f t="shared" si="19"/>
        <v>53.448564803929493</v>
      </c>
    </row>
    <row r="185" spans="11:19" x14ac:dyDescent="0.3">
      <c r="K185" s="344">
        <v>14</v>
      </c>
      <c r="L185" s="344">
        <v>45</v>
      </c>
      <c r="M185" s="345">
        <v>54.456000000000003</v>
      </c>
      <c r="N185" s="345">
        <v>54.4</v>
      </c>
      <c r="O185" s="345">
        <v>1.1779999999999999</v>
      </c>
      <c r="P185" s="345">
        <v>57.4</v>
      </c>
      <c r="Q185" s="345">
        <v>51.7</v>
      </c>
      <c r="R185" s="345">
        <f t="shared" si="18"/>
        <v>54.800187508792654</v>
      </c>
      <c r="S185" s="345">
        <f t="shared" si="19"/>
        <v>54.111812491207353</v>
      </c>
    </row>
    <row r="186" spans="11:19" x14ac:dyDescent="0.3">
      <c r="K186" s="344">
        <v>15</v>
      </c>
      <c r="L186" s="344">
        <v>12</v>
      </c>
      <c r="M186" s="345">
        <v>53.158000000000001</v>
      </c>
      <c r="N186" s="345">
        <v>53.1</v>
      </c>
      <c r="O186" s="345">
        <v>1.032</v>
      </c>
      <c r="P186" s="345">
        <v>55.3</v>
      </c>
      <c r="Q186" s="345">
        <v>51.5</v>
      </c>
      <c r="R186" s="345">
        <f t="shared" si="18"/>
        <v>53.741908968247621</v>
      </c>
      <c r="S186" s="345">
        <f t="shared" si="19"/>
        <v>52.574091031752381</v>
      </c>
    </row>
    <row r="187" spans="11:19" x14ac:dyDescent="0.3">
      <c r="K187" s="344">
        <v>16</v>
      </c>
      <c r="L187" s="344">
        <v>13</v>
      </c>
      <c r="M187" s="345">
        <v>54.107999999999997</v>
      </c>
      <c r="N187" s="345">
        <v>54.1</v>
      </c>
      <c r="O187" s="345">
        <v>1.28</v>
      </c>
      <c r="P187" s="345">
        <v>56.8</v>
      </c>
      <c r="Q187" s="345">
        <v>51.3</v>
      </c>
      <c r="R187" s="345">
        <f t="shared" si="18"/>
        <v>54.803815926144921</v>
      </c>
      <c r="S187" s="345">
        <f t="shared" si="19"/>
        <v>53.412184073855073</v>
      </c>
    </row>
    <row r="188" spans="11:19" x14ac:dyDescent="0.3">
      <c r="K188" s="344">
        <v>17</v>
      </c>
      <c r="L188" s="344">
        <v>4</v>
      </c>
      <c r="M188" s="345">
        <v>52.725000000000001</v>
      </c>
      <c r="N188" s="345">
        <v>53</v>
      </c>
      <c r="O188" s="345">
        <v>1.0720000000000001</v>
      </c>
      <c r="P188" s="345">
        <v>53.6</v>
      </c>
      <c r="Q188" s="345">
        <v>51.3</v>
      </c>
      <c r="R188" s="345">
        <f t="shared" si="18"/>
        <v>53.775559999999999</v>
      </c>
      <c r="S188" s="345">
        <f t="shared" si="19"/>
        <v>51.674440000000004</v>
      </c>
    </row>
    <row r="189" spans="11:19" x14ac:dyDescent="0.3">
      <c r="K189" s="349">
        <v>18</v>
      </c>
      <c r="L189" s="349">
        <v>2</v>
      </c>
      <c r="M189" s="350">
        <v>54.35</v>
      </c>
      <c r="N189" s="350">
        <v>54.35</v>
      </c>
      <c r="O189" s="350">
        <v>1.202</v>
      </c>
      <c r="P189" s="350">
        <v>55.2</v>
      </c>
      <c r="Q189" s="350">
        <v>53.5</v>
      </c>
      <c r="R189" s="350">
        <f t="shared" si="18"/>
        <v>56.01588700793301</v>
      </c>
      <c r="S189" s="350">
        <f t="shared" si="19"/>
        <v>52.684112992066993</v>
      </c>
    </row>
    <row r="190" spans="11:19" x14ac:dyDescent="0.3">
      <c r="K190" s="344"/>
      <c r="L190" s="344"/>
      <c r="M190" s="345"/>
      <c r="N190" s="345"/>
      <c r="O190" s="345"/>
      <c r="P190" s="345"/>
      <c r="Q190" s="345"/>
      <c r="R190" s="345"/>
      <c r="S190" s="345"/>
    </row>
    <row r="191" spans="11:19" x14ac:dyDescent="0.3">
      <c r="K191" s="344"/>
      <c r="L191" s="344"/>
      <c r="M191" s="345"/>
      <c r="N191" s="345"/>
      <c r="O191" s="345"/>
      <c r="P191" s="345"/>
      <c r="Q191" s="345"/>
      <c r="R191" s="345"/>
      <c r="S191" s="345"/>
    </row>
    <row r="192" spans="11:19" x14ac:dyDescent="0.3">
      <c r="K192" s="346" t="s">
        <v>679</v>
      </c>
      <c r="L192" s="344"/>
      <c r="M192" s="345"/>
      <c r="N192" s="345"/>
      <c r="O192" s="345"/>
      <c r="P192" s="345"/>
      <c r="Q192" s="345"/>
      <c r="R192" s="345"/>
      <c r="S192" s="345"/>
    </row>
    <row r="193" spans="11:19" x14ac:dyDescent="0.3">
      <c r="K193" s="347" t="s">
        <v>514</v>
      </c>
      <c r="L193" s="347" t="s">
        <v>649</v>
      </c>
      <c r="M193" s="348" t="s">
        <v>650</v>
      </c>
      <c r="N193" s="348" t="s">
        <v>651</v>
      </c>
      <c r="O193" s="348" t="s">
        <v>652</v>
      </c>
      <c r="P193" s="348" t="s">
        <v>653</v>
      </c>
      <c r="Q193" s="348" t="s">
        <v>654</v>
      </c>
      <c r="R193" s="348" t="s">
        <v>655</v>
      </c>
      <c r="S193" s="348" t="s">
        <v>656</v>
      </c>
    </row>
    <row r="194" spans="11:19" x14ac:dyDescent="0.3">
      <c r="K194" s="344">
        <v>7</v>
      </c>
      <c r="L194" s="344">
        <v>1</v>
      </c>
      <c r="M194" s="345">
        <v>20.5</v>
      </c>
      <c r="N194" s="345">
        <v>20.5</v>
      </c>
      <c r="O194" s="345" t="s">
        <v>657</v>
      </c>
      <c r="P194" s="345">
        <v>20.5</v>
      </c>
      <c r="Q194" s="345">
        <v>20.5</v>
      </c>
      <c r="R194" s="345"/>
      <c r="S194" s="345"/>
    </row>
    <row r="195" spans="11:19" x14ac:dyDescent="0.3">
      <c r="K195" s="344">
        <v>8</v>
      </c>
      <c r="L195" s="344">
        <v>10</v>
      </c>
      <c r="M195" s="345">
        <v>20.07</v>
      </c>
      <c r="N195" s="345">
        <v>19.75</v>
      </c>
      <c r="O195" s="345">
        <v>2.8919999999999999</v>
      </c>
      <c r="P195" s="345">
        <v>24.8</v>
      </c>
      <c r="Q195" s="345">
        <v>16.2</v>
      </c>
      <c r="R195" s="345">
        <f t="shared" si="18"/>
        <v>21.862480170668562</v>
      </c>
      <c r="S195" s="345">
        <f t="shared" si="19"/>
        <v>18.277519829331439</v>
      </c>
    </row>
    <row r="196" spans="11:19" x14ac:dyDescent="0.3">
      <c r="K196" s="344">
        <v>9</v>
      </c>
      <c r="L196" s="344">
        <v>17</v>
      </c>
      <c r="M196" s="345">
        <v>20.806000000000001</v>
      </c>
      <c r="N196" s="345">
        <v>19.899999999999999</v>
      </c>
      <c r="O196" s="345">
        <v>2.5430000000000001</v>
      </c>
      <c r="P196" s="345">
        <v>25.3</v>
      </c>
      <c r="Q196" s="345">
        <v>17.5</v>
      </c>
      <c r="R196" s="345">
        <f t="shared" si="18"/>
        <v>22.014865465156095</v>
      </c>
      <c r="S196" s="345">
        <f t="shared" si="19"/>
        <v>19.597134534843907</v>
      </c>
    </row>
    <row r="197" spans="11:19" x14ac:dyDescent="0.3">
      <c r="K197" s="344">
        <v>10</v>
      </c>
      <c r="L197" s="344">
        <v>22</v>
      </c>
      <c r="M197" s="345">
        <v>22.495000000000001</v>
      </c>
      <c r="N197" s="345">
        <v>21.5</v>
      </c>
      <c r="O197" s="345">
        <v>3.431</v>
      </c>
      <c r="P197" s="345">
        <v>33.6</v>
      </c>
      <c r="Q197" s="345">
        <v>18.399999999999999</v>
      </c>
      <c r="R197" s="345">
        <f t="shared" si="18"/>
        <v>23.928723649319554</v>
      </c>
      <c r="S197" s="345">
        <f t="shared" si="19"/>
        <v>21.061276350680448</v>
      </c>
    </row>
    <row r="198" spans="11:19" x14ac:dyDescent="0.3">
      <c r="K198" s="344">
        <v>11</v>
      </c>
      <c r="L198" s="344">
        <v>21</v>
      </c>
      <c r="M198" s="345">
        <v>23.41</v>
      </c>
      <c r="N198" s="345">
        <v>23.4</v>
      </c>
      <c r="O198" s="345">
        <v>3.2</v>
      </c>
      <c r="P198" s="345">
        <v>28.7</v>
      </c>
      <c r="Q198" s="345">
        <v>17.600000000000001</v>
      </c>
      <c r="R198" s="345">
        <f t="shared" si="18"/>
        <v>24.778662607560143</v>
      </c>
      <c r="S198" s="345">
        <f t="shared" si="19"/>
        <v>22.041337392439857</v>
      </c>
    </row>
    <row r="199" spans="11:19" x14ac:dyDescent="0.3">
      <c r="K199" s="344">
        <v>12</v>
      </c>
      <c r="L199" s="344">
        <v>39</v>
      </c>
      <c r="M199" s="345">
        <v>23.062000000000001</v>
      </c>
      <c r="N199" s="345">
        <v>22.8</v>
      </c>
      <c r="O199" s="345">
        <v>2.9020000000000001</v>
      </c>
      <c r="P199" s="345">
        <v>31.5</v>
      </c>
      <c r="Q199" s="345">
        <v>18.3</v>
      </c>
      <c r="R199" s="345">
        <f t="shared" si="18"/>
        <v>23.972796128591032</v>
      </c>
      <c r="S199" s="345">
        <f t="shared" si="19"/>
        <v>22.151203871408971</v>
      </c>
    </row>
    <row r="200" spans="11:19" x14ac:dyDescent="0.3">
      <c r="K200" s="344">
        <v>13</v>
      </c>
      <c r="L200" s="344">
        <v>41</v>
      </c>
      <c r="M200" s="345">
        <v>24.317</v>
      </c>
      <c r="N200" s="345">
        <v>24.2</v>
      </c>
      <c r="O200" s="345">
        <v>2.9740000000000002</v>
      </c>
      <c r="P200" s="345">
        <v>32.200000000000003</v>
      </c>
      <c r="Q200" s="345">
        <v>20.2</v>
      </c>
      <c r="R200" s="345">
        <f t="shared" si="18"/>
        <v>25.227343104999161</v>
      </c>
      <c r="S200" s="345">
        <f t="shared" si="19"/>
        <v>23.40665689500084</v>
      </c>
    </row>
    <row r="201" spans="11:19" x14ac:dyDescent="0.3">
      <c r="K201" s="344">
        <v>14</v>
      </c>
      <c r="L201" s="344">
        <v>45</v>
      </c>
      <c r="M201" s="345">
        <v>24.951000000000001</v>
      </c>
      <c r="N201" s="345">
        <v>24.6</v>
      </c>
      <c r="O201" s="345">
        <v>2.8410000000000002</v>
      </c>
      <c r="P201" s="345">
        <v>31.2</v>
      </c>
      <c r="Q201" s="345">
        <v>20</v>
      </c>
      <c r="R201" s="345">
        <f t="shared" si="18"/>
        <v>25.781082098879381</v>
      </c>
      <c r="S201" s="345">
        <f t="shared" si="19"/>
        <v>24.12091790112062</v>
      </c>
    </row>
    <row r="202" spans="11:19" x14ac:dyDescent="0.3">
      <c r="K202" s="344">
        <v>15</v>
      </c>
      <c r="L202" s="344">
        <v>12</v>
      </c>
      <c r="M202" s="345">
        <v>25.55</v>
      </c>
      <c r="N202" s="345">
        <v>25.4</v>
      </c>
      <c r="O202" s="345">
        <v>2.1579999999999999</v>
      </c>
      <c r="P202" s="345">
        <v>28.7</v>
      </c>
      <c r="Q202" s="345">
        <v>20.8</v>
      </c>
      <c r="R202" s="345">
        <f t="shared" si="18"/>
        <v>26.77100344329299</v>
      </c>
      <c r="S202" s="345">
        <f t="shared" si="19"/>
        <v>24.328996556707011</v>
      </c>
    </row>
    <row r="203" spans="11:19" x14ac:dyDescent="0.3">
      <c r="K203" s="344">
        <v>16</v>
      </c>
      <c r="L203" s="344">
        <v>13</v>
      </c>
      <c r="M203" s="345">
        <v>25.469000000000001</v>
      </c>
      <c r="N203" s="345">
        <v>25.7</v>
      </c>
      <c r="O203" s="345">
        <v>2.6629999999999998</v>
      </c>
      <c r="P203" s="345">
        <v>31.3</v>
      </c>
      <c r="Q203" s="345">
        <v>22.1</v>
      </c>
      <c r="R203" s="345">
        <f t="shared" si="18"/>
        <v>26.91662329009683</v>
      </c>
      <c r="S203" s="345">
        <f t="shared" si="19"/>
        <v>24.021376709903173</v>
      </c>
    </row>
    <row r="204" spans="11:19" x14ac:dyDescent="0.3">
      <c r="K204" s="344">
        <v>17</v>
      </c>
      <c r="L204" s="344">
        <v>4</v>
      </c>
      <c r="M204" s="345">
        <v>23.375</v>
      </c>
      <c r="N204" s="345">
        <v>23.95</v>
      </c>
      <c r="O204" s="345">
        <v>2.4620000000000002</v>
      </c>
      <c r="P204" s="345">
        <v>25.7</v>
      </c>
      <c r="Q204" s="345">
        <v>19.899999999999999</v>
      </c>
      <c r="R204" s="345">
        <f t="shared" si="18"/>
        <v>25.787759999999999</v>
      </c>
      <c r="S204" s="345">
        <f t="shared" si="19"/>
        <v>20.962240000000001</v>
      </c>
    </row>
    <row r="205" spans="11:19" x14ac:dyDescent="0.3">
      <c r="K205" s="349">
        <v>18</v>
      </c>
      <c r="L205" s="349">
        <v>2</v>
      </c>
      <c r="M205" s="350">
        <v>25.35</v>
      </c>
      <c r="N205" s="350">
        <v>25.35</v>
      </c>
      <c r="O205" s="350">
        <v>0.21199999999999999</v>
      </c>
      <c r="P205" s="350">
        <v>25.5</v>
      </c>
      <c r="Q205" s="350">
        <v>25.2</v>
      </c>
      <c r="R205" s="350">
        <f t="shared" si="18"/>
        <v>25.643817009718635</v>
      </c>
      <c r="S205" s="350">
        <f t="shared" si="19"/>
        <v>25.056182990281368</v>
      </c>
    </row>
    <row r="206" spans="11:19" x14ac:dyDescent="0.3">
      <c r="K206" s="344"/>
      <c r="L206" s="344"/>
      <c r="M206" s="345"/>
      <c r="N206" s="345"/>
      <c r="O206" s="345"/>
      <c r="P206" s="345"/>
      <c r="Q206" s="345"/>
      <c r="R206" s="345"/>
      <c r="S206" s="345"/>
    </row>
    <row r="207" spans="11:19" x14ac:dyDescent="0.3">
      <c r="K207" s="344"/>
      <c r="L207" s="344"/>
      <c r="M207" s="345"/>
      <c r="N207" s="345"/>
      <c r="O207" s="345"/>
      <c r="P207" s="345"/>
      <c r="Q207" s="345"/>
      <c r="R207" s="345"/>
      <c r="S207" s="345"/>
    </row>
    <row r="208" spans="11:19" x14ac:dyDescent="0.3">
      <c r="K208" s="346" t="s">
        <v>680</v>
      </c>
      <c r="L208" s="344"/>
      <c r="M208" s="345"/>
      <c r="N208" s="345"/>
      <c r="O208" s="345"/>
      <c r="P208" s="345"/>
      <c r="Q208" s="345"/>
      <c r="R208" s="345"/>
      <c r="S208" s="345"/>
    </row>
    <row r="209" spans="11:19" x14ac:dyDescent="0.3">
      <c r="K209" s="347" t="s">
        <v>514</v>
      </c>
      <c r="L209" s="347" t="s">
        <v>649</v>
      </c>
      <c r="M209" s="348" t="s">
        <v>650</v>
      </c>
      <c r="N209" s="348" t="s">
        <v>651</v>
      </c>
      <c r="O209" s="348" t="s">
        <v>652</v>
      </c>
      <c r="P209" s="348" t="s">
        <v>653</v>
      </c>
      <c r="Q209" s="348" t="s">
        <v>654</v>
      </c>
      <c r="R209" s="348" t="s">
        <v>655</v>
      </c>
      <c r="S209" s="348" t="s">
        <v>656</v>
      </c>
    </row>
    <row r="210" spans="11:19" x14ac:dyDescent="0.3">
      <c r="K210" s="344">
        <v>7</v>
      </c>
      <c r="L210" s="344">
        <v>1</v>
      </c>
      <c r="M210" s="345">
        <v>21</v>
      </c>
      <c r="N210" s="345">
        <v>21</v>
      </c>
      <c r="O210" s="345" t="s">
        <v>657</v>
      </c>
      <c r="P210" s="345">
        <v>21</v>
      </c>
      <c r="Q210" s="345">
        <v>21</v>
      </c>
      <c r="R210" s="345"/>
      <c r="S210" s="345"/>
    </row>
    <row r="211" spans="11:19" x14ac:dyDescent="0.3">
      <c r="K211" s="344">
        <v>8</v>
      </c>
      <c r="L211" s="344">
        <v>10</v>
      </c>
      <c r="M211" s="345">
        <v>20.92</v>
      </c>
      <c r="N211" s="345">
        <v>20.6</v>
      </c>
      <c r="O211" s="345">
        <v>2.6360000000000001</v>
      </c>
      <c r="P211" s="345">
        <v>25.9</v>
      </c>
      <c r="Q211" s="345">
        <v>17.600000000000001</v>
      </c>
      <c r="R211" s="345">
        <f t="shared" si="18"/>
        <v>22.553809726791958</v>
      </c>
      <c r="S211" s="345">
        <f t="shared" si="19"/>
        <v>19.286190273208046</v>
      </c>
    </row>
    <row r="212" spans="11:19" x14ac:dyDescent="0.3">
      <c r="K212" s="344">
        <v>9</v>
      </c>
      <c r="L212" s="344">
        <v>17</v>
      </c>
      <c r="M212" s="345">
        <v>21.611999999999998</v>
      </c>
      <c r="N212" s="345">
        <v>21</v>
      </c>
      <c r="O212" s="345">
        <v>2.3570000000000002</v>
      </c>
      <c r="P212" s="345">
        <v>26.1</v>
      </c>
      <c r="Q212" s="345">
        <v>17.8</v>
      </c>
      <c r="R212" s="345">
        <f t="shared" si="18"/>
        <v>22.732446677692845</v>
      </c>
      <c r="S212" s="345">
        <f t="shared" si="19"/>
        <v>20.491553322307151</v>
      </c>
    </row>
    <row r="213" spans="11:19" x14ac:dyDescent="0.3">
      <c r="K213" s="344">
        <v>10</v>
      </c>
      <c r="L213" s="344">
        <v>22</v>
      </c>
      <c r="M213" s="345">
        <v>22.864000000000001</v>
      </c>
      <c r="N213" s="345">
        <v>22</v>
      </c>
      <c r="O213" s="345">
        <v>3.0819999999999999</v>
      </c>
      <c r="P213" s="345">
        <v>32.799999999999997</v>
      </c>
      <c r="Q213" s="345">
        <v>19.100000000000001</v>
      </c>
      <c r="R213" s="345">
        <f t="shared" si="18"/>
        <v>24.151885831303662</v>
      </c>
      <c r="S213" s="345">
        <f t="shared" si="19"/>
        <v>21.576114168696339</v>
      </c>
    </row>
    <row r="214" spans="11:19" x14ac:dyDescent="0.3">
      <c r="K214" s="344">
        <v>11</v>
      </c>
      <c r="L214" s="344">
        <v>21</v>
      </c>
      <c r="M214" s="345">
        <v>24.114000000000001</v>
      </c>
      <c r="N214" s="345">
        <v>23.5</v>
      </c>
      <c r="O214" s="345">
        <v>3.0590000000000002</v>
      </c>
      <c r="P214" s="345">
        <v>29.9</v>
      </c>
      <c r="Q214" s="345">
        <v>18.5</v>
      </c>
      <c r="R214" s="345">
        <f t="shared" si="18"/>
        <v>25.422355911414527</v>
      </c>
      <c r="S214" s="345">
        <f t="shared" si="19"/>
        <v>22.805644088585474</v>
      </c>
    </row>
    <row r="215" spans="11:19" x14ac:dyDescent="0.3">
      <c r="K215" s="344">
        <v>12</v>
      </c>
      <c r="L215" s="344">
        <v>39</v>
      </c>
      <c r="M215" s="345">
        <v>23.831</v>
      </c>
      <c r="N215" s="345">
        <v>23.9</v>
      </c>
      <c r="O215" s="345">
        <v>2.64</v>
      </c>
      <c r="P215" s="345">
        <v>31.4</v>
      </c>
      <c r="Q215" s="345">
        <v>19.399999999999999</v>
      </c>
      <c r="R215" s="345">
        <f t="shared" si="18"/>
        <v>24.659567119049044</v>
      </c>
      <c r="S215" s="345">
        <f t="shared" si="19"/>
        <v>23.002432880950956</v>
      </c>
    </row>
    <row r="216" spans="11:19" x14ac:dyDescent="0.3">
      <c r="K216" s="344">
        <v>13</v>
      </c>
      <c r="L216" s="344">
        <v>41</v>
      </c>
      <c r="M216" s="345">
        <v>25.08</v>
      </c>
      <c r="N216" s="345">
        <v>25</v>
      </c>
      <c r="O216" s="345">
        <v>2.7040000000000002</v>
      </c>
      <c r="P216" s="345">
        <v>31.6</v>
      </c>
      <c r="Q216" s="345">
        <v>20.6</v>
      </c>
      <c r="R216" s="345">
        <f t="shared" si="18"/>
        <v>25.907695950207707</v>
      </c>
      <c r="S216" s="345">
        <f t="shared" si="19"/>
        <v>24.25230404979229</v>
      </c>
    </row>
    <row r="217" spans="11:19" x14ac:dyDescent="0.3">
      <c r="K217" s="344">
        <v>14</v>
      </c>
      <c r="L217" s="344">
        <v>45</v>
      </c>
      <c r="M217" s="345">
        <v>25.791</v>
      </c>
      <c r="N217" s="345">
        <v>25.7</v>
      </c>
      <c r="O217" s="345">
        <v>2.7349999999999999</v>
      </c>
      <c r="P217" s="345">
        <v>32</v>
      </c>
      <c r="Q217" s="345">
        <v>21</v>
      </c>
      <c r="R217" s="345">
        <f t="shared" si="18"/>
        <v>26.590111066679025</v>
      </c>
      <c r="S217" s="345">
        <f t="shared" si="19"/>
        <v>24.991888933320975</v>
      </c>
    </row>
    <row r="218" spans="11:19" x14ac:dyDescent="0.3">
      <c r="K218" s="344">
        <v>15</v>
      </c>
      <c r="L218" s="344">
        <v>12</v>
      </c>
      <c r="M218" s="345">
        <v>26.35</v>
      </c>
      <c r="N218" s="345">
        <v>26.1</v>
      </c>
      <c r="O218" s="345">
        <v>2.1120000000000001</v>
      </c>
      <c r="P218" s="345">
        <v>30.3</v>
      </c>
      <c r="Q218" s="345">
        <v>22.1</v>
      </c>
      <c r="R218" s="345">
        <f t="shared" si="18"/>
        <v>27.544976493157922</v>
      </c>
      <c r="S218" s="345">
        <f t="shared" si="19"/>
        <v>25.155023506842081</v>
      </c>
    </row>
    <row r="219" spans="11:19" x14ac:dyDescent="0.3">
      <c r="K219" s="344">
        <v>16</v>
      </c>
      <c r="L219" s="344">
        <v>13</v>
      </c>
      <c r="M219" s="345">
        <v>26.030999999999999</v>
      </c>
      <c r="N219" s="345">
        <v>26</v>
      </c>
      <c r="O219" s="345">
        <v>2.09</v>
      </c>
      <c r="P219" s="345">
        <v>29.1</v>
      </c>
      <c r="Q219" s="345">
        <v>23.2</v>
      </c>
      <c r="R219" s="345">
        <f t="shared" si="18"/>
        <v>27.167136941908513</v>
      </c>
      <c r="S219" s="345">
        <f t="shared" si="19"/>
        <v>24.894863058091484</v>
      </c>
    </row>
    <row r="220" spans="11:19" x14ac:dyDescent="0.3">
      <c r="K220" s="344">
        <v>17</v>
      </c>
      <c r="L220" s="344">
        <v>4</v>
      </c>
      <c r="M220" s="345">
        <v>24.25</v>
      </c>
      <c r="N220" s="345">
        <v>24.95</v>
      </c>
      <c r="O220" s="345">
        <v>2.327</v>
      </c>
      <c r="P220" s="345">
        <v>26.2</v>
      </c>
      <c r="Q220" s="345">
        <v>20.9</v>
      </c>
      <c r="R220" s="345">
        <f t="shared" si="18"/>
        <v>26.530459999999998</v>
      </c>
      <c r="S220" s="345">
        <f t="shared" si="19"/>
        <v>21.969540000000002</v>
      </c>
    </row>
    <row r="221" spans="11:19" x14ac:dyDescent="0.3">
      <c r="K221" s="349">
        <v>18</v>
      </c>
      <c r="L221" s="349">
        <v>2</v>
      </c>
      <c r="M221" s="350">
        <v>26.6</v>
      </c>
      <c r="N221" s="350">
        <v>26.6</v>
      </c>
      <c r="O221" s="350">
        <v>0.14099999999999999</v>
      </c>
      <c r="P221" s="350">
        <v>26.7</v>
      </c>
      <c r="Q221" s="350">
        <v>26.5</v>
      </c>
      <c r="R221" s="350">
        <f t="shared" si="18"/>
        <v>26.795416030048717</v>
      </c>
      <c r="S221" s="350">
        <f t="shared" si="19"/>
        <v>26.404583969951286</v>
      </c>
    </row>
    <row r="222" spans="11:19" x14ac:dyDescent="0.3">
      <c r="K222" s="344"/>
      <c r="L222" s="344"/>
      <c r="M222" s="345"/>
      <c r="N222" s="345"/>
      <c r="O222" s="345"/>
      <c r="P222" s="345"/>
      <c r="Q222" s="345"/>
      <c r="R222" s="345"/>
      <c r="S222" s="345"/>
    </row>
    <row r="223" spans="11:19" x14ac:dyDescent="0.3">
      <c r="K223" s="344"/>
      <c r="L223" s="344"/>
      <c r="M223" s="345"/>
      <c r="N223" s="345"/>
      <c r="O223" s="345"/>
      <c r="P223" s="345"/>
      <c r="Q223" s="345"/>
      <c r="R223" s="345"/>
      <c r="S223" s="345"/>
    </row>
    <row r="224" spans="11:19" x14ac:dyDescent="0.3">
      <c r="K224" s="346" t="s">
        <v>681</v>
      </c>
      <c r="L224" s="344"/>
      <c r="M224" s="345"/>
      <c r="N224" s="345"/>
      <c r="O224" s="345"/>
      <c r="P224" s="345"/>
      <c r="Q224" s="345"/>
      <c r="R224" s="345"/>
      <c r="S224" s="345"/>
    </row>
    <row r="225" spans="11:19" x14ac:dyDescent="0.3">
      <c r="K225" s="347" t="s">
        <v>514</v>
      </c>
      <c r="L225" s="347" t="s">
        <v>649</v>
      </c>
      <c r="M225" s="348" t="s">
        <v>650</v>
      </c>
      <c r="N225" s="348" t="s">
        <v>651</v>
      </c>
      <c r="O225" s="348" t="s">
        <v>652</v>
      </c>
      <c r="P225" s="348" t="s">
        <v>653</v>
      </c>
      <c r="Q225" s="348" t="s">
        <v>654</v>
      </c>
      <c r="R225" s="348" t="s">
        <v>655</v>
      </c>
      <c r="S225" s="348" t="s">
        <v>656</v>
      </c>
    </row>
    <row r="226" spans="11:19" x14ac:dyDescent="0.3">
      <c r="K226" s="344">
        <v>7</v>
      </c>
      <c r="L226" s="344">
        <v>1</v>
      </c>
      <c r="M226" s="345">
        <v>19.2</v>
      </c>
      <c r="N226" s="345">
        <v>19.2</v>
      </c>
      <c r="O226" s="345" t="s">
        <v>657</v>
      </c>
      <c r="P226" s="345">
        <v>19.2</v>
      </c>
      <c r="Q226" s="345">
        <v>19.2</v>
      </c>
      <c r="R226" s="345"/>
      <c r="S226" s="345"/>
    </row>
    <row r="227" spans="11:19" x14ac:dyDescent="0.3">
      <c r="K227" s="344">
        <v>8</v>
      </c>
      <c r="L227" s="344">
        <v>10</v>
      </c>
      <c r="M227" s="345">
        <v>18.920000000000002</v>
      </c>
      <c r="N227" s="345">
        <v>18.600000000000001</v>
      </c>
      <c r="O227" s="345">
        <v>1.415</v>
      </c>
      <c r="P227" s="345">
        <v>21.6</v>
      </c>
      <c r="Q227" s="345">
        <v>17.5</v>
      </c>
      <c r="R227" s="345">
        <f t="shared" si="18"/>
        <v>19.797026086271099</v>
      </c>
      <c r="S227" s="345">
        <f t="shared" si="19"/>
        <v>18.042973913728904</v>
      </c>
    </row>
    <row r="228" spans="11:19" x14ac:dyDescent="0.3">
      <c r="K228" s="344">
        <v>9</v>
      </c>
      <c r="L228" s="344">
        <v>17</v>
      </c>
      <c r="M228" s="345">
        <v>19.623999999999999</v>
      </c>
      <c r="N228" s="345">
        <v>19.5</v>
      </c>
      <c r="O228" s="345">
        <v>1.4790000000000001</v>
      </c>
      <c r="P228" s="345">
        <v>22.6</v>
      </c>
      <c r="Q228" s="345">
        <v>17.600000000000001</v>
      </c>
      <c r="R228" s="345">
        <f t="shared" si="18"/>
        <v>20.327071971280322</v>
      </c>
      <c r="S228" s="345">
        <f t="shared" si="19"/>
        <v>18.920928028719675</v>
      </c>
    </row>
    <row r="229" spans="11:19" x14ac:dyDescent="0.3">
      <c r="K229" s="344">
        <v>10</v>
      </c>
      <c r="L229" s="344">
        <v>22</v>
      </c>
      <c r="M229" s="345">
        <v>20.635999999999999</v>
      </c>
      <c r="N229" s="345">
        <v>19.850000000000001</v>
      </c>
      <c r="O229" s="345">
        <v>2.0209999999999999</v>
      </c>
      <c r="P229" s="345">
        <v>28</v>
      </c>
      <c r="Q229" s="345">
        <v>18.100000000000001</v>
      </c>
      <c r="R229" s="345">
        <f t="shared" si="18"/>
        <v>21.480522149599189</v>
      </c>
      <c r="S229" s="345">
        <f t="shared" si="19"/>
        <v>19.79147785040081</v>
      </c>
    </row>
    <row r="230" spans="11:19" x14ac:dyDescent="0.3">
      <c r="K230" s="344">
        <v>11</v>
      </c>
      <c r="L230" s="344">
        <v>21</v>
      </c>
      <c r="M230" s="345">
        <v>21.49</v>
      </c>
      <c r="N230" s="345">
        <v>21</v>
      </c>
      <c r="O230" s="345">
        <v>1.7649999999999999</v>
      </c>
      <c r="P230" s="345">
        <v>24.1</v>
      </c>
      <c r="Q230" s="345">
        <v>17.5</v>
      </c>
      <c r="R230" s="345">
        <f t="shared" si="18"/>
        <v>22.244902969482389</v>
      </c>
      <c r="S230" s="345">
        <f t="shared" si="19"/>
        <v>20.735097030517608</v>
      </c>
    </row>
    <row r="231" spans="11:19" x14ac:dyDescent="0.3">
      <c r="K231" s="344">
        <v>12</v>
      </c>
      <c r="L231" s="344">
        <v>39</v>
      </c>
      <c r="M231" s="345">
        <v>21.449000000000002</v>
      </c>
      <c r="N231" s="345">
        <v>21.2</v>
      </c>
      <c r="O231" s="345">
        <v>1.6930000000000001</v>
      </c>
      <c r="P231" s="345">
        <v>25.9</v>
      </c>
      <c r="Q231" s="345">
        <v>18.5</v>
      </c>
      <c r="R231" s="345">
        <f t="shared" si="18"/>
        <v>21.980350050208347</v>
      </c>
      <c r="S231" s="345">
        <f t="shared" si="19"/>
        <v>20.917649949791656</v>
      </c>
    </row>
    <row r="232" spans="11:19" x14ac:dyDescent="0.3">
      <c r="K232" s="344">
        <v>13</v>
      </c>
      <c r="L232" s="344">
        <v>41</v>
      </c>
      <c r="M232" s="345">
        <v>22.236999999999998</v>
      </c>
      <c r="N232" s="345">
        <v>22</v>
      </c>
      <c r="O232" s="345">
        <v>1.6140000000000001</v>
      </c>
      <c r="P232" s="345">
        <v>26.2</v>
      </c>
      <c r="Q232" s="345">
        <v>19.600000000000001</v>
      </c>
      <c r="R232" s="345">
        <f t="shared" si="18"/>
        <v>22.731046325308892</v>
      </c>
      <c r="S232" s="345">
        <f t="shared" si="19"/>
        <v>21.742953674691105</v>
      </c>
    </row>
    <row r="233" spans="11:19" x14ac:dyDescent="0.3">
      <c r="K233" s="344">
        <v>14</v>
      </c>
      <c r="L233" s="344">
        <v>45</v>
      </c>
      <c r="M233" s="345">
        <v>22.678000000000001</v>
      </c>
      <c r="N233" s="345">
        <v>22.5</v>
      </c>
      <c r="O233" s="345">
        <v>1.47</v>
      </c>
      <c r="P233" s="345">
        <v>25.9</v>
      </c>
      <c r="Q233" s="345">
        <v>19.8</v>
      </c>
      <c r="R233" s="345">
        <f t="shared" si="18"/>
        <v>23.10750393711816</v>
      </c>
      <c r="S233" s="345">
        <f t="shared" si="19"/>
        <v>22.248496062881841</v>
      </c>
    </row>
    <row r="234" spans="11:19" x14ac:dyDescent="0.3">
      <c r="K234" s="344">
        <v>15</v>
      </c>
      <c r="L234" s="344">
        <v>12</v>
      </c>
      <c r="M234" s="345">
        <v>22.6</v>
      </c>
      <c r="N234" s="345">
        <v>22.8</v>
      </c>
      <c r="O234" s="345">
        <v>1.073</v>
      </c>
      <c r="P234" s="345">
        <v>24.2</v>
      </c>
      <c r="Q234" s="345">
        <v>20.7</v>
      </c>
      <c r="R234" s="345">
        <f t="shared" si="18"/>
        <v>23.207106902063661</v>
      </c>
      <c r="S234" s="345">
        <f t="shared" si="19"/>
        <v>21.992893097936342</v>
      </c>
    </row>
    <row r="235" spans="11:19" x14ac:dyDescent="0.3">
      <c r="K235" s="344">
        <v>16</v>
      </c>
      <c r="L235" s="344">
        <v>13</v>
      </c>
      <c r="M235" s="345">
        <v>22.585000000000001</v>
      </c>
      <c r="N235" s="345">
        <v>22.5</v>
      </c>
      <c r="O235" s="345">
        <v>0.98599999999999999</v>
      </c>
      <c r="P235" s="345">
        <v>23.9</v>
      </c>
      <c r="Q235" s="345">
        <v>21.2</v>
      </c>
      <c r="R235" s="345">
        <f t="shared" si="18"/>
        <v>23.120995705608514</v>
      </c>
      <c r="S235" s="345">
        <f t="shared" si="19"/>
        <v>22.049004294391487</v>
      </c>
    </row>
    <row r="236" spans="11:19" x14ac:dyDescent="0.3">
      <c r="K236" s="344">
        <v>17</v>
      </c>
      <c r="L236" s="344">
        <v>4</v>
      </c>
      <c r="M236" s="345">
        <v>21.25</v>
      </c>
      <c r="N236" s="345">
        <v>22.1</v>
      </c>
      <c r="O236" s="345">
        <v>2.121</v>
      </c>
      <c r="P236" s="345">
        <v>22.7</v>
      </c>
      <c r="Q236" s="345">
        <v>18.100000000000001</v>
      </c>
      <c r="R236" s="345">
        <f t="shared" si="18"/>
        <v>23.328579999999999</v>
      </c>
      <c r="S236" s="345">
        <f t="shared" si="19"/>
        <v>19.171420000000001</v>
      </c>
    </row>
    <row r="237" spans="11:19" x14ac:dyDescent="0.3">
      <c r="K237" s="349">
        <v>18</v>
      </c>
      <c r="L237" s="349">
        <v>2</v>
      </c>
      <c r="M237" s="350">
        <v>23.05</v>
      </c>
      <c r="N237" s="350">
        <v>23.05</v>
      </c>
      <c r="O237" s="350">
        <v>0.77800000000000002</v>
      </c>
      <c r="P237" s="350">
        <v>23.6</v>
      </c>
      <c r="Q237" s="350">
        <v>22.5</v>
      </c>
      <c r="R237" s="350">
        <f t="shared" si="18"/>
        <v>24.128252988495742</v>
      </c>
      <c r="S237" s="350">
        <f t="shared" si="19"/>
        <v>21.971747011504259</v>
      </c>
    </row>
    <row r="238" spans="11:19" x14ac:dyDescent="0.3">
      <c r="K238" s="344"/>
      <c r="L238" s="344"/>
      <c r="M238" s="345"/>
      <c r="N238" s="345"/>
      <c r="O238" s="345"/>
      <c r="P238" s="345"/>
      <c r="Q238" s="345"/>
      <c r="R238" s="345"/>
      <c r="S238" s="345"/>
    </row>
    <row r="239" spans="11:19" x14ac:dyDescent="0.3">
      <c r="K239" s="344"/>
      <c r="L239" s="344"/>
      <c r="M239" s="345"/>
      <c r="N239" s="345"/>
      <c r="O239" s="345"/>
      <c r="P239" s="345"/>
      <c r="Q239" s="345"/>
      <c r="R239" s="345"/>
      <c r="S239" s="345"/>
    </row>
    <row r="240" spans="11:19" x14ac:dyDescent="0.3">
      <c r="K240" s="346" t="s">
        <v>682</v>
      </c>
      <c r="L240" s="344"/>
      <c r="M240" s="345"/>
      <c r="N240" s="345"/>
      <c r="O240" s="345"/>
      <c r="P240" s="345"/>
      <c r="Q240" s="345"/>
      <c r="R240" s="345"/>
      <c r="S240" s="345"/>
    </row>
    <row r="241" spans="11:19" x14ac:dyDescent="0.3">
      <c r="K241" s="347" t="s">
        <v>514</v>
      </c>
      <c r="L241" s="347" t="s">
        <v>649</v>
      </c>
      <c r="M241" s="348" t="s">
        <v>650</v>
      </c>
      <c r="N241" s="348" t="s">
        <v>651</v>
      </c>
      <c r="O241" s="348" t="s">
        <v>652</v>
      </c>
      <c r="P241" s="348" t="s">
        <v>653</v>
      </c>
      <c r="Q241" s="348" t="s">
        <v>654</v>
      </c>
      <c r="R241" s="348" t="s">
        <v>655</v>
      </c>
      <c r="S241" s="348" t="s">
        <v>656</v>
      </c>
    </row>
    <row r="242" spans="11:19" x14ac:dyDescent="0.3">
      <c r="K242" s="344">
        <v>7</v>
      </c>
      <c r="L242" s="344">
        <v>1</v>
      </c>
      <c r="M242" s="345">
        <v>13</v>
      </c>
      <c r="N242" s="345">
        <v>13</v>
      </c>
      <c r="O242" s="345" t="s">
        <v>657</v>
      </c>
      <c r="P242" s="345">
        <v>13</v>
      </c>
      <c r="Q242" s="345">
        <v>13</v>
      </c>
      <c r="R242" s="345"/>
      <c r="S242" s="345"/>
    </row>
    <row r="243" spans="11:19" x14ac:dyDescent="0.3">
      <c r="K243" s="344">
        <v>8</v>
      </c>
      <c r="L243" s="344">
        <v>10</v>
      </c>
      <c r="M243" s="345">
        <v>12.68</v>
      </c>
      <c r="N243" s="345">
        <v>12.55</v>
      </c>
      <c r="O243" s="345">
        <v>0.70399999999999996</v>
      </c>
      <c r="P243" s="345">
        <v>13.8</v>
      </c>
      <c r="Q243" s="345">
        <v>11.7</v>
      </c>
      <c r="R243" s="345">
        <f t="shared" ref="R243:R301" si="20">M243+(1.96*O243)/(L243)^0.5</f>
        <v>13.116343720660673</v>
      </c>
      <c r="S243" s="345">
        <f t="shared" ref="S243:S301" si="21">M243-(1.96*O243)/(L243)^0.5</f>
        <v>12.243656279339326</v>
      </c>
    </row>
    <row r="244" spans="11:19" x14ac:dyDescent="0.3">
      <c r="K244" s="344">
        <v>9</v>
      </c>
      <c r="L244" s="344">
        <v>17</v>
      </c>
      <c r="M244" s="345">
        <v>13.218</v>
      </c>
      <c r="N244" s="345">
        <v>13.1</v>
      </c>
      <c r="O244" s="345">
        <v>0.70299999999999996</v>
      </c>
      <c r="P244" s="345">
        <v>14.7</v>
      </c>
      <c r="Q244" s="345">
        <v>11.8</v>
      </c>
      <c r="R244" s="345">
        <f t="shared" si="20"/>
        <v>13.552184987025063</v>
      </c>
      <c r="S244" s="345">
        <f t="shared" si="21"/>
        <v>12.883815012974937</v>
      </c>
    </row>
    <row r="245" spans="11:19" x14ac:dyDescent="0.3">
      <c r="K245" s="344">
        <v>10</v>
      </c>
      <c r="L245" s="344">
        <v>22</v>
      </c>
      <c r="M245" s="345">
        <v>13.731999999999999</v>
      </c>
      <c r="N245" s="345">
        <v>13.45</v>
      </c>
      <c r="O245" s="345">
        <v>1.07</v>
      </c>
      <c r="P245" s="345">
        <v>17.399999999999999</v>
      </c>
      <c r="Q245" s="345">
        <v>12.4</v>
      </c>
      <c r="R245" s="345">
        <f t="shared" si="20"/>
        <v>14.179124542340986</v>
      </c>
      <c r="S245" s="345">
        <f t="shared" si="21"/>
        <v>13.284875457659012</v>
      </c>
    </row>
    <row r="246" spans="11:19" x14ac:dyDescent="0.3">
      <c r="K246" s="344">
        <v>11</v>
      </c>
      <c r="L246" s="344">
        <v>21</v>
      </c>
      <c r="M246" s="345">
        <v>14.319000000000001</v>
      </c>
      <c r="N246" s="345">
        <v>14.2</v>
      </c>
      <c r="O246" s="345">
        <v>0.98499999999999999</v>
      </c>
      <c r="P246" s="345">
        <v>16</v>
      </c>
      <c r="Q246" s="345">
        <v>12</v>
      </c>
      <c r="R246" s="345">
        <f t="shared" si="20"/>
        <v>14.740291458889608</v>
      </c>
      <c r="S246" s="345">
        <f t="shared" si="21"/>
        <v>13.897708541110394</v>
      </c>
    </row>
    <row r="247" spans="11:19" x14ac:dyDescent="0.3">
      <c r="K247" s="344">
        <v>12</v>
      </c>
      <c r="L247" s="344">
        <v>39</v>
      </c>
      <c r="M247" s="345">
        <v>14.295</v>
      </c>
      <c r="N247" s="345">
        <v>14.3</v>
      </c>
      <c r="O247" s="345">
        <v>0.80400000000000005</v>
      </c>
      <c r="P247" s="345">
        <v>15.9</v>
      </c>
      <c r="Q247" s="345">
        <v>12.3</v>
      </c>
      <c r="R247" s="345">
        <f t="shared" si="20"/>
        <v>14.547336349892209</v>
      </c>
      <c r="S247" s="345">
        <f t="shared" si="21"/>
        <v>14.042663650107791</v>
      </c>
    </row>
    <row r="248" spans="11:19" x14ac:dyDescent="0.3">
      <c r="K248" s="344">
        <v>13</v>
      </c>
      <c r="L248" s="344">
        <v>41</v>
      </c>
      <c r="M248" s="345">
        <v>14.554</v>
      </c>
      <c r="N248" s="345">
        <v>14.5</v>
      </c>
      <c r="O248" s="345">
        <v>0.86499999999999999</v>
      </c>
      <c r="P248" s="345">
        <v>16.399999999999999</v>
      </c>
      <c r="Q248" s="345">
        <v>13.1</v>
      </c>
      <c r="R248" s="345">
        <f t="shared" si="20"/>
        <v>14.818776995905942</v>
      </c>
      <c r="S248" s="345">
        <f t="shared" si="21"/>
        <v>14.289223004094058</v>
      </c>
    </row>
    <row r="249" spans="11:19" x14ac:dyDescent="0.3">
      <c r="K249" s="344">
        <v>14</v>
      </c>
      <c r="L249" s="344">
        <v>45</v>
      </c>
      <c r="M249" s="345">
        <v>14.644</v>
      </c>
      <c r="N249" s="345">
        <v>14.6</v>
      </c>
      <c r="O249" s="345">
        <v>0.68899999999999995</v>
      </c>
      <c r="P249" s="345">
        <v>16.2</v>
      </c>
      <c r="Q249" s="345">
        <v>12.9</v>
      </c>
      <c r="R249" s="345">
        <f t="shared" si="20"/>
        <v>14.845311709302321</v>
      </c>
      <c r="S249" s="345">
        <f t="shared" si="21"/>
        <v>14.44268829069768</v>
      </c>
    </row>
    <row r="250" spans="11:19" x14ac:dyDescent="0.3">
      <c r="K250" s="344">
        <v>15</v>
      </c>
      <c r="L250" s="344">
        <v>12</v>
      </c>
      <c r="M250" s="345">
        <v>14.358000000000001</v>
      </c>
      <c r="N250" s="345">
        <v>14.45</v>
      </c>
      <c r="O250" s="345">
        <v>0.51800000000000002</v>
      </c>
      <c r="P250" s="345">
        <v>15</v>
      </c>
      <c r="Q250" s="345">
        <v>13.5</v>
      </c>
      <c r="R250" s="345">
        <f t="shared" si="20"/>
        <v>14.651086090651422</v>
      </c>
      <c r="S250" s="345">
        <f t="shared" si="21"/>
        <v>14.064913909348579</v>
      </c>
    </row>
    <row r="251" spans="11:19" x14ac:dyDescent="0.3">
      <c r="K251" s="344">
        <v>16</v>
      </c>
      <c r="L251" s="344">
        <v>13</v>
      </c>
      <c r="M251" s="345">
        <v>14.414999999999999</v>
      </c>
      <c r="N251" s="345">
        <v>14.4</v>
      </c>
      <c r="O251" s="345">
        <v>0.52300000000000002</v>
      </c>
      <c r="P251" s="345">
        <v>15.2</v>
      </c>
      <c r="Q251" s="345">
        <v>13.6</v>
      </c>
      <c r="R251" s="345">
        <f t="shared" si="20"/>
        <v>14.699306038573278</v>
      </c>
      <c r="S251" s="345">
        <f t="shared" si="21"/>
        <v>14.13069396142672</v>
      </c>
    </row>
    <row r="252" spans="11:19" x14ac:dyDescent="0.3">
      <c r="K252" s="344">
        <v>17</v>
      </c>
      <c r="L252" s="344">
        <v>4</v>
      </c>
      <c r="M252" s="345">
        <v>14.025</v>
      </c>
      <c r="N252" s="345">
        <v>14.15</v>
      </c>
      <c r="O252" s="345">
        <v>0.35899999999999999</v>
      </c>
      <c r="P252" s="345">
        <v>14.3</v>
      </c>
      <c r="Q252" s="345">
        <v>13.5</v>
      </c>
      <c r="R252" s="345">
        <f t="shared" si="20"/>
        <v>14.37682</v>
      </c>
      <c r="S252" s="345">
        <f t="shared" si="21"/>
        <v>13.67318</v>
      </c>
    </row>
    <row r="253" spans="11:19" x14ac:dyDescent="0.3">
      <c r="K253" s="349">
        <v>18</v>
      </c>
      <c r="L253" s="349">
        <v>2</v>
      </c>
      <c r="M253" s="350">
        <v>14.8</v>
      </c>
      <c r="N253" s="350">
        <v>14.8</v>
      </c>
      <c r="O253" s="350">
        <v>0.42399999999999999</v>
      </c>
      <c r="P253" s="350">
        <v>15.1</v>
      </c>
      <c r="Q253" s="350">
        <v>14.5</v>
      </c>
      <c r="R253" s="350">
        <f t="shared" si="20"/>
        <v>15.38763401943727</v>
      </c>
      <c r="S253" s="350">
        <f t="shared" si="21"/>
        <v>14.212365980562732</v>
      </c>
    </row>
    <row r="254" spans="11:19" x14ac:dyDescent="0.3">
      <c r="K254" s="344"/>
      <c r="L254" s="344"/>
      <c r="M254" s="345"/>
      <c r="N254" s="345"/>
      <c r="O254" s="345"/>
      <c r="P254" s="345"/>
      <c r="Q254" s="345"/>
      <c r="R254" s="345"/>
      <c r="S254" s="345"/>
    </row>
    <row r="255" spans="11:19" x14ac:dyDescent="0.3">
      <c r="K255" s="344"/>
      <c r="L255" s="344"/>
      <c r="M255" s="345"/>
      <c r="N255" s="345"/>
      <c r="O255" s="345"/>
      <c r="P255" s="345"/>
      <c r="Q255" s="345"/>
      <c r="R255" s="345"/>
      <c r="S255" s="345"/>
    </row>
    <row r="256" spans="11:19" x14ac:dyDescent="0.3">
      <c r="K256" s="346" t="s">
        <v>683</v>
      </c>
      <c r="L256" s="344"/>
      <c r="M256" s="345"/>
      <c r="N256" s="345"/>
      <c r="O256" s="345"/>
      <c r="P256" s="345"/>
      <c r="Q256" s="345"/>
      <c r="R256" s="345"/>
      <c r="S256" s="345"/>
    </row>
    <row r="257" spans="11:19" x14ac:dyDescent="0.3">
      <c r="K257" s="347" t="s">
        <v>514</v>
      </c>
      <c r="L257" s="347" t="s">
        <v>649</v>
      </c>
      <c r="M257" s="348" t="s">
        <v>650</v>
      </c>
      <c r="N257" s="348" t="s">
        <v>651</v>
      </c>
      <c r="O257" s="348" t="s">
        <v>652</v>
      </c>
      <c r="P257" s="348" t="s">
        <v>653</v>
      </c>
      <c r="Q257" s="348" t="s">
        <v>654</v>
      </c>
      <c r="R257" s="348" t="s">
        <v>655</v>
      </c>
      <c r="S257" s="348" t="s">
        <v>656</v>
      </c>
    </row>
    <row r="258" spans="11:19" x14ac:dyDescent="0.3">
      <c r="K258" s="344">
        <v>7</v>
      </c>
      <c r="L258" s="344">
        <v>1</v>
      </c>
      <c r="M258" s="345">
        <v>62.3</v>
      </c>
      <c r="N258" s="345">
        <v>62.3</v>
      </c>
      <c r="O258" s="345" t="s">
        <v>657</v>
      </c>
      <c r="P258" s="345">
        <v>62.3</v>
      </c>
      <c r="Q258" s="345">
        <v>62.3</v>
      </c>
      <c r="R258" s="345"/>
      <c r="S258" s="345"/>
    </row>
    <row r="259" spans="11:19" x14ac:dyDescent="0.3">
      <c r="K259" s="344">
        <v>8</v>
      </c>
      <c r="L259" s="344">
        <v>10</v>
      </c>
      <c r="M259" s="345">
        <v>64.900000000000006</v>
      </c>
      <c r="N259" s="345">
        <v>64.349999999999994</v>
      </c>
      <c r="O259" s="345">
        <v>5.2850000000000001</v>
      </c>
      <c r="P259" s="345">
        <v>73.5</v>
      </c>
      <c r="Q259" s="345">
        <v>58.8</v>
      </c>
      <c r="R259" s="345">
        <f t="shared" si="20"/>
        <v>68.175676937062022</v>
      </c>
      <c r="S259" s="345">
        <f t="shared" si="21"/>
        <v>61.624323062937989</v>
      </c>
    </row>
    <row r="260" spans="11:19" x14ac:dyDescent="0.3">
      <c r="K260" s="344">
        <v>9</v>
      </c>
      <c r="L260" s="344">
        <v>17</v>
      </c>
      <c r="M260" s="345">
        <v>68.512</v>
      </c>
      <c r="N260" s="345">
        <v>67.2</v>
      </c>
      <c r="O260" s="345">
        <v>4.992</v>
      </c>
      <c r="P260" s="345">
        <v>77.599999999999994</v>
      </c>
      <c r="Q260" s="345">
        <v>62</v>
      </c>
      <c r="R260" s="345">
        <f t="shared" si="20"/>
        <v>70.885046166755501</v>
      </c>
      <c r="S260" s="345">
        <f t="shared" si="21"/>
        <v>66.1389538332445</v>
      </c>
    </row>
    <row r="261" spans="11:19" x14ac:dyDescent="0.3">
      <c r="K261" s="344">
        <v>10</v>
      </c>
      <c r="L261" s="344">
        <v>22</v>
      </c>
      <c r="M261" s="345">
        <v>73.031999999999996</v>
      </c>
      <c r="N261" s="345">
        <v>71.95</v>
      </c>
      <c r="O261" s="345">
        <v>8.0510000000000002</v>
      </c>
      <c r="P261" s="345">
        <v>98.4</v>
      </c>
      <c r="Q261" s="345">
        <v>61.5</v>
      </c>
      <c r="R261" s="345">
        <f t="shared" si="20"/>
        <v>76.396298776062878</v>
      </c>
      <c r="S261" s="345">
        <f t="shared" si="21"/>
        <v>69.667701223937115</v>
      </c>
    </row>
    <row r="262" spans="11:19" x14ac:dyDescent="0.3">
      <c r="K262" s="344">
        <v>11</v>
      </c>
      <c r="L262" s="344">
        <v>21</v>
      </c>
      <c r="M262" s="345">
        <v>75.585999999999999</v>
      </c>
      <c r="N262" s="345">
        <v>73.900000000000006</v>
      </c>
      <c r="O262" s="345">
        <v>6.516</v>
      </c>
      <c r="P262" s="345">
        <v>87.4</v>
      </c>
      <c r="Q262" s="345">
        <v>64</v>
      </c>
      <c r="R262" s="345">
        <f t="shared" si="20"/>
        <v>78.372939234644349</v>
      </c>
      <c r="S262" s="345">
        <f t="shared" si="21"/>
        <v>72.799060765355648</v>
      </c>
    </row>
    <row r="263" spans="11:19" x14ac:dyDescent="0.3">
      <c r="K263" s="344">
        <v>12</v>
      </c>
      <c r="L263" s="344">
        <v>39</v>
      </c>
      <c r="M263" s="345">
        <v>76.474000000000004</v>
      </c>
      <c r="N263" s="345">
        <v>76</v>
      </c>
      <c r="O263" s="345">
        <v>6.2359999999999998</v>
      </c>
      <c r="P263" s="345">
        <v>95.9</v>
      </c>
      <c r="Q263" s="345">
        <v>65.2</v>
      </c>
      <c r="R263" s="345">
        <f t="shared" si="20"/>
        <v>78.431175967571903</v>
      </c>
      <c r="S263" s="345">
        <f t="shared" si="21"/>
        <v>74.516824032428104</v>
      </c>
    </row>
    <row r="264" spans="11:19" x14ac:dyDescent="0.3">
      <c r="K264" s="344">
        <v>13</v>
      </c>
      <c r="L264" s="344">
        <v>41</v>
      </c>
      <c r="M264" s="345">
        <v>80.09</v>
      </c>
      <c r="N264" s="345">
        <v>80.5</v>
      </c>
      <c r="O264" s="345">
        <v>5.5270000000000001</v>
      </c>
      <c r="P264" s="345">
        <v>92.7</v>
      </c>
      <c r="Q264" s="345">
        <v>69.5</v>
      </c>
      <c r="R264" s="345">
        <f t="shared" si="20"/>
        <v>81.781817868638328</v>
      </c>
      <c r="S264" s="345">
        <f t="shared" si="21"/>
        <v>78.398182131361679</v>
      </c>
    </row>
    <row r="265" spans="11:19" x14ac:dyDescent="0.3">
      <c r="K265" s="344">
        <v>14</v>
      </c>
      <c r="L265" s="344">
        <v>45</v>
      </c>
      <c r="M265" s="345">
        <v>81.2</v>
      </c>
      <c r="N265" s="345">
        <v>81.099999999999994</v>
      </c>
      <c r="O265" s="345">
        <v>5.64</v>
      </c>
      <c r="P265" s="345">
        <v>99</v>
      </c>
      <c r="Q265" s="345">
        <v>72.5</v>
      </c>
      <c r="R265" s="345">
        <f t="shared" si="20"/>
        <v>82.847892656698249</v>
      </c>
      <c r="S265" s="345">
        <f t="shared" si="21"/>
        <v>79.552107343301756</v>
      </c>
    </row>
    <row r="266" spans="11:19" x14ac:dyDescent="0.3">
      <c r="K266" s="344">
        <v>15</v>
      </c>
      <c r="L266" s="344">
        <v>12</v>
      </c>
      <c r="M266" s="345">
        <v>82.308000000000007</v>
      </c>
      <c r="N266" s="345">
        <v>83.4</v>
      </c>
      <c r="O266" s="345">
        <v>4.4349999999999996</v>
      </c>
      <c r="P266" s="345">
        <v>87.4</v>
      </c>
      <c r="Q266" s="345">
        <v>71.599999999999994</v>
      </c>
      <c r="R266" s="345">
        <f t="shared" si="20"/>
        <v>84.817337474978871</v>
      </c>
      <c r="S266" s="345">
        <f t="shared" si="21"/>
        <v>79.798662525021143</v>
      </c>
    </row>
    <row r="267" spans="11:19" x14ac:dyDescent="0.3">
      <c r="K267" s="344">
        <v>16</v>
      </c>
      <c r="L267" s="344">
        <v>13</v>
      </c>
      <c r="M267" s="345">
        <v>81.808000000000007</v>
      </c>
      <c r="N267" s="345">
        <v>80.5</v>
      </c>
      <c r="O267" s="345">
        <v>5.7119999999999997</v>
      </c>
      <c r="P267" s="345">
        <v>91</v>
      </c>
      <c r="Q267" s="345">
        <v>73.099999999999994</v>
      </c>
      <c r="R267" s="345">
        <f t="shared" si="20"/>
        <v>84.913078570421746</v>
      </c>
      <c r="S267" s="345">
        <f t="shared" si="21"/>
        <v>78.702921429578268</v>
      </c>
    </row>
    <row r="268" spans="11:19" x14ac:dyDescent="0.3">
      <c r="K268" s="344">
        <v>17</v>
      </c>
      <c r="L268" s="344">
        <v>4</v>
      </c>
      <c r="M268" s="345">
        <v>77.5</v>
      </c>
      <c r="N268" s="345">
        <v>78</v>
      </c>
      <c r="O268" s="345">
        <v>2.8519999999999999</v>
      </c>
      <c r="P268" s="345">
        <v>80.3</v>
      </c>
      <c r="Q268" s="345">
        <v>73.7</v>
      </c>
      <c r="R268" s="345">
        <f t="shared" si="20"/>
        <v>80.294960000000003</v>
      </c>
      <c r="S268" s="345">
        <f t="shared" si="21"/>
        <v>74.705039999999997</v>
      </c>
    </row>
    <row r="269" spans="11:19" x14ac:dyDescent="0.3">
      <c r="K269" s="349">
        <v>18</v>
      </c>
      <c r="L269" s="349">
        <v>2</v>
      </c>
      <c r="M269" s="350">
        <v>82.55</v>
      </c>
      <c r="N269" s="350">
        <v>82.55</v>
      </c>
      <c r="O269" s="350">
        <v>6.01</v>
      </c>
      <c r="P269" s="350">
        <v>86.8</v>
      </c>
      <c r="Q269" s="350">
        <v>78.3</v>
      </c>
      <c r="R269" s="350">
        <f t="shared" si="20"/>
        <v>90.879435039665054</v>
      </c>
      <c r="S269" s="350">
        <f t="shared" si="21"/>
        <v>74.22056496033494</v>
      </c>
    </row>
    <row r="270" spans="11:19" x14ac:dyDescent="0.3">
      <c r="K270" s="344"/>
      <c r="L270" s="344"/>
      <c r="M270" s="345"/>
      <c r="N270" s="345"/>
      <c r="O270" s="345"/>
      <c r="P270" s="345"/>
      <c r="Q270" s="345"/>
      <c r="R270" s="345"/>
      <c r="S270" s="345"/>
    </row>
    <row r="271" spans="11:19" x14ac:dyDescent="0.3">
      <c r="K271" s="344"/>
      <c r="L271" s="344"/>
      <c r="M271" s="345"/>
      <c r="N271" s="345"/>
      <c r="O271" s="345"/>
      <c r="P271" s="345"/>
      <c r="Q271" s="345"/>
      <c r="R271" s="345"/>
      <c r="S271" s="345"/>
    </row>
    <row r="272" spans="11:19" x14ac:dyDescent="0.3">
      <c r="K272" s="346" t="s">
        <v>684</v>
      </c>
      <c r="L272" s="344"/>
      <c r="M272" s="345"/>
      <c r="N272" s="345"/>
      <c r="O272" s="345"/>
      <c r="P272" s="345"/>
      <c r="Q272" s="345"/>
      <c r="R272" s="345"/>
      <c r="S272" s="345"/>
    </row>
    <row r="273" spans="11:19" x14ac:dyDescent="0.3">
      <c r="K273" s="347" t="s">
        <v>514</v>
      </c>
      <c r="L273" s="347" t="s">
        <v>649</v>
      </c>
      <c r="M273" s="348" t="s">
        <v>650</v>
      </c>
      <c r="N273" s="348" t="s">
        <v>651</v>
      </c>
      <c r="O273" s="348" t="s">
        <v>652</v>
      </c>
      <c r="P273" s="348" t="s">
        <v>653</v>
      </c>
      <c r="Q273" s="348" t="s">
        <v>654</v>
      </c>
      <c r="R273" s="348" t="s">
        <v>655</v>
      </c>
      <c r="S273" s="348" t="s">
        <v>656</v>
      </c>
    </row>
    <row r="274" spans="11:19" x14ac:dyDescent="0.3">
      <c r="K274" s="344">
        <v>7</v>
      </c>
      <c r="L274" s="344">
        <v>1</v>
      </c>
      <c r="M274" s="345">
        <v>56</v>
      </c>
      <c r="N274" s="345">
        <v>56</v>
      </c>
      <c r="O274" s="345" t="s">
        <v>657</v>
      </c>
      <c r="P274" s="345">
        <v>56</v>
      </c>
      <c r="Q274" s="345">
        <v>56</v>
      </c>
      <c r="R274" s="345"/>
      <c r="S274" s="345"/>
    </row>
    <row r="275" spans="11:19" x14ac:dyDescent="0.3">
      <c r="K275" s="344">
        <v>8</v>
      </c>
      <c r="L275" s="344">
        <v>10</v>
      </c>
      <c r="M275" s="345">
        <v>56.4</v>
      </c>
      <c r="N275" s="345">
        <v>57.7</v>
      </c>
      <c r="O275" s="345">
        <v>6.226</v>
      </c>
      <c r="P275" s="345">
        <v>67.3</v>
      </c>
      <c r="Q275" s="345">
        <v>48.7</v>
      </c>
      <c r="R275" s="345">
        <f t="shared" si="20"/>
        <v>60.258914779592828</v>
      </c>
      <c r="S275" s="345">
        <f t="shared" si="21"/>
        <v>52.541085220407169</v>
      </c>
    </row>
    <row r="276" spans="11:19" x14ac:dyDescent="0.3">
      <c r="K276" s="344">
        <v>9</v>
      </c>
      <c r="L276" s="344">
        <v>17</v>
      </c>
      <c r="M276" s="345">
        <v>59.506</v>
      </c>
      <c r="N276" s="345">
        <v>58.7</v>
      </c>
      <c r="O276" s="345">
        <v>5.0430000000000001</v>
      </c>
      <c r="P276" s="345">
        <v>70.400000000000006</v>
      </c>
      <c r="Q276" s="345">
        <v>53.4</v>
      </c>
      <c r="R276" s="345">
        <f t="shared" si="20"/>
        <v>61.903290027834124</v>
      </c>
      <c r="S276" s="345">
        <f t="shared" si="21"/>
        <v>57.108709972165876</v>
      </c>
    </row>
    <row r="277" spans="11:19" x14ac:dyDescent="0.3">
      <c r="K277" s="344">
        <v>10</v>
      </c>
      <c r="L277" s="344">
        <v>22</v>
      </c>
      <c r="M277" s="345">
        <v>61.691000000000003</v>
      </c>
      <c r="N277" s="345">
        <v>59.95</v>
      </c>
      <c r="O277" s="345">
        <v>8.1850000000000005</v>
      </c>
      <c r="P277" s="345">
        <v>88.4</v>
      </c>
      <c r="Q277" s="345">
        <v>52.1</v>
      </c>
      <c r="R277" s="345">
        <f t="shared" si="20"/>
        <v>65.111293812206512</v>
      </c>
      <c r="S277" s="345">
        <f t="shared" si="21"/>
        <v>58.270706187793486</v>
      </c>
    </row>
    <row r="278" spans="11:19" x14ac:dyDescent="0.3">
      <c r="K278" s="344">
        <v>11</v>
      </c>
      <c r="L278" s="344">
        <v>21</v>
      </c>
      <c r="M278" s="345">
        <v>63.686</v>
      </c>
      <c r="N278" s="345">
        <v>62.2</v>
      </c>
      <c r="O278" s="345">
        <v>6.0650000000000004</v>
      </c>
      <c r="P278" s="345">
        <v>73.099999999999994</v>
      </c>
      <c r="Q278" s="345">
        <v>52.7</v>
      </c>
      <c r="R278" s="345">
        <f t="shared" si="20"/>
        <v>66.280043348391331</v>
      </c>
      <c r="S278" s="345">
        <f t="shared" si="21"/>
        <v>61.091956651608662</v>
      </c>
    </row>
    <row r="279" spans="11:19" x14ac:dyDescent="0.3">
      <c r="K279" s="344">
        <v>12</v>
      </c>
      <c r="L279" s="344">
        <v>39</v>
      </c>
      <c r="M279" s="345">
        <v>63.764000000000003</v>
      </c>
      <c r="N279" s="345">
        <v>62.4</v>
      </c>
      <c r="O279" s="345">
        <v>5.9619999999999997</v>
      </c>
      <c r="P279" s="345">
        <v>83.3</v>
      </c>
      <c r="Q279" s="345">
        <v>55.5</v>
      </c>
      <c r="R279" s="345">
        <f t="shared" si="20"/>
        <v>65.63518074385243</v>
      </c>
      <c r="S279" s="345">
        <f t="shared" si="21"/>
        <v>61.892819256147583</v>
      </c>
    </row>
    <row r="280" spans="11:19" x14ac:dyDescent="0.3">
      <c r="K280" s="344">
        <v>13</v>
      </c>
      <c r="L280" s="344">
        <v>41</v>
      </c>
      <c r="M280" s="345">
        <v>65.661000000000001</v>
      </c>
      <c r="N280" s="345">
        <v>63.6</v>
      </c>
      <c r="O280" s="345">
        <v>6.673</v>
      </c>
      <c r="P280" s="345">
        <v>88.6</v>
      </c>
      <c r="Q280" s="345">
        <v>56.6</v>
      </c>
      <c r="R280" s="345">
        <f t="shared" si="20"/>
        <v>67.703609125642032</v>
      </c>
      <c r="S280" s="345">
        <f t="shared" si="21"/>
        <v>63.618390874357971</v>
      </c>
    </row>
    <row r="281" spans="11:19" x14ac:dyDescent="0.3">
      <c r="K281" s="344">
        <v>14</v>
      </c>
      <c r="L281" s="344">
        <v>45</v>
      </c>
      <c r="M281" s="345">
        <v>67.018000000000001</v>
      </c>
      <c r="N281" s="345">
        <v>66.3</v>
      </c>
      <c r="O281" s="345">
        <v>5.5590000000000002</v>
      </c>
      <c r="P281" s="345">
        <v>83.3</v>
      </c>
      <c r="Q281" s="345">
        <v>59.4</v>
      </c>
      <c r="R281" s="345">
        <f t="shared" si="20"/>
        <v>68.642226113224382</v>
      </c>
      <c r="S281" s="345">
        <f t="shared" si="21"/>
        <v>65.39377388677562</v>
      </c>
    </row>
    <row r="282" spans="11:19" x14ac:dyDescent="0.3">
      <c r="K282" s="344">
        <v>15</v>
      </c>
      <c r="L282" s="344">
        <v>12</v>
      </c>
      <c r="M282" s="345">
        <v>67.099999999999994</v>
      </c>
      <c r="N282" s="345">
        <v>67.3</v>
      </c>
      <c r="O282" s="345">
        <v>5.0919999999999996</v>
      </c>
      <c r="P282" s="345">
        <v>75</v>
      </c>
      <c r="Q282" s="345">
        <v>56.6</v>
      </c>
      <c r="R282" s="345">
        <f t="shared" si="20"/>
        <v>69.981070219299298</v>
      </c>
      <c r="S282" s="345">
        <f t="shared" si="21"/>
        <v>64.218929780700691</v>
      </c>
    </row>
    <row r="283" spans="11:19" x14ac:dyDescent="0.3">
      <c r="K283" s="344">
        <v>16</v>
      </c>
      <c r="L283" s="344">
        <v>13</v>
      </c>
      <c r="M283" s="345">
        <v>68.423000000000002</v>
      </c>
      <c r="N283" s="345">
        <v>66.2</v>
      </c>
      <c r="O283" s="345">
        <v>6.819</v>
      </c>
      <c r="P283" s="345">
        <v>84.1</v>
      </c>
      <c r="Q283" s="345">
        <v>59.1</v>
      </c>
      <c r="R283" s="345">
        <f t="shared" si="20"/>
        <v>72.129850625298644</v>
      </c>
      <c r="S283" s="345">
        <f t="shared" si="21"/>
        <v>64.716149374701359</v>
      </c>
    </row>
    <row r="284" spans="11:19" x14ac:dyDescent="0.3">
      <c r="K284" s="344">
        <v>17</v>
      </c>
      <c r="L284" s="344">
        <v>4</v>
      </c>
      <c r="M284" s="345">
        <v>63.125</v>
      </c>
      <c r="N284" s="345">
        <v>63.9</v>
      </c>
      <c r="O284" s="345">
        <v>3.0670000000000002</v>
      </c>
      <c r="P284" s="345">
        <v>65.7</v>
      </c>
      <c r="Q284" s="345">
        <v>59</v>
      </c>
      <c r="R284" s="345">
        <f t="shared" si="20"/>
        <v>66.130660000000006</v>
      </c>
      <c r="S284" s="345">
        <f t="shared" si="21"/>
        <v>60.119340000000001</v>
      </c>
    </row>
    <row r="285" spans="11:19" x14ac:dyDescent="0.3">
      <c r="K285" s="349">
        <v>18</v>
      </c>
      <c r="L285" s="349">
        <v>2</v>
      </c>
      <c r="M285" s="350">
        <v>68.900000000000006</v>
      </c>
      <c r="N285" s="350">
        <v>68.900000000000006</v>
      </c>
      <c r="O285" s="350">
        <v>2.8279999999999998</v>
      </c>
      <c r="P285" s="350">
        <v>70.900000000000006</v>
      </c>
      <c r="Q285" s="350">
        <v>66.900000000000006</v>
      </c>
      <c r="R285" s="350">
        <f t="shared" si="20"/>
        <v>72.819408035303297</v>
      </c>
      <c r="S285" s="350">
        <f t="shared" si="21"/>
        <v>64.980591964696714</v>
      </c>
    </row>
    <row r="286" spans="11:19" x14ac:dyDescent="0.3">
      <c r="K286" s="344"/>
      <c r="L286" s="344"/>
      <c r="M286" s="345"/>
      <c r="N286" s="345"/>
      <c r="O286" s="345"/>
      <c r="P286" s="345"/>
      <c r="Q286" s="345"/>
      <c r="R286" s="345"/>
      <c r="S286" s="345"/>
    </row>
    <row r="287" spans="11:19" x14ac:dyDescent="0.3">
      <c r="K287" s="344"/>
      <c r="L287" s="344"/>
      <c r="M287" s="345"/>
      <c r="N287" s="345"/>
      <c r="O287" s="345"/>
      <c r="P287" s="345"/>
      <c r="Q287" s="345"/>
      <c r="R287" s="345"/>
      <c r="S287" s="345"/>
    </row>
    <row r="288" spans="11:19" x14ac:dyDescent="0.3">
      <c r="K288" s="346" t="s">
        <v>685</v>
      </c>
      <c r="L288" s="344"/>
      <c r="M288" s="345"/>
      <c r="N288" s="345"/>
      <c r="O288" s="345"/>
      <c r="P288" s="345"/>
      <c r="Q288" s="345"/>
      <c r="R288" s="345"/>
      <c r="S288" s="345"/>
    </row>
    <row r="289" spans="11:19" x14ac:dyDescent="0.3">
      <c r="K289" s="347" t="s">
        <v>514</v>
      </c>
      <c r="L289" s="347" t="s">
        <v>649</v>
      </c>
      <c r="M289" s="348" t="s">
        <v>650</v>
      </c>
      <c r="N289" s="348" t="s">
        <v>651</v>
      </c>
      <c r="O289" s="348" t="s">
        <v>652</v>
      </c>
      <c r="P289" s="348" t="s">
        <v>653</v>
      </c>
      <c r="Q289" s="348" t="s">
        <v>654</v>
      </c>
      <c r="R289" s="348" t="s">
        <v>655</v>
      </c>
      <c r="S289" s="348" t="s">
        <v>656</v>
      </c>
    </row>
    <row r="290" spans="11:19" x14ac:dyDescent="0.3">
      <c r="K290" s="344">
        <v>7</v>
      </c>
      <c r="L290" s="344">
        <v>1</v>
      </c>
      <c r="M290" s="345">
        <v>71.8</v>
      </c>
      <c r="N290" s="345">
        <v>71.8</v>
      </c>
      <c r="O290" s="345" t="s">
        <v>657</v>
      </c>
      <c r="P290" s="345">
        <v>71.8</v>
      </c>
      <c r="Q290" s="345">
        <v>71.8</v>
      </c>
      <c r="R290" s="345"/>
      <c r="S290" s="345"/>
    </row>
    <row r="291" spans="11:19" x14ac:dyDescent="0.3">
      <c r="K291" s="344">
        <v>8</v>
      </c>
      <c r="L291" s="344">
        <v>10</v>
      </c>
      <c r="M291" s="345">
        <v>69.86</v>
      </c>
      <c r="N291" s="345">
        <v>70</v>
      </c>
      <c r="O291" s="345">
        <v>6.97</v>
      </c>
      <c r="P291" s="345">
        <v>82.8</v>
      </c>
      <c r="Q291" s="345">
        <v>59.1</v>
      </c>
      <c r="R291" s="345">
        <f t="shared" si="20"/>
        <v>74.180050757109228</v>
      </c>
      <c r="S291" s="345">
        <f t="shared" si="21"/>
        <v>65.539949242890771</v>
      </c>
    </row>
    <row r="292" spans="11:19" x14ac:dyDescent="0.3">
      <c r="K292" s="344">
        <v>9</v>
      </c>
      <c r="L292" s="344">
        <v>17</v>
      </c>
      <c r="M292" s="345">
        <v>74.953000000000003</v>
      </c>
      <c r="N292" s="345">
        <v>75</v>
      </c>
      <c r="O292" s="345">
        <v>5.9119999999999999</v>
      </c>
      <c r="P292" s="345">
        <v>86.5</v>
      </c>
      <c r="Q292" s="345">
        <v>65</v>
      </c>
      <c r="R292" s="345">
        <f t="shared" si="20"/>
        <v>77.763386405821009</v>
      </c>
      <c r="S292" s="345">
        <f t="shared" si="21"/>
        <v>72.142613594178997</v>
      </c>
    </row>
    <row r="293" spans="11:19" x14ac:dyDescent="0.3">
      <c r="K293" s="344">
        <v>10</v>
      </c>
      <c r="L293" s="344">
        <v>22</v>
      </c>
      <c r="M293" s="345">
        <v>78.394999999999996</v>
      </c>
      <c r="N293" s="345">
        <v>76.900000000000006</v>
      </c>
      <c r="O293" s="345">
        <v>9.0519999999999996</v>
      </c>
      <c r="P293" s="345">
        <v>109.2</v>
      </c>
      <c r="Q293" s="345">
        <v>63.4</v>
      </c>
      <c r="R293" s="345">
        <f t="shared" si="20"/>
        <v>82.177590053523929</v>
      </c>
      <c r="S293" s="345">
        <f t="shared" si="21"/>
        <v>74.612409946476063</v>
      </c>
    </row>
    <row r="294" spans="11:19" x14ac:dyDescent="0.3">
      <c r="K294" s="344">
        <v>11</v>
      </c>
      <c r="L294" s="344">
        <v>21</v>
      </c>
      <c r="M294" s="345">
        <v>81.962000000000003</v>
      </c>
      <c r="N294" s="345">
        <v>80.7</v>
      </c>
      <c r="O294" s="345">
        <v>8.7569999999999997</v>
      </c>
      <c r="P294" s="345">
        <v>95.2</v>
      </c>
      <c r="Q294" s="345">
        <v>66.5</v>
      </c>
      <c r="R294" s="345">
        <f t="shared" si="20"/>
        <v>85.707430767001313</v>
      </c>
      <c r="S294" s="345">
        <f t="shared" si="21"/>
        <v>78.216569232998694</v>
      </c>
    </row>
    <row r="295" spans="11:19" x14ac:dyDescent="0.3">
      <c r="K295" s="344">
        <v>12</v>
      </c>
      <c r="L295" s="344">
        <v>39</v>
      </c>
      <c r="M295" s="345">
        <v>84.245999999999995</v>
      </c>
      <c r="N295" s="345">
        <v>84.7</v>
      </c>
      <c r="O295" s="345">
        <v>8.7910000000000004</v>
      </c>
      <c r="P295" s="345">
        <v>109</v>
      </c>
      <c r="Q295" s="345">
        <v>65.400000000000006</v>
      </c>
      <c r="R295" s="345">
        <f t="shared" si="20"/>
        <v>87.005065736197011</v>
      </c>
      <c r="S295" s="345">
        <f t="shared" si="21"/>
        <v>81.486934263802979</v>
      </c>
    </row>
    <row r="296" spans="11:19" x14ac:dyDescent="0.3">
      <c r="K296" s="344">
        <v>13</v>
      </c>
      <c r="L296" s="344">
        <v>41</v>
      </c>
      <c r="M296" s="345">
        <v>88.268000000000001</v>
      </c>
      <c r="N296" s="345">
        <v>88.9</v>
      </c>
      <c r="O296" s="345">
        <v>8.298</v>
      </c>
      <c r="P296" s="345">
        <v>112</v>
      </c>
      <c r="Q296" s="345">
        <v>75.2</v>
      </c>
      <c r="R296" s="345">
        <f t="shared" si="20"/>
        <v>90.808022557257246</v>
      </c>
      <c r="S296" s="345">
        <f t="shared" si="21"/>
        <v>85.727977442742755</v>
      </c>
    </row>
    <row r="297" spans="11:19" x14ac:dyDescent="0.3">
      <c r="K297" s="344">
        <v>14</v>
      </c>
      <c r="L297" s="344">
        <v>45</v>
      </c>
      <c r="M297" s="345">
        <v>90.944000000000003</v>
      </c>
      <c r="N297" s="345">
        <v>89.9</v>
      </c>
      <c r="O297" s="345">
        <v>6.3890000000000002</v>
      </c>
      <c r="P297" s="345">
        <v>108.9</v>
      </c>
      <c r="Q297" s="345">
        <v>78.7</v>
      </c>
      <c r="R297" s="345">
        <f t="shared" si="20"/>
        <v>92.810735138944167</v>
      </c>
      <c r="S297" s="345">
        <f t="shared" si="21"/>
        <v>89.077264861055838</v>
      </c>
    </row>
    <row r="298" spans="11:19" x14ac:dyDescent="0.3">
      <c r="K298" s="344">
        <v>15</v>
      </c>
      <c r="L298" s="344">
        <v>12</v>
      </c>
      <c r="M298" s="345">
        <v>91.45</v>
      </c>
      <c r="N298" s="345">
        <v>90.7</v>
      </c>
      <c r="O298" s="345">
        <v>5.8659999999999997</v>
      </c>
      <c r="P298" s="345">
        <v>101.9</v>
      </c>
      <c r="Q298" s="345">
        <v>79.7</v>
      </c>
      <c r="R298" s="345">
        <f t="shared" si="20"/>
        <v>94.769001945485016</v>
      </c>
      <c r="S298" s="345">
        <f t="shared" si="21"/>
        <v>88.13099805451499</v>
      </c>
    </row>
    <row r="299" spans="11:19" x14ac:dyDescent="0.3">
      <c r="K299" s="344">
        <v>16</v>
      </c>
      <c r="L299" s="344">
        <v>13</v>
      </c>
      <c r="M299" s="345">
        <v>90.462000000000003</v>
      </c>
      <c r="N299" s="345">
        <v>89.7</v>
      </c>
      <c r="O299" s="345">
        <v>5.9880000000000004</v>
      </c>
      <c r="P299" s="345">
        <v>103.5</v>
      </c>
      <c r="Q299" s="345">
        <v>82.3</v>
      </c>
      <c r="R299" s="345">
        <f t="shared" si="20"/>
        <v>93.717113879496736</v>
      </c>
      <c r="S299" s="345">
        <f t="shared" si="21"/>
        <v>87.20688612050327</v>
      </c>
    </row>
    <row r="300" spans="11:19" x14ac:dyDescent="0.3">
      <c r="K300" s="344">
        <v>17</v>
      </c>
      <c r="L300" s="344">
        <v>4</v>
      </c>
      <c r="M300" s="345">
        <v>87.125</v>
      </c>
      <c r="N300" s="345">
        <v>86</v>
      </c>
      <c r="O300" s="345">
        <v>2.8279999999999998</v>
      </c>
      <c r="P300" s="345">
        <v>91.3</v>
      </c>
      <c r="Q300" s="345">
        <v>85.2</v>
      </c>
      <c r="R300" s="345">
        <f t="shared" si="20"/>
        <v>89.896439999999998</v>
      </c>
      <c r="S300" s="345">
        <f t="shared" si="21"/>
        <v>84.353560000000002</v>
      </c>
    </row>
    <row r="301" spans="11:19" x14ac:dyDescent="0.3">
      <c r="K301" s="349">
        <v>18</v>
      </c>
      <c r="L301" s="349">
        <v>2</v>
      </c>
      <c r="M301" s="350">
        <v>92.25</v>
      </c>
      <c r="N301" s="350">
        <v>92.25</v>
      </c>
      <c r="O301" s="350">
        <v>3.323</v>
      </c>
      <c r="P301" s="350">
        <v>94.6</v>
      </c>
      <c r="Q301" s="350">
        <v>89.9</v>
      </c>
      <c r="R301" s="350">
        <f t="shared" si="20"/>
        <v>96.855443034410484</v>
      </c>
      <c r="S301" s="350">
        <f t="shared" si="21"/>
        <v>87.644556965589516</v>
      </c>
    </row>
    <row r="302" spans="11:19" x14ac:dyDescent="0.3">
      <c r="K302" s="344"/>
      <c r="L302" s="344"/>
      <c r="M302" s="345"/>
      <c r="N302" s="345"/>
      <c r="O302" s="345"/>
      <c r="P302" s="345"/>
      <c r="Q302" s="345"/>
      <c r="R302" s="345"/>
      <c r="S302" s="345"/>
    </row>
    <row r="303" spans="11:19" x14ac:dyDescent="0.3">
      <c r="K303" s="344"/>
      <c r="L303" s="344"/>
      <c r="M303" s="345"/>
      <c r="N303" s="345"/>
      <c r="O303" s="345"/>
      <c r="P303" s="345"/>
      <c r="Q303" s="345"/>
      <c r="R303" s="345"/>
      <c r="S303" s="345"/>
    </row>
    <row r="304" spans="11:19" x14ac:dyDescent="0.3">
      <c r="K304" s="346" t="s">
        <v>686</v>
      </c>
      <c r="L304" s="344"/>
      <c r="M304" s="345"/>
      <c r="N304" s="345"/>
      <c r="O304" s="345"/>
      <c r="P304" s="345"/>
      <c r="Q304" s="345"/>
      <c r="R304" s="345"/>
      <c r="S304" s="345"/>
    </row>
    <row r="305" spans="11:19" x14ac:dyDescent="0.3">
      <c r="K305" s="347" t="s">
        <v>514</v>
      </c>
      <c r="L305" s="347" t="s">
        <v>649</v>
      </c>
      <c r="M305" s="348" t="s">
        <v>650</v>
      </c>
      <c r="N305" s="348" t="s">
        <v>651</v>
      </c>
      <c r="O305" s="348" t="s">
        <v>652</v>
      </c>
      <c r="P305" s="348" t="s">
        <v>653</v>
      </c>
      <c r="Q305" s="348" t="s">
        <v>654</v>
      </c>
      <c r="R305" s="348" t="s">
        <v>655</v>
      </c>
      <c r="S305" s="348" t="s">
        <v>656</v>
      </c>
    </row>
    <row r="306" spans="11:19" x14ac:dyDescent="0.3">
      <c r="K306" s="344">
        <v>7</v>
      </c>
      <c r="L306" s="344">
        <v>1</v>
      </c>
      <c r="M306" s="345">
        <v>41.1</v>
      </c>
      <c r="N306" s="345">
        <v>41.1</v>
      </c>
      <c r="O306" s="345" t="s">
        <v>657</v>
      </c>
      <c r="P306" s="345">
        <v>41.1</v>
      </c>
      <c r="Q306" s="345">
        <v>41.1</v>
      </c>
      <c r="R306" s="345"/>
      <c r="S306" s="345"/>
    </row>
    <row r="307" spans="11:19" x14ac:dyDescent="0.3">
      <c r="K307" s="344">
        <v>8</v>
      </c>
      <c r="L307" s="344">
        <v>10</v>
      </c>
      <c r="M307" s="345">
        <v>39.86</v>
      </c>
      <c r="N307" s="345">
        <v>39.35</v>
      </c>
      <c r="O307" s="345">
        <v>4.7779999999999996</v>
      </c>
      <c r="P307" s="345">
        <v>48.8</v>
      </c>
      <c r="Q307" s="345">
        <v>34.1</v>
      </c>
      <c r="R307" s="345">
        <f t="shared" ref="R307:R365" si="22">M307+(1.96*O307)/(L307)^0.5</f>
        <v>42.821435081415764</v>
      </c>
      <c r="S307" s="345">
        <f t="shared" ref="S307:S365" si="23">M307-(1.96*O307)/(L307)^0.5</f>
        <v>36.898564918584235</v>
      </c>
    </row>
    <row r="308" spans="11:19" x14ac:dyDescent="0.3">
      <c r="K308" s="344">
        <v>9</v>
      </c>
      <c r="L308" s="344">
        <v>17</v>
      </c>
      <c r="M308" s="345">
        <v>43.218000000000004</v>
      </c>
      <c r="N308" s="345">
        <v>42.5</v>
      </c>
      <c r="O308" s="345">
        <v>4.556</v>
      </c>
      <c r="P308" s="345">
        <v>55</v>
      </c>
      <c r="Q308" s="345">
        <v>36.6</v>
      </c>
      <c r="R308" s="345">
        <f t="shared" si="22"/>
        <v>45.38378492302445</v>
      </c>
      <c r="S308" s="345">
        <f t="shared" si="23"/>
        <v>41.052215076975557</v>
      </c>
    </row>
    <row r="309" spans="11:19" x14ac:dyDescent="0.3">
      <c r="K309" s="344">
        <v>10</v>
      </c>
      <c r="L309" s="344">
        <v>22</v>
      </c>
      <c r="M309" s="345">
        <v>45.531999999999996</v>
      </c>
      <c r="N309" s="345">
        <v>43.7</v>
      </c>
      <c r="O309" s="345">
        <v>6.1980000000000004</v>
      </c>
      <c r="P309" s="345">
        <v>68.3</v>
      </c>
      <c r="Q309" s="345">
        <v>36.4</v>
      </c>
      <c r="R309" s="345">
        <f t="shared" si="22"/>
        <v>48.121979358345257</v>
      </c>
      <c r="S309" s="345">
        <f t="shared" si="23"/>
        <v>42.942020641654736</v>
      </c>
    </row>
    <row r="310" spans="11:19" x14ac:dyDescent="0.3">
      <c r="K310" s="344">
        <v>11</v>
      </c>
      <c r="L310" s="344">
        <v>21</v>
      </c>
      <c r="M310" s="345">
        <v>47.457000000000001</v>
      </c>
      <c r="N310" s="345">
        <v>48.7</v>
      </c>
      <c r="O310" s="345">
        <v>5.9450000000000003</v>
      </c>
      <c r="P310" s="345">
        <v>57.5</v>
      </c>
      <c r="Q310" s="345">
        <v>37.5</v>
      </c>
      <c r="R310" s="345">
        <f t="shared" si="22"/>
        <v>49.999718500607834</v>
      </c>
      <c r="S310" s="345">
        <f t="shared" si="23"/>
        <v>44.914281499392168</v>
      </c>
    </row>
    <row r="311" spans="11:19" x14ac:dyDescent="0.3">
      <c r="K311" s="344">
        <v>12</v>
      </c>
      <c r="L311" s="344">
        <v>39</v>
      </c>
      <c r="M311" s="345">
        <v>48.744</v>
      </c>
      <c r="N311" s="345">
        <v>48.8</v>
      </c>
      <c r="O311" s="345">
        <v>5.51</v>
      </c>
      <c r="P311" s="345">
        <v>63.7</v>
      </c>
      <c r="Q311" s="345">
        <v>38.6</v>
      </c>
      <c r="R311" s="345">
        <f t="shared" si="22"/>
        <v>50.473320009833415</v>
      </c>
      <c r="S311" s="345">
        <f t="shared" si="23"/>
        <v>47.014679990166584</v>
      </c>
    </row>
    <row r="312" spans="11:19" x14ac:dyDescent="0.3">
      <c r="K312" s="344">
        <v>13</v>
      </c>
      <c r="L312" s="344">
        <v>41</v>
      </c>
      <c r="M312" s="345">
        <v>50.968000000000004</v>
      </c>
      <c r="N312" s="345">
        <v>50.2</v>
      </c>
      <c r="O312" s="345">
        <v>5.7270000000000003</v>
      </c>
      <c r="P312" s="345">
        <v>69.599999999999994</v>
      </c>
      <c r="Q312" s="345">
        <v>42.5</v>
      </c>
      <c r="R312" s="345">
        <f t="shared" si="22"/>
        <v>52.721037983298658</v>
      </c>
      <c r="S312" s="345">
        <f t="shared" si="23"/>
        <v>49.21496201670135</v>
      </c>
    </row>
    <row r="313" spans="11:19" x14ac:dyDescent="0.3">
      <c r="K313" s="344">
        <v>14</v>
      </c>
      <c r="L313" s="344">
        <v>45</v>
      </c>
      <c r="M313" s="345">
        <v>51.902000000000001</v>
      </c>
      <c r="N313" s="345">
        <v>51</v>
      </c>
      <c r="O313" s="345">
        <v>4.7389999999999999</v>
      </c>
      <c r="P313" s="345">
        <v>62</v>
      </c>
      <c r="Q313" s="345">
        <v>44.8</v>
      </c>
      <c r="R313" s="345">
        <f t="shared" si="22"/>
        <v>53.286638882995213</v>
      </c>
      <c r="S313" s="345">
        <f t="shared" si="23"/>
        <v>50.517361117004789</v>
      </c>
    </row>
    <row r="314" spans="11:19" x14ac:dyDescent="0.3">
      <c r="K314" s="344">
        <v>15</v>
      </c>
      <c r="L314" s="344">
        <v>12</v>
      </c>
      <c r="M314" s="345">
        <v>52.267000000000003</v>
      </c>
      <c r="N314" s="345">
        <v>52.7</v>
      </c>
      <c r="O314" s="345">
        <v>4.0259999999999998</v>
      </c>
      <c r="P314" s="345">
        <v>59.9</v>
      </c>
      <c r="Q314" s="345">
        <v>44.5</v>
      </c>
      <c r="R314" s="345">
        <f t="shared" si="22"/>
        <v>54.544923940082285</v>
      </c>
      <c r="S314" s="345">
        <f t="shared" si="23"/>
        <v>49.989076059917721</v>
      </c>
    </row>
    <row r="315" spans="11:19" x14ac:dyDescent="0.3">
      <c r="K315" s="344">
        <v>16</v>
      </c>
      <c r="L315" s="344">
        <v>13</v>
      </c>
      <c r="M315" s="345">
        <v>51.677</v>
      </c>
      <c r="N315" s="345">
        <v>51.3</v>
      </c>
      <c r="O315" s="345">
        <v>3.1960000000000002</v>
      </c>
      <c r="P315" s="345">
        <v>56.2</v>
      </c>
      <c r="Q315" s="345">
        <v>45.3</v>
      </c>
      <c r="R315" s="345">
        <f t="shared" si="22"/>
        <v>53.414365390593119</v>
      </c>
      <c r="S315" s="345">
        <f t="shared" si="23"/>
        <v>49.93963460940688</v>
      </c>
    </row>
    <row r="316" spans="11:19" x14ac:dyDescent="0.3">
      <c r="K316" s="344">
        <v>17</v>
      </c>
      <c r="L316" s="344">
        <v>4</v>
      </c>
      <c r="M316" s="345">
        <v>49.85</v>
      </c>
      <c r="N316" s="345">
        <v>51.5</v>
      </c>
      <c r="O316" s="345">
        <v>3.964</v>
      </c>
      <c r="P316" s="345">
        <v>52.4</v>
      </c>
      <c r="Q316" s="345">
        <v>44</v>
      </c>
      <c r="R316" s="345">
        <f t="shared" si="22"/>
        <v>53.734720000000003</v>
      </c>
      <c r="S316" s="345">
        <f t="shared" si="23"/>
        <v>45.96528</v>
      </c>
    </row>
    <row r="317" spans="11:19" x14ac:dyDescent="0.3">
      <c r="K317" s="349">
        <v>18</v>
      </c>
      <c r="L317" s="349">
        <v>2</v>
      </c>
      <c r="M317" s="350">
        <v>53.7</v>
      </c>
      <c r="N317" s="350">
        <v>53.7</v>
      </c>
      <c r="O317" s="350">
        <v>1.98</v>
      </c>
      <c r="P317" s="350">
        <v>55.1</v>
      </c>
      <c r="Q317" s="350">
        <v>52.3</v>
      </c>
      <c r="R317" s="350">
        <f t="shared" si="22"/>
        <v>56.44413999642876</v>
      </c>
      <c r="S317" s="350">
        <f t="shared" si="23"/>
        <v>50.955860003571246</v>
      </c>
    </row>
    <row r="318" spans="11:19" x14ac:dyDescent="0.3">
      <c r="K318" s="344"/>
      <c r="L318" s="344"/>
      <c r="M318" s="345"/>
      <c r="N318" s="345"/>
      <c r="O318" s="345"/>
      <c r="P318" s="345"/>
      <c r="Q318" s="345"/>
      <c r="R318" s="345"/>
      <c r="S318" s="345"/>
    </row>
    <row r="319" spans="11:19" x14ac:dyDescent="0.3">
      <c r="K319" s="344"/>
      <c r="L319" s="344"/>
      <c r="M319" s="345"/>
      <c r="N319" s="345"/>
      <c r="O319" s="345"/>
      <c r="P319" s="345"/>
      <c r="Q319" s="345"/>
      <c r="R319" s="345"/>
      <c r="S319" s="345"/>
    </row>
    <row r="320" spans="11:19" x14ac:dyDescent="0.3">
      <c r="K320" s="346" t="s">
        <v>687</v>
      </c>
      <c r="L320" s="344"/>
      <c r="M320" s="345"/>
      <c r="N320" s="345"/>
      <c r="O320" s="345"/>
      <c r="P320" s="345"/>
      <c r="Q320" s="345"/>
      <c r="R320" s="345"/>
      <c r="S320" s="345"/>
    </row>
    <row r="321" spans="11:19" x14ac:dyDescent="0.3">
      <c r="K321" s="347" t="s">
        <v>514</v>
      </c>
      <c r="L321" s="347" t="s">
        <v>649</v>
      </c>
      <c r="M321" s="348" t="s">
        <v>650</v>
      </c>
      <c r="N321" s="348" t="s">
        <v>651</v>
      </c>
      <c r="O321" s="348" t="s">
        <v>652</v>
      </c>
      <c r="P321" s="348" t="s">
        <v>653</v>
      </c>
      <c r="Q321" s="348" t="s">
        <v>654</v>
      </c>
      <c r="R321" s="348" t="s">
        <v>655</v>
      </c>
      <c r="S321" s="348" t="s">
        <v>656</v>
      </c>
    </row>
    <row r="322" spans="11:19" x14ac:dyDescent="0.3">
      <c r="K322" s="344">
        <v>7</v>
      </c>
      <c r="L322" s="344">
        <v>1</v>
      </c>
      <c r="M322" s="345">
        <v>38.4</v>
      </c>
      <c r="N322" s="345">
        <v>38.4</v>
      </c>
      <c r="O322" s="345" t="s">
        <v>657</v>
      </c>
      <c r="P322" s="345">
        <v>38.4</v>
      </c>
      <c r="Q322" s="345">
        <v>38.4</v>
      </c>
      <c r="R322" s="345"/>
      <c r="S322" s="345"/>
    </row>
    <row r="323" spans="11:19" x14ac:dyDescent="0.3">
      <c r="K323" s="344">
        <v>8</v>
      </c>
      <c r="L323" s="344">
        <v>10</v>
      </c>
      <c r="M323" s="345">
        <v>36.409999999999997</v>
      </c>
      <c r="N323" s="345">
        <v>35.299999999999997</v>
      </c>
      <c r="O323" s="345">
        <v>4.6070000000000002</v>
      </c>
      <c r="P323" s="345">
        <v>45.4</v>
      </c>
      <c r="Q323" s="345">
        <v>30.9</v>
      </c>
      <c r="R323" s="345">
        <f t="shared" si="22"/>
        <v>39.265448183357556</v>
      </c>
      <c r="S323" s="345">
        <f t="shared" si="23"/>
        <v>33.554551816642437</v>
      </c>
    </row>
    <row r="324" spans="11:19" x14ac:dyDescent="0.3">
      <c r="K324" s="344">
        <v>9</v>
      </c>
      <c r="L324" s="344">
        <v>17</v>
      </c>
      <c r="M324" s="345">
        <v>38.218000000000004</v>
      </c>
      <c r="N324" s="345">
        <v>38.1</v>
      </c>
      <c r="O324" s="345">
        <v>3.8170000000000002</v>
      </c>
      <c r="P324" s="345">
        <v>46.7</v>
      </c>
      <c r="Q324" s="345">
        <v>32.6</v>
      </c>
      <c r="R324" s="345">
        <f t="shared" si="22"/>
        <v>40.032486622296823</v>
      </c>
      <c r="S324" s="345">
        <f t="shared" si="23"/>
        <v>36.403513377703185</v>
      </c>
    </row>
    <row r="325" spans="11:19" x14ac:dyDescent="0.3">
      <c r="K325" s="344">
        <v>10</v>
      </c>
      <c r="L325" s="344">
        <v>22</v>
      </c>
      <c r="M325" s="345">
        <v>40.286000000000001</v>
      </c>
      <c r="N325" s="345">
        <v>39.15</v>
      </c>
      <c r="O325" s="345">
        <v>6.2110000000000003</v>
      </c>
      <c r="P325" s="345">
        <v>62.9</v>
      </c>
      <c r="Q325" s="345">
        <v>31.2</v>
      </c>
      <c r="R325" s="345">
        <f t="shared" si="22"/>
        <v>42.881411712598009</v>
      </c>
      <c r="S325" s="345">
        <f t="shared" si="23"/>
        <v>37.690588287401994</v>
      </c>
    </row>
    <row r="326" spans="11:19" x14ac:dyDescent="0.3">
      <c r="K326" s="344">
        <v>11</v>
      </c>
      <c r="L326" s="344">
        <v>21</v>
      </c>
      <c r="M326" s="345">
        <v>42.219000000000001</v>
      </c>
      <c r="N326" s="345">
        <v>42.7</v>
      </c>
      <c r="O326" s="345">
        <v>4.99</v>
      </c>
      <c r="P326" s="345">
        <v>50.7</v>
      </c>
      <c r="Q326" s="345">
        <v>33.799999999999997</v>
      </c>
      <c r="R326" s="345">
        <f t="shared" si="22"/>
        <v>44.353258253664102</v>
      </c>
      <c r="S326" s="345">
        <f t="shared" si="23"/>
        <v>40.084741746335901</v>
      </c>
    </row>
    <row r="327" spans="11:19" x14ac:dyDescent="0.3">
      <c r="K327" s="344">
        <v>12</v>
      </c>
      <c r="L327" s="344">
        <v>39</v>
      </c>
      <c r="M327" s="345">
        <v>42.591999999999999</v>
      </c>
      <c r="N327" s="345">
        <v>42.7</v>
      </c>
      <c r="O327" s="345">
        <v>4.4130000000000003</v>
      </c>
      <c r="P327" s="345">
        <v>54</v>
      </c>
      <c r="Q327" s="345">
        <v>34.299999999999997</v>
      </c>
      <c r="R327" s="345">
        <f t="shared" si="22"/>
        <v>43.977025263774024</v>
      </c>
      <c r="S327" s="345">
        <f t="shared" si="23"/>
        <v>41.206974736225973</v>
      </c>
    </row>
    <row r="328" spans="11:19" x14ac:dyDescent="0.3">
      <c r="K328" s="344">
        <v>13</v>
      </c>
      <c r="L328" s="344">
        <v>41</v>
      </c>
      <c r="M328" s="345">
        <v>45.070999999999998</v>
      </c>
      <c r="N328" s="345">
        <v>44.5</v>
      </c>
      <c r="O328" s="345">
        <v>4.99</v>
      </c>
      <c r="P328" s="345">
        <v>61</v>
      </c>
      <c r="Q328" s="345">
        <v>37.799999999999997</v>
      </c>
      <c r="R328" s="345">
        <f t="shared" si="22"/>
        <v>46.598441860775324</v>
      </c>
      <c r="S328" s="345">
        <f t="shared" si="23"/>
        <v>43.543558139224672</v>
      </c>
    </row>
    <row r="329" spans="11:19" x14ac:dyDescent="0.3">
      <c r="K329" s="344">
        <v>14</v>
      </c>
      <c r="L329" s="344">
        <v>45</v>
      </c>
      <c r="M329" s="345">
        <v>45.686999999999998</v>
      </c>
      <c r="N329" s="345">
        <v>45.5</v>
      </c>
      <c r="O329" s="345">
        <v>4.173</v>
      </c>
      <c r="P329" s="345">
        <v>54.6</v>
      </c>
      <c r="Q329" s="345">
        <v>37</v>
      </c>
      <c r="R329" s="345">
        <f t="shared" si="22"/>
        <v>46.906265258227265</v>
      </c>
      <c r="S329" s="345">
        <f t="shared" si="23"/>
        <v>44.46773474177273</v>
      </c>
    </row>
    <row r="330" spans="11:19" x14ac:dyDescent="0.3">
      <c r="K330" s="344">
        <v>15</v>
      </c>
      <c r="L330" s="344">
        <v>12</v>
      </c>
      <c r="M330" s="345">
        <v>46.408000000000001</v>
      </c>
      <c r="N330" s="345">
        <v>46.4</v>
      </c>
      <c r="O330" s="345">
        <v>3.3610000000000002</v>
      </c>
      <c r="P330" s="345">
        <v>51.2</v>
      </c>
      <c r="Q330" s="345">
        <v>39.700000000000003</v>
      </c>
      <c r="R330" s="345">
        <f t="shared" si="22"/>
        <v>48.309664769651405</v>
      </c>
      <c r="S330" s="345">
        <f t="shared" si="23"/>
        <v>44.506335230348597</v>
      </c>
    </row>
    <row r="331" spans="11:19" x14ac:dyDescent="0.3">
      <c r="K331" s="344">
        <v>16</v>
      </c>
      <c r="L331" s="344">
        <v>13</v>
      </c>
      <c r="M331" s="345">
        <v>44.823</v>
      </c>
      <c r="N331" s="345">
        <v>44.4</v>
      </c>
      <c r="O331" s="345">
        <v>3.004</v>
      </c>
      <c r="P331" s="345">
        <v>50</v>
      </c>
      <c r="Q331" s="345">
        <v>39.1</v>
      </c>
      <c r="R331" s="345">
        <f t="shared" si="22"/>
        <v>46.455993001671374</v>
      </c>
      <c r="S331" s="345">
        <f t="shared" si="23"/>
        <v>43.190006998328627</v>
      </c>
    </row>
    <row r="332" spans="11:19" x14ac:dyDescent="0.3">
      <c r="K332" s="344">
        <v>17</v>
      </c>
      <c r="L332" s="344">
        <v>4</v>
      </c>
      <c r="M332" s="345">
        <v>43.8</v>
      </c>
      <c r="N332" s="345">
        <v>45.25</v>
      </c>
      <c r="O332" s="345">
        <v>3.78</v>
      </c>
      <c r="P332" s="345">
        <v>46.5</v>
      </c>
      <c r="Q332" s="345">
        <v>38.200000000000003</v>
      </c>
      <c r="R332" s="345">
        <f t="shared" si="22"/>
        <v>47.504399999999997</v>
      </c>
      <c r="S332" s="345">
        <f t="shared" si="23"/>
        <v>40.095599999999997</v>
      </c>
    </row>
    <row r="333" spans="11:19" x14ac:dyDescent="0.3">
      <c r="K333" s="349">
        <v>18</v>
      </c>
      <c r="L333" s="349">
        <v>2</v>
      </c>
      <c r="M333" s="350">
        <v>45.4</v>
      </c>
      <c r="N333" s="350">
        <v>45.4</v>
      </c>
      <c r="O333" s="350">
        <v>1.98</v>
      </c>
      <c r="P333" s="350">
        <v>46.8</v>
      </c>
      <c r="Q333" s="350">
        <v>44</v>
      </c>
      <c r="R333" s="350">
        <f t="shared" si="22"/>
        <v>48.144139996428748</v>
      </c>
      <c r="S333" s="350">
        <f t="shared" si="23"/>
        <v>42.655860003571249</v>
      </c>
    </row>
    <row r="334" spans="11:19" x14ac:dyDescent="0.3">
      <c r="K334" s="344"/>
      <c r="L334" s="344"/>
      <c r="M334" s="345"/>
      <c r="N334" s="345"/>
      <c r="O334" s="345"/>
      <c r="P334" s="345"/>
      <c r="Q334" s="345"/>
      <c r="R334" s="345"/>
      <c r="S334" s="345"/>
    </row>
    <row r="335" spans="11:19" x14ac:dyDescent="0.3">
      <c r="K335" s="344"/>
      <c r="L335" s="344"/>
      <c r="M335" s="345"/>
      <c r="N335" s="345"/>
      <c r="O335" s="345"/>
      <c r="P335" s="345"/>
      <c r="Q335" s="345"/>
      <c r="R335" s="345"/>
      <c r="S335" s="345"/>
    </row>
    <row r="336" spans="11:19" x14ac:dyDescent="0.3">
      <c r="K336" s="346" t="s">
        <v>688</v>
      </c>
      <c r="L336" s="344"/>
      <c r="M336" s="345"/>
      <c r="N336" s="345"/>
      <c r="O336" s="345"/>
      <c r="P336" s="345"/>
      <c r="Q336" s="345"/>
      <c r="R336" s="345"/>
      <c r="S336" s="345"/>
    </row>
    <row r="337" spans="11:19" x14ac:dyDescent="0.3">
      <c r="K337" s="347" t="s">
        <v>514</v>
      </c>
      <c r="L337" s="347" t="s">
        <v>649</v>
      </c>
      <c r="M337" s="348" t="s">
        <v>650</v>
      </c>
      <c r="N337" s="348" t="s">
        <v>651</v>
      </c>
      <c r="O337" s="348" t="s">
        <v>652</v>
      </c>
      <c r="P337" s="348" t="s">
        <v>653</v>
      </c>
      <c r="Q337" s="348" t="s">
        <v>654</v>
      </c>
      <c r="R337" s="348" t="s">
        <v>655</v>
      </c>
      <c r="S337" s="348" t="s">
        <v>656</v>
      </c>
    </row>
    <row r="338" spans="11:19" x14ac:dyDescent="0.3">
      <c r="K338" s="344">
        <v>7</v>
      </c>
      <c r="L338" s="344">
        <v>1</v>
      </c>
      <c r="M338" s="345">
        <v>26.2</v>
      </c>
      <c r="N338" s="345">
        <v>26.2</v>
      </c>
      <c r="O338" s="345" t="s">
        <v>657</v>
      </c>
      <c r="P338" s="345">
        <v>26.2</v>
      </c>
      <c r="Q338" s="345">
        <v>26.2</v>
      </c>
      <c r="R338" s="345"/>
      <c r="S338" s="345"/>
    </row>
    <row r="339" spans="11:19" x14ac:dyDescent="0.3">
      <c r="K339" s="344">
        <v>8</v>
      </c>
      <c r="L339" s="344">
        <v>10</v>
      </c>
      <c r="M339" s="345">
        <v>26.09</v>
      </c>
      <c r="N339" s="345">
        <v>25.95</v>
      </c>
      <c r="O339" s="345">
        <v>2.7650000000000001</v>
      </c>
      <c r="P339" s="345">
        <v>31.4</v>
      </c>
      <c r="Q339" s="345">
        <v>23.4</v>
      </c>
      <c r="R339" s="345">
        <f t="shared" si="22"/>
        <v>27.803764755151651</v>
      </c>
      <c r="S339" s="345">
        <f t="shared" si="23"/>
        <v>24.376235244848349</v>
      </c>
    </row>
    <row r="340" spans="11:19" x14ac:dyDescent="0.3">
      <c r="K340" s="344">
        <v>9</v>
      </c>
      <c r="L340" s="344">
        <v>17</v>
      </c>
      <c r="M340" s="345">
        <v>27.841000000000001</v>
      </c>
      <c r="N340" s="345">
        <v>27.2</v>
      </c>
      <c r="O340" s="345">
        <v>2.5649999999999999</v>
      </c>
      <c r="P340" s="345">
        <v>33.4</v>
      </c>
      <c r="Q340" s="345">
        <v>24</v>
      </c>
      <c r="R340" s="345">
        <f t="shared" si="22"/>
        <v>29.060323601307662</v>
      </c>
      <c r="S340" s="345">
        <f t="shared" si="23"/>
        <v>26.62167639869234</v>
      </c>
    </row>
    <row r="341" spans="11:19" x14ac:dyDescent="0.3">
      <c r="K341" s="344">
        <v>10</v>
      </c>
      <c r="L341" s="344">
        <v>22</v>
      </c>
      <c r="M341" s="345">
        <v>29.018000000000001</v>
      </c>
      <c r="N341" s="345">
        <v>29</v>
      </c>
      <c r="O341" s="345">
        <v>2.7480000000000002</v>
      </c>
      <c r="P341" s="345">
        <v>38.6</v>
      </c>
      <c r="Q341" s="345">
        <v>25</v>
      </c>
      <c r="R341" s="345">
        <f t="shared" si="22"/>
        <v>30.166316114348628</v>
      </c>
      <c r="S341" s="345">
        <f t="shared" si="23"/>
        <v>27.869683885651373</v>
      </c>
    </row>
    <row r="342" spans="11:19" x14ac:dyDescent="0.3">
      <c r="K342" s="344">
        <v>11</v>
      </c>
      <c r="L342" s="344">
        <v>21</v>
      </c>
      <c r="M342" s="345">
        <v>30.405000000000001</v>
      </c>
      <c r="N342" s="345">
        <v>30.4</v>
      </c>
      <c r="O342" s="345">
        <v>2.8580000000000001</v>
      </c>
      <c r="P342" s="345">
        <v>35.5</v>
      </c>
      <c r="Q342" s="345">
        <v>24.8</v>
      </c>
      <c r="R342" s="345">
        <f t="shared" si="22"/>
        <v>31.627386791377155</v>
      </c>
      <c r="S342" s="345">
        <f t="shared" si="23"/>
        <v>29.182613208622847</v>
      </c>
    </row>
    <row r="343" spans="11:19" x14ac:dyDescent="0.3">
      <c r="K343" s="344">
        <v>12</v>
      </c>
      <c r="L343" s="344">
        <v>39</v>
      </c>
      <c r="M343" s="345">
        <v>30.963999999999999</v>
      </c>
      <c r="N343" s="345">
        <v>31</v>
      </c>
      <c r="O343" s="345">
        <v>2.6429999999999998</v>
      </c>
      <c r="P343" s="345">
        <v>38.200000000000003</v>
      </c>
      <c r="Q343" s="345">
        <v>26.4</v>
      </c>
      <c r="R343" s="345">
        <f t="shared" si="22"/>
        <v>31.793508672593415</v>
      </c>
      <c r="S343" s="345">
        <f t="shared" si="23"/>
        <v>30.134491327406582</v>
      </c>
    </row>
    <row r="344" spans="11:19" x14ac:dyDescent="0.3">
      <c r="K344" s="344">
        <v>13</v>
      </c>
      <c r="L344" s="344">
        <v>41</v>
      </c>
      <c r="M344" s="345">
        <v>32.654000000000003</v>
      </c>
      <c r="N344" s="345">
        <v>32.4</v>
      </c>
      <c r="O344" s="345">
        <v>3.1970000000000001</v>
      </c>
      <c r="P344" s="345">
        <v>40.799999999999997</v>
      </c>
      <c r="Q344" s="345">
        <v>27.4</v>
      </c>
      <c r="R344" s="345">
        <f t="shared" si="22"/>
        <v>33.632603532845437</v>
      </c>
      <c r="S344" s="345">
        <f t="shared" si="23"/>
        <v>31.67539646715457</v>
      </c>
    </row>
    <row r="345" spans="11:19" x14ac:dyDescent="0.3">
      <c r="K345" s="344">
        <v>14</v>
      </c>
      <c r="L345" s="344">
        <v>45</v>
      </c>
      <c r="M345" s="345">
        <v>33.484000000000002</v>
      </c>
      <c r="N345" s="345">
        <v>33.299999999999997</v>
      </c>
      <c r="O345" s="345">
        <v>3.0009999999999999</v>
      </c>
      <c r="P345" s="345">
        <v>43.9</v>
      </c>
      <c r="Q345" s="345">
        <v>29</v>
      </c>
      <c r="R345" s="345">
        <f t="shared" si="22"/>
        <v>34.360830826728979</v>
      </c>
      <c r="S345" s="345">
        <f t="shared" si="23"/>
        <v>32.607169173271025</v>
      </c>
    </row>
    <row r="346" spans="11:19" x14ac:dyDescent="0.3">
      <c r="K346" s="344">
        <v>15</v>
      </c>
      <c r="L346" s="344">
        <v>12</v>
      </c>
      <c r="M346" s="345">
        <v>33.258000000000003</v>
      </c>
      <c r="N346" s="345">
        <v>33.6</v>
      </c>
      <c r="O346" s="345">
        <v>1.8939999999999999</v>
      </c>
      <c r="P346" s="345">
        <v>35.6</v>
      </c>
      <c r="Q346" s="345">
        <v>29.9</v>
      </c>
      <c r="R346" s="345">
        <f t="shared" si="22"/>
        <v>34.329631381648248</v>
      </c>
      <c r="S346" s="345">
        <f t="shared" si="23"/>
        <v>32.186368618351757</v>
      </c>
    </row>
    <row r="347" spans="11:19" x14ac:dyDescent="0.3">
      <c r="K347" s="344">
        <v>16</v>
      </c>
      <c r="L347" s="344">
        <v>13</v>
      </c>
      <c r="M347" s="345">
        <v>32.661999999999999</v>
      </c>
      <c r="N347" s="345">
        <v>32.200000000000003</v>
      </c>
      <c r="O347" s="345">
        <v>1.4430000000000001</v>
      </c>
      <c r="P347" s="345">
        <v>34.9</v>
      </c>
      <c r="Q347" s="345">
        <v>31.2</v>
      </c>
      <c r="R347" s="345">
        <f t="shared" si="22"/>
        <v>33.446423735489944</v>
      </c>
      <c r="S347" s="345">
        <f t="shared" si="23"/>
        <v>31.877576264510054</v>
      </c>
    </row>
    <row r="348" spans="11:19" x14ac:dyDescent="0.3">
      <c r="K348" s="344">
        <v>17</v>
      </c>
      <c r="L348" s="344">
        <v>4</v>
      </c>
      <c r="M348" s="345">
        <v>31.3</v>
      </c>
      <c r="N348" s="345">
        <v>32.049999999999997</v>
      </c>
      <c r="O348" s="345">
        <v>3.1840000000000002</v>
      </c>
      <c r="P348" s="345">
        <v>34.299999999999997</v>
      </c>
      <c r="Q348" s="345">
        <v>26.8</v>
      </c>
      <c r="R348" s="345">
        <f t="shared" si="22"/>
        <v>34.420320000000004</v>
      </c>
      <c r="S348" s="345">
        <f t="shared" si="23"/>
        <v>28.179680000000001</v>
      </c>
    </row>
    <row r="349" spans="11:19" x14ac:dyDescent="0.3">
      <c r="K349" s="349">
        <v>18</v>
      </c>
      <c r="L349" s="349">
        <v>2</v>
      </c>
      <c r="M349" s="350">
        <v>32.65</v>
      </c>
      <c r="N349" s="350">
        <v>32.65</v>
      </c>
      <c r="O349" s="350">
        <v>1.3440000000000001</v>
      </c>
      <c r="P349" s="350">
        <v>33.6</v>
      </c>
      <c r="Q349" s="350">
        <v>31.7</v>
      </c>
      <c r="R349" s="350">
        <f t="shared" si="22"/>
        <v>34.512688967272851</v>
      </c>
      <c r="S349" s="350">
        <f t="shared" si="23"/>
        <v>30.787311032727146</v>
      </c>
    </row>
    <row r="350" spans="11:19" x14ac:dyDescent="0.3">
      <c r="K350" s="344"/>
      <c r="L350" s="344"/>
      <c r="M350" s="345"/>
      <c r="N350" s="345"/>
      <c r="O350" s="345"/>
      <c r="P350" s="345"/>
      <c r="Q350" s="345"/>
      <c r="R350" s="345"/>
      <c r="S350" s="345"/>
    </row>
    <row r="351" spans="11:19" x14ac:dyDescent="0.3">
      <c r="K351" s="344"/>
      <c r="L351" s="344"/>
      <c r="M351" s="345"/>
      <c r="N351" s="345"/>
      <c r="O351" s="345"/>
      <c r="P351" s="345"/>
      <c r="Q351" s="345"/>
      <c r="R351" s="345"/>
      <c r="S351" s="345"/>
    </row>
    <row r="352" spans="11:19" x14ac:dyDescent="0.3">
      <c r="K352" s="346" t="s">
        <v>689</v>
      </c>
      <c r="L352" s="344"/>
      <c r="M352" s="345"/>
      <c r="N352" s="345"/>
      <c r="O352" s="345"/>
      <c r="P352" s="345"/>
      <c r="Q352" s="345"/>
      <c r="R352" s="345"/>
      <c r="S352" s="345"/>
    </row>
    <row r="353" spans="11:19" x14ac:dyDescent="0.3">
      <c r="K353" s="347" t="s">
        <v>514</v>
      </c>
      <c r="L353" s="347" t="s">
        <v>649</v>
      </c>
      <c r="M353" s="348" t="s">
        <v>650</v>
      </c>
      <c r="N353" s="348" t="s">
        <v>651</v>
      </c>
      <c r="O353" s="348" t="s">
        <v>652</v>
      </c>
      <c r="P353" s="348" t="s">
        <v>653</v>
      </c>
      <c r="Q353" s="348" t="s">
        <v>654</v>
      </c>
      <c r="R353" s="348" t="s">
        <v>655</v>
      </c>
      <c r="S353" s="348" t="s">
        <v>656</v>
      </c>
    </row>
    <row r="354" spans="11:19" x14ac:dyDescent="0.3">
      <c r="K354" s="344">
        <v>7</v>
      </c>
      <c r="L354" s="344">
        <v>1</v>
      </c>
      <c r="M354" s="345">
        <v>18.2</v>
      </c>
      <c r="N354" s="345">
        <v>18.2</v>
      </c>
      <c r="O354" s="345" t="s">
        <v>657</v>
      </c>
      <c r="P354" s="345">
        <v>18.2</v>
      </c>
      <c r="Q354" s="345">
        <v>18.2</v>
      </c>
      <c r="R354" s="345"/>
      <c r="S354" s="345"/>
    </row>
    <row r="355" spans="11:19" x14ac:dyDescent="0.3">
      <c r="K355" s="344">
        <v>8</v>
      </c>
      <c r="L355" s="344">
        <v>10</v>
      </c>
      <c r="M355" s="345">
        <v>17.21</v>
      </c>
      <c r="N355" s="345">
        <v>17.350000000000001</v>
      </c>
      <c r="O355" s="345">
        <v>1.738</v>
      </c>
      <c r="P355" s="345">
        <v>20.6</v>
      </c>
      <c r="Q355" s="345">
        <v>15</v>
      </c>
      <c r="R355" s="345">
        <f t="shared" si="22"/>
        <v>18.28722356038104</v>
      </c>
      <c r="S355" s="345">
        <f t="shared" si="23"/>
        <v>16.132776439618961</v>
      </c>
    </row>
    <row r="356" spans="11:19" x14ac:dyDescent="0.3">
      <c r="K356" s="344">
        <v>9</v>
      </c>
      <c r="L356" s="344">
        <v>17</v>
      </c>
      <c r="M356" s="345">
        <v>18.347000000000001</v>
      </c>
      <c r="N356" s="345">
        <v>17.899999999999999</v>
      </c>
      <c r="O356" s="345">
        <v>1.5489999999999999</v>
      </c>
      <c r="P356" s="345">
        <v>21.3</v>
      </c>
      <c r="Q356" s="345">
        <v>16.100000000000001</v>
      </c>
      <c r="R356" s="345">
        <f t="shared" si="22"/>
        <v>19.08334785903531</v>
      </c>
      <c r="S356" s="345">
        <f t="shared" si="23"/>
        <v>17.610652140964692</v>
      </c>
    </row>
    <row r="357" spans="11:19" x14ac:dyDescent="0.3">
      <c r="K357" s="344">
        <v>10</v>
      </c>
      <c r="L357" s="344">
        <v>22</v>
      </c>
      <c r="M357" s="345">
        <v>18.649999999999999</v>
      </c>
      <c r="N357" s="345">
        <v>18.7</v>
      </c>
      <c r="O357" s="345">
        <v>1.5229999999999999</v>
      </c>
      <c r="P357" s="345">
        <v>22.6</v>
      </c>
      <c r="Q357" s="345">
        <v>15.7</v>
      </c>
      <c r="R357" s="345">
        <f t="shared" si="22"/>
        <v>19.286421194378804</v>
      </c>
      <c r="S357" s="345">
        <f t="shared" si="23"/>
        <v>18.013578805621194</v>
      </c>
    </row>
    <row r="358" spans="11:19" x14ac:dyDescent="0.3">
      <c r="K358" s="344">
        <v>11</v>
      </c>
      <c r="L358" s="344">
        <v>21</v>
      </c>
      <c r="M358" s="345">
        <v>19.576000000000001</v>
      </c>
      <c r="N358" s="345">
        <v>19.600000000000001</v>
      </c>
      <c r="O358" s="345">
        <v>1.5149999999999999</v>
      </c>
      <c r="P358" s="345">
        <v>21.9</v>
      </c>
      <c r="Q358" s="345">
        <v>16.3</v>
      </c>
      <c r="R358" s="345">
        <f t="shared" si="22"/>
        <v>20.223976203266755</v>
      </c>
      <c r="S358" s="345">
        <f t="shared" si="23"/>
        <v>18.928023796733246</v>
      </c>
    </row>
    <row r="359" spans="11:19" x14ac:dyDescent="0.3">
      <c r="K359" s="344">
        <v>12</v>
      </c>
      <c r="L359" s="344">
        <v>39</v>
      </c>
      <c r="M359" s="345">
        <v>19.867000000000001</v>
      </c>
      <c r="N359" s="345">
        <v>19.899999999999999</v>
      </c>
      <c r="O359" s="345">
        <v>1.4630000000000001</v>
      </c>
      <c r="P359" s="345">
        <v>23.7</v>
      </c>
      <c r="Q359" s="345">
        <v>17</v>
      </c>
      <c r="R359" s="345">
        <f t="shared" si="22"/>
        <v>20.326164278473012</v>
      </c>
      <c r="S359" s="345">
        <f t="shared" si="23"/>
        <v>19.40783572152699</v>
      </c>
    </row>
    <row r="360" spans="11:19" x14ac:dyDescent="0.3">
      <c r="K360" s="344">
        <v>13</v>
      </c>
      <c r="L360" s="344">
        <v>41</v>
      </c>
      <c r="M360" s="345">
        <v>20.655999999999999</v>
      </c>
      <c r="N360" s="345">
        <v>20.8</v>
      </c>
      <c r="O360" s="345">
        <v>1.704</v>
      </c>
      <c r="P360" s="345">
        <v>24.8</v>
      </c>
      <c r="Q360" s="345">
        <v>17</v>
      </c>
      <c r="R360" s="345">
        <f t="shared" si="22"/>
        <v>21.177595376906041</v>
      </c>
      <c r="S360" s="345">
        <f t="shared" si="23"/>
        <v>20.134404623093957</v>
      </c>
    </row>
    <row r="361" spans="11:19" x14ac:dyDescent="0.3">
      <c r="K361" s="344">
        <v>14</v>
      </c>
      <c r="L361" s="344">
        <v>45</v>
      </c>
      <c r="M361" s="345">
        <v>20.747</v>
      </c>
      <c r="N361" s="345">
        <v>20.7</v>
      </c>
      <c r="O361" s="345">
        <v>1.147</v>
      </c>
      <c r="P361" s="345">
        <v>23.3</v>
      </c>
      <c r="Q361" s="345">
        <v>18.2</v>
      </c>
      <c r="R361" s="345">
        <f t="shared" si="22"/>
        <v>21.08212994277179</v>
      </c>
      <c r="S361" s="345">
        <f t="shared" si="23"/>
        <v>20.41187005722821</v>
      </c>
    </row>
    <row r="362" spans="11:19" x14ac:dyDescent="0.3">
      <c r="K362" s="344">
        <v>15</v>
      </c>
      <c r="L362" s="344">
        <v>12</v>
      </c>
      <c r="M362" s="345">
        <v>20.457999999999998</v>
      </c>
      <c r="N362" s="345">
        <v>20.399999999999999</v>
      </c>
      <c r="O362" s="345">
        <v>0.70099999999999996</v>
      </c>
      <c r="P362" s="345">
        <v>21.6</v>
      </c>
      <c r="Q362" s="345">
        <v>19.3</v>
      </c>
      <c r="R362" s="345">
        <f t="shared" si="22"/>
        <v>20.854628087927889</v>
      </c>
      <c r="S362" s="345">
        <f t="shared" si="23"/>
        <v>20.061371912072108</v>
      </c>
    </row>
    <row r="363" spans="11:19" x14ac:dyDescent="0.3">
      <c r="K363" s="344">
        <v>16</v>
      </c>
      <c r="L363" s="344">
        <v>13</v>
      </c>
      <c r="M363" s="345">
        <v>20.315000000000001</v>
      </c>
      <c r="N363" s="345">
        <v>20.5</v>
      </c>
      <c r="O363" s="345">
        <v>0.98899999999999999</v>
      </c>
      <c r="P363" s="345">
        <v>21.8</v>
      </c>
      <c r="Q363" s="345">
        <v>18.8</v>
      </c>
      <c r="R363" s="345">
        <f t="shared" si="22"/>
        <v>20.852626524185418</v>
      </c>
      <c r="S363" s="345">
        <f t="shared" si="23"/>
        <v>19.777373475814585</v>
      </c>
    </row>
    <row r="364" spans="11:19" x14ac:dyDescent="0.3">
      <c r="K364" s="344">
        <v>17</v>
      </c>
      <c r="L364" s="344">
        <v>4</v>
      </c>
      <c r="M364" s="345">
        <v>18.425000000000001</v>
      </c>
      <c r="N364" s="345">
        <v>18.25</v>
      </c>
      <c r="O364" s="345">
        <v>0.61799999999999999</v>
      </c>
      <c r="P364" s="345">
        <v>19.3</v>
      </c>
      <c r="Q364" s="345">
        <v>17.899999999999999</v>
      </c>
      <c r="R364" s="345">
        <f t="shared" si="22"/>
        <v>19.030640000000002</v>
      </c>
      <c r="S364" s="345">
        <f t="shared" si="23"/>
        <v>17.81936</v>
      </c>
    </row>
    <row r="365" spans="11:19" x14ac:dyDescent="0.3">
      <c r="K365" s="349">
        <v>18</v>
      </c>
      <c r="L365" s="349">
        <v>2</v>
      </c>
      <c r="M365" s="350">
        <v>21</v>
      </c>
      <c r="N365" s="350">
        <v>21</v>
      </c>
      <c r="O365" s="350">
        <v>1.2729999999999999</v>
      </c>
      <c r="P365" s="350">
        <v>21.9</v>
      </c>
      <c r="Q365" s="350">
        <v>20.100000000000001</v>
      </c>
      <c r="R365" s="350">
        <f t="shared" si="22"/>
        <v>22.76428798760293</v>
      </c>
      <c r="S365" s="350">
        <f t="shared" si="23"/>
        <v>19.23571201239707</v>
      </c>
    </row>
    <row r="366" spans="11:19" x14ac:dyDescent="0.3">
      <c r="K366" s="344"/>
      <c r="L366" s="344"/>
      <c r="M366" s="345"/>
      <c r="N366" s="345"/>
      <c r="O366" s="345"/>
      <c r="P366" s="345"/>
      <c r="Q366" s="345"/>
      <c r="R366" s="345"/>
      <c r="S366" s="345"/>
    </row>
    <row r="367" spans="11:19" x14ac:dyDescent="0.3">
      <c r="K367" s="344"/>
      <c r="L367" s="344"/>
      <c r="M367" s="345"/>
      <c r="N367" s="345"/>
      <c r="O367" s="345"/>
      <c r="P367" s="345"/>
      <c r="Q367" s="345"/>
      <c r="R367" s="345"/>
      <c r="S367" s="345"/>
    </row>
    <row r="368" spans="11:19" x14ac:dyDescent="0.3">
      <c r="K368" s="346" t="s">
        <v>690</v>
      </c>
      <c r="L368" s="344"/>
      <c r="M368" s="345"/>
      <c r="N368" s="345"/>
      <c r="O368" s="345"/>
      <c r="P368" s="345"/>
      <c r="Q368" s="345"/>
      <c r="R368" s="345"/>
      <c r="S368" s="345"/>
    </row>
    <row r="369" spans="11:19" x14ac:dyDescent="0.3">
      <c r="K369" s="347" t="s">
        <v>514</v>
      </c>
      <c r="L369" s="347" t="s">
        <v>649</v>
      </c>
      <c r="M369" s="348" t="s">
        <v>650</v>
      </c>
      <c r="N369" s="348" t="s">
        <v>651</v>
      </c>
      <c r="O369" s="348" t="s">
        <v>652</v>
      </c>
      <c r="P369" s="348" t="s">
        <v>653</v>
      </c>
      <c r="Q369" s="348" t="s">
        <v>654</v>
      </c>
      <c r="R369" s="348" t="s">
        <v>655</v>
      </c>
      <c r="S369" s="348" t="s">
        <v>656</v>
      </c>
    </row>
    <row r="370" spans="11:19" x14ac:dyDescent="0.3">
      <c r="K370" s="344">
        <v>7</v>
      </c>
      <c r="L370" s="344">
        <v>1</v>
      </c>
      <c r="M370" s="345">
        <v>16.2</v>
      </c>
      <c r="N370" s="345">
        <v>16.2</v>
      </c>
      <c r="O370" s="345" t="s">
        <v>657</v>
      </c>
      <c r="P370" s="345">
        <v>16.2</v>
      </c>
      <c r="Q370" s="345">
        <v>16.2</v>
      </c>
      <c r="R370" s="345"/>
      <c r="S370" s="345"/>
    </row>
    <row r="371" spans="11:19" x14ac:dyDescent="0.3">
      <c r="K371" s="344">
        <v>8</v>
      </c>
      <c r="L371" s="344">
        <v>10</v>
      </c>
      <c r="M371" s="345">
        <v>12.47</v>
      </c>
      <c r="N371" s="345">
        <v>10.85</v>
      </c>
      <c r="O371" s="345">
        <v>4.7110000000000003</v>
      </c>
      <c r="P371" s="345">
        <v>20.5</v>
      </c>
      <c r="Q371" s="345">
        <v>7.1</v>
      </c>
      <c r="R371" s="345">
        <f t="shared" ref="R371:R429" si="24">M371+(1.96*O371)/(L371)^0.5</f>
        <v>15.389908051182434</v>
      </c>
      <c r="S371" s="345">
        <f t="shared" ref="S371:S429" si="25">M371-(1.96*O371)/(L371)^0.5</f>
        <v>9.5500919488175668</v>
      </c>
    </row>
    <row r="372" spans="11:19" x14ac:dyDescent="0.3">
      <c r="K372" s="344">
        <v>9</v>
      </c>
      <c r="L372" s="344">
        <v>17</v>
      </c>
      <c r="M372" s="345">
        <v>14.565</v>
      </c>
      <c r="N372" s="345">
        <v>13.4</v>
      </c>
      <c r="O372" s="345">
        <v>4.6719999999999997</v>
      </c>
      <c r="P372" s="345">
        <v>23.2</v>
      </c>
      <c r="Q372" s="345">
        <v>6.3</v>
      </c>
      <c r="R372" s="345">
        <f t="shared" si="24"/>
        <v>16.785927822732706</v>
      </c>
      <c r="S372" s="345">
        <f t="shared" si="25"/>
        <v>12.344072177267295</v>
      </c>
    </row>
    <row r="373" spans="11:19" x14ac:dyDescent="0.3">
      <c r="K373" s="344">
        <v>10</v>
      </c>
      <c r="L373" s="344">
        <v>22</v>
      </c>
      <c r="M373" s="345">
        <v>15.068</v>
      </c>
      <c r="N373" s="345">
        <v>14.2</v>
      </c>
      <c r="O373" s="345">
        <v>4.4550000000000001</v>
      </c>
      <c r="P373" s="345">
        <v>23.4</v>
      </c>
      <c r="Q373" s="345">
        <v>7.3</v>
      </c>
      <c r="R373" s="345">
        <f t="shared" si="24"/>
        <v>16.929626015073918</v>
      </c>
      <c r="S373" s="345">
        <f t="shared" si="25"/>
        <v>13.206373984926081</v>
      </c>
    </row>
    <row r="374" spans="11:19" x14ac:dyDescent="0.3">
      <c r="K374" s="344">
        <v>11</v>
      </c>
      <c r="L374" s="344">
        <v>21</v>
      </c>
      <c r="M374" s="345">
        <v>15.01</v>
      </c>
      <c r="N374" s="345">
        <v>15.8</v>
      </c>
      <c r="O374" s="345">
        <v>5.5990000000000002</v>
      </c>
      <c r="P374" s="345">
        <v>24</v>
      </c>
      <c r="Q374" s="345">
        <v>5.5</v>
      </c>
      <c r="R374" s="345">
        <f t="shared" si="24"/>
        <v>17.404731856165391</v>
      </c>
      <c r="S374" s="345">
        <f t="shared" si="25"/>
        <v>12.61526814383461</v>
      </c>
    </row>
    <row r="375" spans="11:19" x14ac:dyDescent="0.3">
      <c r="K375" s="344">
        <v>12</v>
      </c>
      <c r="L375" s="344">
        <v>39</v>
      </c>
      <c r="M375" s="345">
        <v>14.69</v>
      </c>
      <c r="N375" s="345">
        <v>13.1</v>
      </c>
      <c r="O375" s="345">
        <v>5.4569999999999999</v>
      </c>
      <c r="P375" s="345">
        <v>26.8</v>
      </c>
      <c r="Q375" s="345">
        <v>7</v>
      </c>
      <c r="R375" s="345">
        <f t="shared" si="24"/>
        <v>16.402685897216145</v>
      </c>
      <c r="S375" s="345">
        <f t="shared" si="25"/>
        <v>12.977314102783852</v>
      </c>
    </row>
    <row r="376" spans="11:19" x14ac:dyDescent="0.3">
      <c r="K376" s="344">
        <v>13</v>
      </c>
      <c r="L376" s="344">
        <v>41</v>
      </c>
      <c r="M376" s="345">
        <v>15.49</v>
      </c>
      <c r="N376" s="345">
        <v>14.4</v>
      </c>
      <c r="O376" s="345">
        <v>5.4939999999999998</v>
      </c>
      <c r="P376" s="345">
        <v>30.3</v>
      </c>
      <c r="Q376" s="345">
        <v>7.2</v>
      </c>
      <c r="R376" s="345">
        <f t="shared" si="24"/>
        <v>17.171716549719363</v>
      </c>
      <c r="S376" s="345">
        <f t="shared" si="25"/>
        <v>13.808283450280637</v>
      </c>
    </row>
    <row r="377" spans="11:19" x14ac:dyDescent="0.3">
      <c r="K377" s="344">
        <v>14</v>
      </c>
      <c r="L377" s="344">
        <v>45</v>
      </c>
      <c r="M377" s="345">
        <v>16.829000000000001</v>
      </c>
      <c r="N377" s="345">
        <v>16.399999999999999</v>
      </c>
      <c r="O377" s="345">
        <v>5.6310000000000002</v>
      </c>
      <c r="P377" s="345">
        <v>35.9</v>
      </c>
      <c r="Q377" s="345">
        <v>7.8</v>
      </c>
      <c r="R377" s="345">
        <f t="shared" si="24"/>
        <v>18.474263040756707</v>
      </c>
      <c r="S377" s="345">
        <f t="shared" si="25"/>
        <v>15.183736959243296</v>
      </c>
    </row>
    <row r="378" spans="11:19" x14ac:dyDescent="0.3">
      <c r="K378" s="344">
        <v>15</v>
      </c>
      <c r="L378" s="344">
        <v>12</v>
      </c>
      <c r="M378" s="345">
        <v>18.558</v>
      </c>
      <c r="N378" s="345">
        <v>17.55</v>
      </c>
      <c r="O378" s="345">
        <v>4.9029999999999996</v>
      </c>
      <c r="P378" s="345">
        <v>29.1</v>
      </c>
      <c r="Q378" s="345">
        <v>11.1</v>
      </c>
      <c r="R378" s="345">
        <f t="shared" si="24"/>
        <v>21.33213340244</v>
      </c>
      <c r="S378" s="345">
        <f t="shared" si="25"/>
        <v>15.783866597559999</v>
      </c>
    </row>
    <row r="379" spans="11:19" x14ac:dyDescent="0.3">
      <c r="K379" s="344">
        <v>16</v>
      </c>
      <c r="L379" s="344">
        <v>13</v>
      </c>
      <c r="M379" s="345">
        <v>19.131</v>
      </c>
      <c r="N379" s="345">
        <v>20.5</v>
      </c>
      <c r="O379" s="345">
        <v>7.6609999999999996</v>
      </c>
      <c r="P379" s="345">
        <v>35.5</v>
      </c>
      <c r="Q379" s="345">
        <v>8.5</v>
      </c>
      <c r="R379" s="345">
        <f t="shared" si="24"/>
        <v>23.29556703921585</v>
      </c>
      <c r="S379" s="345">
        <f t="shared" si="25"/>
        <v>14.96643296078415</v>
      </c>
    </row>
    <row r="380" spans="11:19" x14ac:dyDescent="0.3">
      <c r="K380" s="344">
        <v>17</v>
      </c>
      <c r="L380" s="344">
        <v>4</v>
      </c>
      <c r="M380" s="345">
        <v>14.2</v>
      </c>
      <c r="N380" s="345">
        <v>14.2</v>
      </c>
      <c r="O380" s="345">
        <v>1.722</v>
      </c>
      <c r="P380" s="345">
        <v>16</v>
      </c>
      <c r="Q380" s="345">
        <v>12.4</v>
      </c>
      <c r="R380" s="345">
        <f t="shared" si="24"/>
        <v>15.887559999999999</v>
      </c>
      <c r="S380" s="345">
        <f t="shared" si="25"/>
        <v>12.51244</v>
      </c>
    </row>
    <row r="381" spans="11:19" x14ac:dyDescent="0.3">
      <c r="K381" s="349">
        <v>18</v>
      </c>
      <c r="L381" s="349">
        <v>2</v>
      </c>
      <c r="M381" s="350">
        <v>21.05</v>
      </c>
      <c r="N381" s="350">
        <v>21.05</v>
      </c>
      <c r="O381" s="350">
        <v>5.0199999999999996</v>
      </c>
      <c r="P381" s="350">
        <v>24.6</v>
      </c>
      <c r="Q381" s="350">
        <v>17.5</v>
      </c>
      <c r="R381" s="350">
        <f t="shared" si="24"/>
        <v>28.007365041450676</v>
      </c>
      <c r="S381" s="350">
        <f t="shared" si="25"/>
        <v>14.092634958549324</v>
      </c>
    </row>
    <row r="382" spans="11:19" x14ac:dyDescent="0.3">
      <c r="K382" s="344"/>
      <c r="L382" s="344"/>
      <c r="M382" s="345"/>
      <c r="N382" s="345"/>
      <c r="O382" s="345"/>
      <c r="P382" s="345"/>
      <c r="Q382" s="345"/>
      <c r="R382" s="345"/>
      <c r="S382" s="345"/>
    </row>
    <row r="383" spans="11:19" x14ac:dyDescent="0.3">
      <c r="K383" s="344"/>
      <c r="L383" s="344"/>
      <c r="M383" s="345"/>
      <c r="N383" s="345"/>
      <c r="O383" s="345"/>
      <c r="P383" s="345"/>
      <c r="Q383" s="345"/>
      <c r="R383" s="345"/>
      <c r="S383" s="345"/>
    </row>
    <row r="384" spans="11:19" x14ac:dyDescent="0.3">
      <c r="K384" s="346" t="s">
        <v>691</v>
      </c>
      <c r="L384" s="344"/>
      <c r="M384" s="345"/>
      <c r="N384" s="345"/>
      <c r="O384" s="345"/>
      <c r="P384" s="345"/>
      <c r="Q384" s="345"/>
      <c r="R384" s="345"/>
      <c r="S384" s="345"/>
    </row>
    <row r="385" spans="11:19" x14ac:dyDescent="0.3">
      <c r="K385" s="347" t="s">
        <v>514</v>
      </c>
      <c r="L385" s="347" t="s">
        <v>649</v>
      </c>
      <c r="M385" s="348" t="s">
        <v>650</v>
      </c>
      <c r="N385" s="348" t="s">
        <v>651</v>
      </c>
      <c r="O385" s="348" t="s">
        <v>652</v>
      </c>
      <c r="P385" s="348" t="s">
        <v>653</v>
      </c>
      <c r="Q385" s="348" t="s">
        <v>654</v>
      </c>
      <c r="R385" s="348" t="s">
        <v>655</v>
      </c>
      <c r="S385" s="348" t="s">
        <v>656</v>
      </c>
    </row>
    <row r="386" spans="11:19" x14ac:dyDescent="0.3">
      <c r="K386" s="344">
        <v>7</v>
      </c>
      <c r="L386" s="344">
        <v>1</v>
      </c>
      <c r="M386" s="345">
        <v>7.5</v>
      </c>
      <c r="N386" s="345">
        <v>7.5</v>
      </c>
      <c r="O386" s="345" t="s">
        <v>657</v>
      </c>
      <c r="P386" s="345">
        <v>7.5</v>
      </c>
      <c r="Q386" s="345">
        <v>7.5</v>
      </c>
      <c r="R386" s="345"/>
      <c r="S386" s="345"/>
    </row>
    <row r="387" spans="11:19" x14ac:dyDescent="0.3">
      <c r="K387" s="344">
        <v>8</v>
      </c>
      <c r="L387" s="344">
        <v>10</v>
      </c>
      <c r="M387" s="345">
        <v>9.27</v>
      </c>
      <c r="N387" s="345">
        <v>8.1</v>
      </c>
      <c r="O387" s="345">
        <v>4.867</v>
      </c>
      <c r="P387" s="345">
        <v>17.8</v>
      </c>
      <c r="Q387" s="345">
        <v>4.5</v>
      </c>
      <c r="R387" s="345">
        <f t="shared" si="24"/>
        <v>12.286597852919742</v>
      </c>
      <c r="S387" s="345">
        <f t="shared" si="25"/>
        <v>6.2534021470802568</v>
      </c>
    </row>
    <row r="388" spans="11:19" x14ac:dyDescent="0.3">
      <c r="K388" s="344">
        <v>9</v>
      </c>
      <c r="L388" s="344">
        <v>17</v>
      </c>
      <c r="M388" s="345">
        <v>10.112</v>
      </c>
      <c r="N388" s="345">
        <v>7.4</v>
      </c>
      <c r="O388" s="345">
        <v>5.1109999999999998</v>
      </c>
      <c r="P388" s="345">
        <v>21.9</v>
      </c>
      <c r="Q388" s="345">
        <v>5.0999999999999996</v>
      </c>
      <c r="R388" s="345">
        <f t="shared" si="24"/>
        <v>12.541615175938968</v>
      </c>
      <c r="S388" s="345">
        <f t="shared" si="25"/>
        <v>7.6823848240610326</v>
      </c>
    </row>
    <row r="389" spans="11:19" x14ac:dyDescent="0.3">
      <c r="K389" s="344">
        <v>10</v>
      </c>
      <c r="L389" s="344">
        <v>22</v>
      </c>
      <c r="M389" s="345">
        <v>11.082000000000001</v>
      </c>
      <c r="N389" s="345">
        <v>9.65</v>
      </c>
      <c r="O389" s="345">
        <v>5.6779999999999999</v>
      </c>
      <c r="P389" s="345">
        <v>25.8</v>
      </c>
      <c r="Q389" s="345">
        <v>5.7</v>
      </c>
      <c r="R389" s="345">
        <f t="shared" si="24"/>
        <v>13.454685188235626</v>
      </c>
      <c r="S389" s="345">
        <f t="shared" si="25"/>
        <v>8.7093148117643757</v>
      </c>
    </row>
    <row r="390" spans="11:19" x14ac:dyDescent="0.3">
      <c r="K390" s="344">
        <v>11</v>
      </c>
      <c r="L390" s="344">
        <v>21</v>
      </c>
      <c r="M390" s="345">
        <v>10.404999999999999</v>
      </c>
      <c r="N390" s="345">
        <v>8.8000000000000007</v>
      </c>
      <c r="O390" s="345">
        <v>5.2670000000000003</v>
      </c>
      <c r="P390" s="345">
        <v>21.4</v>
      </c>
      <c r="Q390" s="345">
        <v>4.8</v>
      </c>
      <c r="R390" s="345">
        <f t="shared" si="24"/>
        <v>12.657733110631025</v>
      </c>
      <c r="S390" s="345">
        <f t="shared" si="25"/>
        <v>8.152266889368974</v>
      </c>
    </row>
    <row r="391" spans="11:19" x14ac:dyDescent="0.3">
      <c r="K391" s="344">
        <v>12</v>
      </c>
      <c r="L391" s="344">
        <v>39</v>
      </c>
      <c r="M391" s="345">
        <v>10.404999999999999</v>
      </c>
      <c r="N391" s="345">
        <v>7.9</v>
      </c>
      <c r="O391" s="345">
        <v>6.0490000000000004</v>
      </c>
      <c r="P391" s="345">
        <v>31.6</v>
      </c>
      <c r="Q391" s="345">
        <v>4.9000000000000004</v>
      </c>
      <c r="R391" s="345">
        <f t="shared" si="24"/>
        <v>12.303485796639265</v>
      </c>
      <c r="S391" s="345">
        <f t="shared" si="25"/>
        <v>8.5065142033607337</v>
      </c>
    </row>
    <row r="392" spans="11:19" x14ac:dyDescent="0.3">
      <c r="K392" s="344">
        <v>13</v>
      </c>
      <c r="L392" s="344">
        <v>41</v>
      </c>
      <c r="M392" s="345">
        <v>11.207000000000001</v>
      </c>
      <c r="N392" s="345">
        <v>9.4</v>
      </c>
      <c r="O392" s="345">
        <v>5.3860000000000001</v>
      </c>
      <c r="P392" s="345">
        <v>29.5</v>
      </c>
      <c r="Q392" s="345">
        <v>5.4</v>
      </c>
      <c r="R392" s="345">
        <f t="shared" si="24"/>
        <v>12.855657687802784</v>
      </c>
      <c r="S392" s="345">
        <f t="shared" si="25"/>
        <v>9.5583423121972171</v>
      </c>
    </row>
    <row r="393" spans="11:19" x14ac:dyDescent="0.3">
      <c r="K393" s="344">
        <v>14</v>
      </c>
      <c r="L393" s="344">
        <v>45</v>
      </c>
      <c r="M393" s="345">
        <v>11.651</v>
      </c>
      <c r="N393" s="345">
        <v>11</v>
      </c>
      <c r="O393" s="345">
        <v>4.1820000000000004</v>
      </c>
      <c r="P393" s="345">
        <v>27</v>
      </c>
      <c r="Q393" s="345">
        <v>6.3</v>
      </c>
      <c r="R393" s="345">
        <f t="shared" si="24"/>
        <v>12.872894874168805</v>
      </c>
      <c r="S393" s="345">
        <f t="shared" si="25"/>
        <v>10.429105125831194</v>
      </c>
    </row>
    <row r="394" spans="11:19" x14ac:dyDescent="0.3">
      <c r="K394" s="344">
        <v>15</v>
      </c>
      <c r="L394" s="344">
        <v>12</v>
      </c>
      <c r="M394" s="345">
        <v>13.233000000000001</v>
      </c>
      <c r="N394" s="345">
        <v>12.3</v>
      </c>
      <c r="O394" s="345">
        <v>4.6989999999999998</v>
      </c>
      <c r="P394" s="345">
        <v>23.2</v>
      </c>
      <c r="Q394" s="345">
        <v>6.9</v>
      </c>
      <c r="R394" s="345">
        <f t="shared" si="24"/>
        <v>15.891709536623612</v>
      </c>
      <c r="S394" s="345">
        <f t="shared" si="25"/>
        <v>10.574290463376389</v>
      </c>
    </row>
    <row r="395" spans="11:19" x14ac:dyDescent="0.3">
      <c r="K395" s="344">
        <v>16</v>
      </c>
      <c r="L395" s="344">
        <v>13</v>
      </c>
      <c r="M395" s="345">
        <v>13.154</v>
      </c>
      <c r="N395" s="345">
        <v>11.3</v>
      </c>
      <c r="O395" s="345">
        <v>4.9160000000000004</v>
      </c>
      <c r="P395" s="345">
        <v>22.1</v>
      </c>
      <c r="Q395" s="345">
        <v>7.1</v>
      </c>
      <c r="R395" s="345">
        <f t="shared" si="24"/>
        <v>15.826368041350362</v>
      </c>
      <c r="S395" s="345">
        <f t="shared" si="25"/>
        <v>10.481631958649638</v>
      </c>
    </row>
    <row r="396" spans="11:19" x14ac:dyDescent="0.3">
      <c r="K396" s="344">
        <v>17</v>
      </c>
      <c r="L396" s="344">
        <v>4</v>
      </c>
      <c r="M396" s="345">
        <v>11.025</v>
      </c>
      <c r="N396" s="345">
        <v>9.4</v>
      </c>
      <c r="O396" s="345">
        <v>3.746</v>
      </c>
      <c r="P396" s="345">
        <v>16.600000000000001</v>
      </c>
      <c r="Q396" s="345">
        <v>8.6999999999999993</v>
      </c>
      <c r="R396" s="345">
        <f t="shared" si="24"/>
        <v>14.69608</v>
      </c>
      <c r="S396" s="345">
        <f t="shared" si="25"/>
        <v>7.3539200000000005</v>
      </c>
    </row>
    <row r="397" spans="11:19" x14ac:dyDescent="0.3">
      <c r="K397" s="349">
        <v>18</v>
      </c>
      <c r="L397" s="349">
        <v>2</v>
      </c>
      <c r="M397" s="350">
        <v>12.45</v>
      </c>
      <c r="N397" s="350">
        <v>12.45</v>
      </c>
      <c r="O397" s="350">
        <v>1.0609999999999999</v>
      </c>
      <c r="P397" s="350">
        <v>13.2</v>
      </c>
      <c r="Q397" s="350">
        <v>11.7</v>
      </c>
      <c r="R397" s="350">
        <f t="shared" si="24"/>
        <v>13.920470977884296</v>
      </c>
      <c r="S397" s="350">
        <f t="shared" si="25"/>
        <v>10.979529022115702</v>
      </c>
    </row>
    <row r="398" spans="11:19" x14ac:dyDescent="0.3">
      <c r="K398" s="344"/>
      <c r="L398" s="344"/>
      <c r="M398" s="345"/>
      <c r="N398" s="345"/>
      <c r="O398" s="345"/>
      <c r="P398" s="345"/>
      <c r="Q398" s="345"/>
      <c r="R398" s="345"/>
      <c r="S398" s="345"/>
    </row>
    <row r="399" spans="11:19" x14ac:dyDescent="0.3">
      <c r="K399" s="344"/>
      <c r="L399" s="344"/>
      <c r="M399" s="345"/>
      <c r="N399" s="345"/>
      <c r="O399" s="345"/>
      <c r="P399" s="345"/>
      <c r="Q399" s="345"/>
      <c r="R399" s="345"/>
      <c r="S399" s="345"/>
    </row>
    <row r="400" spans="11:19" x14ac:dyDescent="0.3">
      <c r="K400" s="346" t="s">
        <v>692</v>
      </c>
      <c r="L400" s="344"/>
      <c r="M400" s="345"/>
      <c r="N400" s="345"/>
      <c r="O400" s="345"/>
      <c r="P400" s="345"/>
      <c r="Q400" s="345"/>
      <c r="R400" s="345"/>
      <c r="S400" s="345"/>
    </row>
    <row r="401" spans="11:19" x14ac:dyDescent="0.3">
      <c r="K401" s="347" t="s">
        <v>514</v>
      </c>
      <c r="L401" s="347" t="s">
        <v>649</v>
      </c>
      <c r="M401" s="348" t="s">
        <v>650</v>
      </c>
      <c r="N401" s="348" t="s">
        <v>651</v>
      </c>
      <c r="O401" s="348" t="s">
        <v>652</v>
      </c>
      <c r="P401" s="348" t="s">
        <v>653</v>
      </c>
      <c r="Q401" s="348" t="s">
        <v>654</v>
      </c>
      <c r="R401" s="348" t="s">
        <v>655</v>
      </c>
      <c r="S401" s="348" t="s">
        <v>656</v>
      </c>
    </row>
    <row r="402" spans="11:19" x14ac:dyDescent="0.3">
      <c r="K402" s="344">
        <v>7</v>
      </c>
      <c r="L402" s="344">
        <v>1</v>
      </c>
      <c r="M402" s="345">
        <v>8</v>
      </c>
      <c r="N402" s="345">
        <v>8</v>
      </c>
      <c r="O402" s="345" t="s">
        <v>657</v>
      </c>
      <c r="P402" s="345">
        <v>8</v>
      </c>
      <c r="Q402" s="345">
        <v>8</v>
      </c>
      <c r="R402" s="345"/>
      <c r="S402" s="345"/>
    </row>
    <row r="403" spans="11:19" x14ac:dyDescent="0.3">
      <c r="K403" s="344">
        <v>8</v>
      </c>
      <c r="L403" s="344">
        <v>10</v>
      </c>
      <c r="M403" s="345">
        <v>9.31</v>
      </c>
      <c r="N403" s="345">
        <v>8.6999999999999993</v>
      </c>
      <c r="O403" s="345">
        <v>6.4820000000000002</v>
      </c>
      <c r="P403" s="345">
        <v>21.8</v>
      </c>
      <c r="Q403" s="345">
        <v>3.1</v>
      </c>
      <c r="R403" s="345">
        <f t="shared" si="24"/>
        <v>13.327585223469441</v>
      </c>
      <c r="S403" s="345">
        <f t="shared" si="25"/>
        <v>5.2924147765305598</v>
      </c>
    </row>
    <row r="404" spans="11:19" x14ac:dyDescent="0.3">
      <c r="K404" s="344">
        <v>9</v>
      </c>
      <c r="L404" s="344">
        <v>17</v>
      </c>
      <c r="M404" s="345">
        <v>12.629</v>
      </c>
      <c r="N404" s="345">
        <v>10.8</v>
      </c>
      <c r="O404" s="345">
        <v>6.7530000000000001</v>
      </c>
      <c r="P404" s="345">
        <v>26.4</v>
      </c>
      <c r="Q404" s="345">
        <v>4.4000000000000004</v>
      </c>
      <c r="R404" s="345">
        <f t="shared" si="24"/>
        <v>15.839172428705899</v>
      </c>
      <c r="S404" s="345">
        <f t="shared" si="25"/>
        <v>9.4188275712941003</v>
      </c>
    </row>
    <row r="405" spans="11:19" x14ac:dyDescent="0.3">
      <c r="K405" s="344">
        <v>10</v>
      </c>
      <c r="L405" s="344">
        <v>22</v>
      </c>
      <c r="M405" s="345">
        <v>12.105</v>
      </c>
      <c r="N405" s="345">
        <v>11.45</v>
      </c>
      <c r="O405" s="345">
        <v>5.6740000000000004</v>
      </c>
      <c r="P405" s="345">
        <v>27</v>
      </c>
      <c r="Q405" s="345">
        <v>5.8</v>
      </c>
      <c r="R405" s="345">
        <f t="shared" si="24"/>
        <v>14.476013694619398</v>
      </c>
      <c r="S405" s="345">
        <f t="shared" si="25"/>
        <v>9.7339863053806024</v>
      </c>
    </row>
    <row r="406" spans="11:19" x14ac:dyDescent="0.3">
      <c r="K406" s="344">
        <v>11</v>
      </c>
      <c r="L406" s="344">
        <v>21</v>
      </c>
      <c r="M406" s="345">
        <v>12.529</v>
      </c>
      <c r="N406" s="345">
        <v>12</v>
      </c>
      <c r="O406" s="345">
        <v>6.2450000000000001</v>
      </c>
      <c r="P406" s="345">
        <v>23.9</v>
      </c>
      <c r="Q406" s="345">
        <v>3.2</v>
      </c>
      <c r="R406" s="345">
        <f t="shared" si="24"/>
        <v>15.200030620066594</v>
      </c>
      <c r="S406" s="345">
        <f t="shared" si="25"/>
        <v>9.8579693799334063</v>
      </c>
    </row>
    <row r="407" spans="11:19" x14ac:dyDescent="0.3">
      <c r="K407" s="344">
        <v>12</v>
      </c>
      <c r="L407" s="344">
        <v>39</v>
      </c>
      <c r="M407" s="345">
        <v>11.638</v>
      </c>
      <c r="N407" s="345">
        <v>8.9</v>
      </c>
      <c r="O407" s="345">
        <v>7.0060000000000002</v>
      </c>
      <c r="P407" s="345">
        <v>33</v>
      </c>
      <c r="Q407" s="345">
        <v>4.9000000000000004</v>
      </c>
      <c r="R407" s="345">
        <f t="shared" si="24"/>
        <v>13.836841377294544</v>
      </c>
      <c r="S407" s="345">
        <f t="shared" si="25"/>
        <v>9.439158622705456</v>
      </c>
    </row>
    <row r="408" spans="11:19" x14ac:dyDescent="0.3">
      <c r="K408" s="344">
        <v>13</v>
      </c>
      <c r="L408" s="344">
        <v>41</v>
      </c>
      <c r="M408" s="345">
        <v>14.676</v>
      </c>
      <c r="N408" s="345">
        <v>10.9</v>
      </c>
      <c r="O408" s="345">
        <v>8.6470000000000002</v>
      </c>
      <c r="P408" s="345">
        <v>40.700000000000003</v>
      </c>
      <c r="Q408" s="345">
        <v>6.2</v>
      </c>
      <c r="R408" s="345">
        <f t="shared" si="24"/>
        <v>17.322851657339523</v>
      </c>
      <c r="S408" s="345">
        <f t="shared" si="25"/>
        <v>12.029148342660477</v>
      </c>
    </row>
    <row r="409" spans="11:19" x14ac:dyDescent="0.3">
      <c r="K409" s="344">
        <v>14</v>
      </c>
      <c r="L409" s="344">
        <v>45</v>
      </c>
      <c r="M409" s="345">
        <v>13.632999999999999</v>
      </c>
      <c r="N409" s="345">
        <v>12.2</v>
      </c>
      <c r="O409" s="345">
        <v>6.0220000000000002</v>
      </c>
      <c r="P409" s="345">
        <v>27.1</v>
      </c>
      <c r="Q409" s="345">
        <v>4.8</v>
      </c>
      <c r="R409" s="345">
        <f t="shared" si="24"/>
        <v>15.392505244439153</v>
      </c>
      <c r="S409" s="345">
        <f t="shared" si="25"/>
        <v>11.873494755560845</v>
      </c>
    </row>
    <row r="410" spans="11:19" x14ac:dyDescent="0.3">
      <c r="K410" s="344">
        <v>15</v>
      </c>
      <c r="L410" s="344">
        <v>12</v>
      </c>
      <c r="M410" s="345">
        <v>16.492000000000001</v>
      </c>
      <c r="N410" s="345">
        <v>16.75</v>
      </c>
      <c r="O410" s="345">
        <v>6.8129999999999997</v>
      </c>
      <c r="P410" s="345">
        <v>30.8</v>
      </c>
      <c r="Q410" s="345">
        <v>5.0999999999999996</v>
      </c>
      <c r="R410" s="345">
        <f t="shared" si="24"/>
        <v>20.346817636309144</v>
      </c>
      <c r="S410" s="345">
        <f t="shared" si="25"/>
        <v>12.637182363690858</v>
      </c>
    </row>
    <row r="411" spans="11:19" x14ac:dyDescent="0.3">
      <c r="K411" s="344">
        <v>16</v>
      </c>
      <c r="L411" s="344">
        <v>13</v>
      </c>
      <c r="M411" s="345">
        <v>15.269</v>
      </c>
      <c r="N411" s="345">
        <v>11.5</v>
      </c>
      <c r="O411" s="345">
        <v>7.3360000000000003</v>
      </c>
      <c r="P411" s="345">
        <v>30.3</v>
      </c>
      <c r="Q411" s="345">
        <v>6.3</v>
      </c>
      <c r="R411" s="345">
        <f t="shared" si="24"/>
        <v>19.256895026718116</v>
      </c>
      <c r="S411" s="345">
        <f t="shared" si="25"/>
        <v>11.281104973281884</v>
      </c>
    </row>
    <row r="412" spans="11:19" x14ac:dyDescent="0.3">
      <c r="K412" s="344">
        <v>17</v>
      </c>
      <c r="L412" s="344">
        <v>4</v>
      </c>
      <c r="M412" s="345">
        <v>10.725</v>
      </c>
      <c r="N412" s="345">
        <v>11.2</v>
      </c>
      <c r="O412" s="345">
        <v>2.117</v>
      </c>
      <c r="P412" s="345">
        <v>12.5</v>
      </c>
      <c r="Q412" s="345">
        <v>8</v>
      </c>
      <c r="R412" s="345">
        <f t="shared" si="24"/>
        <v>12.799659999999999</v>
      </c>
      <c r="S412" s="345">
        <f t="shared" si="25"/>
        <v>8.6503399999999999</v>
      </c>
    </row>
    <row r="413" spans="11:19" x14ac:dyDescent="0.3">
      <c r="K413" s="349">
        <v>18</v>
      </c>
      <c r="L413" s="349">
        <v>2</v>
      </c>
      <c r="M413" s="350">
        <v>19.25</v>
      </c>
      <c r="N413" s="350">
        <v>19.25</v>
      </c>
      <c r="O413" s="350">
        <v>2.1920000000000002</v>
      </c>
      <c r="P413" s="350">
        <v>20.8</v>
      </c>
      <c r="Q413" s="350">
        <v>17.7</v>
      </c>
      <c r="R413" s="350">
        <f t="shared" si="24"/>
        <v>22.287957006147387</v>
      </c>
      <c r="S413" s="350">
        <f t="shared" si="25"/>
        <v>16.212042993852613</v>
      </c>
    </row>
    <row r="414" spans="11:19" x14ac:dyDescent="0.3">
      <c r="K414" s="344"/>
      <c r="L414" s="344"/>
      <c r="M414" s="345"/>
      <c r="N414" s="345"/>
      <c r="O414" s="345"/>
      <c r="P414" s="345"/>
      <c r="Q414" s="345"/>
      <c r="R414" s="345"/>
      <c r="S414" s="345"/>
    </row>
    <row r="415" spans="11:19" x14ac:dyDescent="0.3">
      <c r="K415" s="344"/>
      <c r="L415" s="344"/>
      <c r="M415" s="345"/>
      <c r="N415" s="345"/>
      <c r="O415" s="345"/>
      <c r="P415" s="345"/>
      <c r="Q415" s="345"/>
      <c r="R415" s="345"/>
      <c r="S415" s="345"/>
    </row>
    <row r="416" spans="11:19" x14ac:dyDescent="0.3">
      <c r="K416" s="346" t="s">
        <v>693</v>
      </c>
      <c r="L416" s="344"/>
      <c r="M416" s="345"/>
      <c r="N416" s="345"/>
      <c r="O416" s="345"/>
      <c r="P416" s="345"/>
      <c r="Q416" s="345"/>
      <c r="R416" s="345"/>
      <c r="S416" s="345"/>
    </row>
    <row r="417" spans="11:19" x14ac:dyDescent="0.3">
      <c r="K417" s="347" t="s">
        <v>514</v>
      </c>
      <c r="L417" s="347" t="s">
        <v>649</v>
      </c>
      <c r="M417" s="348" t="s">
        <v>650</v>
      </c>
      <c r="N417" s="348" t="s">
        <v>651</v>
      </c>
      <c r="O417" s="348" t="s">
        <v>652</v>
      </c>
      <c r="P417" s="348" t="s">
        <v>653</v>
      </c>
      <c r="Q417" s="348" t="s">
        <v>654</v>
      </c>
      <c r="R417" s="348" t="s">
        <v>655</v>
      </c>
      <c r="S417" s="348" t="s">
        <v>656</v>
      </c>
    </row>
    <row r="418" spans="11:19" x14ac:dyDescent="0.3">
      <c r="K418" s="344">
        <v>7</v>
      </c>
      <c r="L418" s="344">
        <v>1</v>
      </c>
      <c r="M418" s="345">
        <v>11.3</v>
      </c>
      <c r="N418" s="345">
        <v>11.3</v>
      </c>
      <c r="O418" s="345" t="s">
        <v>657</v>
      </c>
      <c r="P418" s="345">
        <v>11.3</v>
      </c>
      <c r="Q418" s="345">
        <v>11.3</v>
      </c>
      <c r="R418" s="345"/>
      <c r="S418" s="345"/>
    </row>
    <row r="419" spans="11:19" x14ac:dyDescent="0.3">
      <c r="K419" s="344">
        <v>8</v>
      </c>
      <c r="L419" s="344">
        <v>10</v>
      </c>
      <c r="M419" s="345">
        <v>15.5</v>
      </c>
      <c r="N419" s="345">
        <v>14.2</v>
      </c>
      <c r="O419" s="345">
        <v>9.3109999999999999</v>
      </c>
      <c r="P419" s="345">
        <v>29.7</v>
      </c>
      <c r="Q419" s="345">
        <v>5</v>
      </c>
      <c r="R419" s="345">
        <f t="shared" si="24"/>
        <v>21.271017589590244</v>
      </c>
      <c r="S419" s="345">
        <f t="shared" si="25"/>
        <v>9.7289824104097562</v>
      </c>
    </row>
    <row r="420" spans="11:19" x14ac:dyDescent="0.3">
      <c r="K420" s="344">
        <v>9</v>
      </c>
      <c r="L420" s="344">
        <v>17</v>
      </c>
      <c r="M420" s="345">
        <v>18.893999999999998</v>
      </c>
      <c r="N420" s="345">
        <v>18.100000000000001</v>
      </c>
      <c r="O420" s="345">
        <v>8.0489999999999995</v>
      </c>
      <c r="P420" s="345">
        <v>37.299999999999997</v>
      </c>
      <c r="Q420" s="345">
        <v>8.5</v>
      </c>
      <c r="R420" s="345">
        <f t="shared" si="24"/>
        <v>22.720251721998189</v>
      </c>
      <c r="S420" s="345">
        <f t="shared" si="25"/>
        <v>15.067748278001808</v>
      </c>
    </row>
    <row r="421" spans="11:19" x14ac:dyDescent="0.3">
      <c r="K421" s="344">
        <v>10</v>
      </c>
      <c r="L421" s="344">
        <v>22</v>
      </c>
      <c r="M421" s="345">
        <v>19.523</v>
      </c>
      <c r="N421" s="345">
        <v>19.3</v>
      </c>
      <c r="O421" s="345">
        <v>7.819</v>
      </c>
      <c r="P421" s="345">
        <v>35</v>
      </c>
      <c r="Q421" s="345">
        <v>9.4</v>
      </c>
      <c r="R421" s="345">
        <f t="shared" si="24"/>
        <v>22.790352146321656</v>
      </c>
      <c r="S421" s="345">
        <f t="shared" si="25"/>
        <v>16.255647853678344</v>
      </c>
    </row>
    <row r="422" spans="11:19" x14ac:dyDescent="0.3">
      <c r="K422" s="344">
        <v>11</v>
      </c>
      <c r="L422" s="344">
        <v>21</v>
      </c>
      <c r="M422" s="345">
        <v>20.071000000000002</v>
      </c>
      <c r="N422" s="345">
        <v>18.600000000000001</v>
      </c>
      <c r="O422" s="345">
        <v>9.1760000000000002</v>
      </c>
      <c r="P422" s="345">
        <v>36.799999999999997</v>
      </c>
      <c r="Q422" s="345">
        <v>6</v>
      </c>
      <c r="R422" s="345">
        <f t="shared" si="24"/>
        <v>23.995640027178716</v>
      </c>
      <c r="S422" s="345">
        <f t="shared" si="25"/>
        <v>16.146359972821287</v>
      </c>
    </row>
    <row r="423" spans="11:19" x14ac:dyDescent="0.3">
      <c r="K423" s="344">
        <v>12</v>
      </c>
      <c r="L423" s="344">
        <v>39</v>
      </c>
      <c r="M423" s="345">
        <v>19.5</v>
      </c>
      <c r="N423" s="345">
        <v>16.100000000000001</v>
      </c>
      <c r="O423" s="345">
        <v>9.2129999999999992</v>
      </c>
      <c r="P423" s="345">
        <v>41.1</v>
      </c>
      <c r="Q423" s="345">
        <v>8.8000000000000007</v>
      </c>
      <c r="R423" s="345">
        <f t="shared" si="24"/>
        <v>22.391510934772285</v>
      </c>
      <c r="S423" s="345">
        <f t="shared" si="25"/>
        <v>16.608489065227715</v>
      </c>
    </row>
    <row r="424" spans="11:19" x14ac:dyDescent="0.3">
      <c r="K424" s="344">
        <v>13</v>
      </c>
      <c r="L424" s="344">
        <v>41</v>
      </c>
      <c r="M424" s="345">
        <v>22.285</v>
      </c>
      <c r="N424" s="345">
        <v>20.8</v>
      </c>
      <c r="O424" s="345">
        <v>9.7159999999999993</v>
      </c>
      <c r="P424" s="345">
        <v>48.3</v>
      </c>
      <c r="Q424" s="345">
        <v>9.9</v>
      </c>
      <c r="R424" s="345">
        <f t="shared" si="24"/>
        <v>25.259073170199006</v>
      </c>
      <c r="S424" s="345">
        <f t="shared" si="25"/>
        <v>19.310926829800994</v>
      </c>
    </row>
    <row r="425" spans="11:19" x14ac:dyDescent="0.3">
      <c r="K425" s="344">
        <v>14</v>
      </c>
      <c r="L425" s="344">
        <v>45</v>
      </c>
      <c r="M425" s="345">
        <v>23.010999999999999</v>
      </c>
      <c r="N425" s="345">
        <v>21.3</v>
      </c>
      <c r="O425" s="345">
        <v>8.3179999999999996</v>
      </c>
      <c r="P425" s="345">
        <v>44.6</v>
      </c>
      <c r="Q425" s="345">
        <v>8.5</v>
      </c>
      <c r="R425" s="345">
        <f t="shared" si="24"/>
        <v>25.441349489080849</v>
      </c>
      <c r="S425" s="345">
        <f t="shared" si="25"/>
        <v>20.580650510919149</v>
      </c>
    </row>
    <row r="426" spans="11:19" x14ac:dyDescent="0.3">
      <c r="K426" s="344">
        <v>15</v>
      </c>
      <c r="L426" s="344">
        <v>12</v>
      </c>
      <c r="M426" s="345">
        <v>27.242000000000001</v>
      </c>
      <c r="N426" s="345">
        <v>25.6</v>
      </c>
      <c r="O426" s="345">
        <v>9.4169999999999998</v>
      </c>
      <c r="P426" s="345">
        <v>44.2</v>
      </c>
      <c r="Q426" s="345">
        <v>9</v>
      </c>
      <c r="R426" s="345">
        <f t="shared" si="24"/>
        <v>32.570169335259536</v>
      </c>
      <c r="S426" s="345">
        <f t="shared" si="25"/>
        <v>21.91383066474047</v>
      </c>
    </row>
    <row r="427" spans="11:19" x14ac:dyDescent="0.3">
      <c r="K427" s="344">
        <v>16</v>
      </c>
      <c r="L427" s="344">
        <v>13</v>
      </c>
      <c r="M427" s="345">
        <v>26.391999999999999</v>
      </c>
      <c r="N427" s="345">
        <v>26.4</v>
      </c>
      <c r="O427" s="345">
        <v>9.6739999999999995</v>
      </c>
      <c r="P427" s="345">
        <v>42.5</v>
      </c>
      <c r="Q427" s="345">
        <v>12.1</v>
      </c>
      <c r="R427" s="345">
        <f t="shared" si="24"/>
        <v>31.650846304317209</v>
      </c>
      <c r="S427" s="345">
        <f t="shared" si="25"/>
        <v>21.13315369568279</v>
      </c>
    </row>
    <row r="428" spans="11:19" x14ac:dyDescent="0.3">
      <c r="K428" s="344">
        <v>17</v>
      </c>
      <c r="L428" s="344">
        <v>4</v>
      </c>
      <c r="M428" s="345">
        <v>20.074999999999999</v>
      </c>
      <c r="N428" s="345">
        <v>18.899999999999999</v>
      </c>
      <c r="O428" s="345">
        <v>6.8280000000000003</v>
      </c>
      <c r="P428" s="345">
        <v>28.1</v>
      </c>
      <c r="Q428" s="345">
        <v>14.4</v>
      </c>
      <c r="R428" s="345">
        <f t="shared" si="24"/>
        <v>26.766439999999999</v>
      </c>
      <c r="S428" s="345">
        <f t="shared" si="25"/>
        <v>13.383559999999999</v>
      </c>
    </row>
    <row r="429" spans="11:19" x14ac:dyDescent="0.3">
      <c r="K429" s="349">
        <v>18</v>
      </c>
      <c r="L429" s="349">
        <v>2</v>
      </c>
      <c r="M429" s="350">
        <v>30.35</v>
      </c>
      <c r="N429" s="350">
        <v>30.35</v>
      </c>
      <c r="O429" s="350">
        <v>7.0709999999999995E-2</v>
      </c>
      <c r="P429" s="350">
        <v>30.4</v>
      </c>
      <c r="Q429" s="350">
        <v>30.3</v>
      </c>
      <c r="R429" s="350">
        <f t="shared" si="24"/>
        <v>30.447999060175494</v>
      </c>
      <c r="S429" s="350">
        <f t="shared" si="25"/>
        <v>30.252000939824509</v>
      </c>
    </row>
    <row r="430" spans="11:19" x14ac:dyDescent="0.3">
      <c r="K430" s="344"/>
      <c r="L430" s="344"/>
      <c r="M430" s="345"/>
      <c r="N430" s="345"/>
      <c r="O430" s="345"/>
      <c r="P430" s="345"/>
      <c r="Q430" s="345"/>
      <c r="R430" s="345"/>
      <c r="S430" s="345"/>
    </row>
    <row r="431" spans="11:19" x14ac:dyDescent="0.3">
      <c r="K431" s="344"/>
      <c r="L431" s="344"/>
      <c r="M431" s="345"/>
      <c r="N431" s="345"/>
      <c r="O431" s="345"/>
      <c r="P431" s="345"/>
      <c r="Q431" s="345"/>
      <c r="R431" s="345"/>
      <c r="S431" s="345"/>
    </row>
    <row r="432" spans="11:19" x14ac:dyDescent="0.3">
      <c r="K432" s="346" t="s">
        <v>694</v>
      </c>
      <c r="L432" s="344"/>
      <c r="M432" s="345"/>
      <c r="N432" s="345"/>
      <c r="O432" s="345"/>
      <c r="P432" s="345"/>
      <c r="Q432" s="345"/>
      <c r="R432" s="345"/>
      <c r="S432" s="345"/>
    </row>
    <row r="433" spans="11:19" x14ac:dyDescent="0.3">
      <c r="K433" s="347" t="s">
        <v>514</v>
      </c>
      <c r="L433" s="347" t="s">
        <v>649</v>
      </c>
      <c r="M433" s="348" t="s">
        <v>650</v>
      </c>
      <c r="N433" s="348" t="s">
        <v>651</v>
      </c>
      <c r="O433" s="348" t="s">
        <v>652</v>
      </c>
      <c r="P433" s="348" t="s">
        <v>653</v>
      </c>
      <c r="Q433" s="348" t="s">
        <v>654</v>
      </c>
      <c r="R433" s="348" t="s">
        <v>655</v>
      </c>
      <c r="S433" s="348" t="s">
        <v>656</v>
      </c>
    </row>
    <row r="434" spans="11:19" x14ac:dyDescent="0.3">
      <c r="K434" s="344">
        <v>7</v>
      </c>
      <c r="L434" s="344">
        <v>1</v>
      </c>
      <c r="M434" s="345">
        <v>20.5</v>
      </c>
      <c r="N434" s="345">
        <v>20.5</v>
      </c>
      <c r="O434" s="345" t="s">
        <v>657</v>
      </c>
      <c r="P434" s="345">
        <v>20.5</v>
      </c>
      <c r="Q434" s="345">
        <v>20.5</v>
      </c>
      <c r="R434" s="345"/>
      <c r="S434" s="345"/>
    </row>
    <row r="435" spans="11:19" x14ac:dyDescent="0.3">
      <c r="K435" s="344">
        <v>8</v>
      </c>
      <c r="L435" s="344">
        <v>10</v>
      </c>
      <c r="M435" s="345">
        <v>18.82</v>
      </c>
      <c r="N435" s="345">
        <v>16.95</v>
      </c>
      <c r="O435" s="345">
        <v>6.1980000000000004</v>
      </c>
      <c r="P435" s="345">
        <v>29.5</v>
      </c>
      <c r="Q435" s="345">
        <v>11.8</v>
      </c>
      <c r="R435" s="345">
        <f t="shared" ref="R435:R493" si="26">M435+(1.96*O435)/(L435)^0.5</f>
        <v>22.661560199793829</v>
      </c>
      <c r="S435" s="345">
        <f t="shared" ref="S435:S493" si="27">M435-(1.96*O435)/(L435)^0.5</f>
        <v>14.978439800206171</v>
      </c>
    </row>
    <row r="436" spans="11:19" x14ac:dyDescent="0.3">
      <c r="K436" s="344">
        <v>9</v>
      </c>
      <c r="L436" s="344">
        <v>17</v>
      </c>
      <c r="M436" s="345">
        <v>20.364999999999998</v>
      </c>
      <c r="N436" s="345">
        <v>19.2</v>
      </c>
      <c r="O436" s="345">
        <v>6.7850000000000001</v>
      </c>
      <c r="P436" s="345">
        <v>34</v>
      </c>
      <c r="Q436" s="345">
        <v>12.6</v>
      </c>
      <c r="R436" s="345">
        <f t="shared" si="26"/>
        <v>23.590384263108177</v>
      </c>
      <c r="S436" s="345">
        <f t="shared" si="27"/>
        <v>17.13961573689182</v>
      </c>
    </row>
    <row r="437" spans="11:19" x14ac:dyDescent="0.3">
      <c r="K437" s="344">
        <v>10</v>
      </c>
      <c r="L437" s="344">
        <v>22</v>
      </c>
      <c r="M437" s="345">
        <v>19.995000000000001</v>
      </c>
      <c r="N437" s="345">
        <v>18.600000000000001</v>
      </c>
      <c r="O437" s="345">
        <v>5.4290000000000003</v>
      </c>
      <c r="P437" s="345">
        <v>30.4</v>
      </c>
      <c r="Q437" s="345">
        <v>12.4</v>
      </c>
      <c r="R437" s="345">
        <f t="shared" si="26"/>
        <v>22.263634710625436</v>
      </c>
      <c r="S437" s="345">
        <f t="shared" si="27"/>
        <v>17.726365289374566</v>
      </c>
    </row>
    <row r="438" spans="11:19" x14ac:dyDescent="0.3">
      <c r="K438" s="344">
        <v>11</v>
      </c>
      <c r="L438" s="344">
        <v>21</v>
      </c>
      <c r="M438" s="345">
        <v>22.881</v>
      </c>
      <c r="N438" s="345">
        <v>24.5</v>
      </c>
      <c r="O438" s="345">
        <v>7.6660000000000004</v>
      </c>
      <c r="P438" s="345">
        <v>37.299999999999997</v>
      </c>
      <c r="Q438" s="345">
        <v>8.6</v>
      </c>
      <c r="R438" s="345">
        <f t="shared" si="26"/>
        <v>26.15980235923627</v>
      </c>
      <c r="S438" s="345">
        <f t="shared" si="27"/>
        <v>19.60219764076373</v>
      </c>
    </row>
    <row r="439" spans="11:19" x14ac:dyDescent="0.3">
      <c r="K439" s="344">
        <v>12</v>
      </c>
      <c r="L439" s="344">
        <v>39</v>
      </c>
      <c r="M439" s="345">
        <v>20.756</v>
      </c>
      <c r="N439" s="345">
        <v>19.100000000000001</v>
      </c>
      <c r="O439" s="345">
        <v>7.6070000000000002</v>
      </c>
      <c r="P439" s="345">
        <v>38.5</v>
      </c>
      <c r="Q439" s="345">
        <v>9.8000000000000007</v>
      </c>
      <c r="R439" s="345">
        <f t="shared" si="26"/>
        <v>23.143465937350783</v>
      </c>
      <c r="S439" s="345">
        <f t="shared" si="27"/>
        <v>18.368534062649218</v>
      </c>
    </row>
    <row r="440" spans="11:19" x14ac:dyDescent="0.3">
      <c r="K440" s="344">
        <v>13</v>
      </c>
      <c r="L440" s="344">
        <v>41</v>
      </c>
      <c r="M440" s="345">
        <v>22.59</v>
      </c>
      <c r="N440" s="345">
        <v>20.9</v>
      </c>
      <c r="O440" s="345">
        <v>9.58</v>
      </c>
      <c r="P440" s="345">
        <v>52.5</v>
      </c>
      <c r="Q440" s="345">
        <v>11.3</v>
      </c>
      <c r="R440" s="345">
        <f t="shared" si="26"/>
        <v>25.522443492229979</v>
      </c>
      <c r="S440" s="345">
        <f t="shared" si="27"/>
        <v>19.657556507770021</v>
      </c>
    </row>
    <row r="441" spans="11:19" x14ac:dyDescent="0.3">
      <c r="K441" s="344">
        <v>14</v>
      </c>
      <c r="L441" s="344">
        <v>45</v>
      </c>
      <c r="M441" s="345">
        <v>22.329000000000001</v>
      </c>
      <c r="N441" s="345">
        <v>21.5</v>
      </c>
      <c r="O441" s="345">
        <v>6.3289999999999997</v>
      </c>
      <c r="P441" s="345">
        <v>37.200000000000003</v>
      </c>
      <c r="Q441" s="345">
        <v>10.4</v>
      </c>
      <c r="R441" s="345">
        <f t="shared" si="26"/>
        <v>24.178204366000568</v>
      </c>
      <c r="S441" s="345">
        <f t="shared" si="27"/>
        <v>20.479795633999434</v>
      </c>
    </row>
    <row r="442" spans="11:19" x14ac:dyDescent="0.3">
      <c r="K442" s="344">
        <v>15</v>
      </c>
      <c r="L442" s="344">
        <v>12</v>
      </c>
      <c r="M442" s="345">
        <v>23.033000000000001</v>
      </c>
      <c r="N442" s="345">
        <v>23.25</v>
      </c>
      <c r="O442" s="345">
        <v>5.3650000000000002</v>
      </c>
      <c r="P442" s="345">
        <v>30.2</v>
      </c>
      <c r="Q442" s="345">
        <v>14.8</v>
      </c>
      <c r="R442" s="345">
        <f t="shared" si="26"/>
        <v>26.068534510318297</v>
      </c>
      <c r="S442" s="345">
        <f t="shared" si="27"/>
        <v>19.997465489681705</v>
      </c>
    </row>
    <row r="443" spans="11:19" x14ac:dyDescent="0.3">
      <c r="K443" s="344">
        <v>16</v>
      </c>
      <c r="L443" s="344">
        <v>13</v>
      </c>
      <c r="M443" s="345">
        <v>23.992000000000001</v>
      </c>
      <c r="N443" s="345">
        <v>24.2</v>
      </c>
      <c r="O443" s="345">
        <v>5.383</v>
      </c>
      <c r="P443" s="345">
        <v>32.1</v>
      </c>
      <c r="Q443" s="345">
        <v>13</v>
      </c>
      <c r="R443" s="345">
        <f t="shared" si="26"/>
        <v>26.918232133154802</v>
      </c>
      <c r="S443" s="345">
        <f t="shared" si="27"/>
        <v>21.065767866845199</v>
      </c>
    </row>
    <row r="444" spans="11:19" x14ac:dyDescent="0.3">
      <c r="K444" s="344">
        <v>17</v>
      </c>
      <c r="L444" s="344">
        <v>4</v>
      </c>
      <c r="M444" s="345">
        <v>19.350000000000001</v>
      </c>
      <c r="N444" s="345">
        <v>19.55</v>
      </c>
      <c r="O444" s="345">
        <v>1.3029999999999999</v>
      </c>
      <c r="P444" s="345">
        <v>20.7</v>
      </c>
      <c r="Q444" s="345">
        <v>17.600000000000001</v>
      </c>
      <c r="R444" s="345">
        <f t="shared" si="26"/>
        <v>20.626940000000001</v>
      </c>
      <c r="S444" s="345">
        <f t="shared" si="27"/>
        <v>18.073060000000002</v>
      </c>
    </row>
    <row r="445" spans="11:19" x14ac:dyDescent="0.3">
      <c r="K445" s="349">
        <v>18</v>
      </c>
      <c r="L445" s="349">
        <v>2</v>
      </c>
      <c r="M445" s="350">
        <v>26.05</v>
      </c>
      <c r="N445" s="350">
        <v>26.05</v>
      </c>
      <c r="O445" s="350">
        <v>4.7380000000000004</v>
      </c>
      <c r="P445" s="350">
        <v>29.4</v>
      </c>
      <c r="Q445" s="350">
        <v>22.7</v>
      </c>
      <c r="R445" s="350">
        <f t="shared" si="26"/>
        <v>32.616532981353252</v>
      </c>
      <c r="S445" s="350">
        <f t="shared" si="27"/>
        <v>19.483467018646749</v>
      </c>
    </row>
    <row r="446" spans="11:19" x14ac:dyDescent="0.3">
      <c r="K446" s="344"/>
      <c r="L446" s="344"/>
      <c r="M446" s="345"/>
      <c r="N446" s="345"/>
      <c r="O446" s="345"/>
      <c r="P446" s="345"/>
      <c r="Q446" s="345"/>
      <c r="R446" s="345"/>
      <c r="S446" s="345"/>
    </row>
    <row r="447" spans="11:19" x14ac:dyDescent="0.3">
      <c r="K447" s="344"/>
      <c r="L447" s="344"/>
      <c r="M447" s="345"/>
      <c r="N447" s="345"/>
      <c r="O447" s="345"/>
      <c r="P447" s="345"/>
      <c r="Q447" s="345"/>
      <c r="R447" s="345"/>
      <c r="S447" s="345"/>
    </row>
    <row r="448" spans="11:19" x14ac:dyDescent="0.3">
      <c r="K448" s="346" t="s">
        <v>695</v>
      </c>
      <c r="L448" s="344"/>
      <c r="M448" s="345"/>
      <c r="N448" s="345"/>
      <c r="O448" s="345"/>
      <c r="P448" s="345"/>
      <c r="Q448" s="345"/>
      <c r="R448" s="345"/>
      <c r="S448" s="345"/>
    </row>
    <row r="449" spans="11:19" x14ac:dyDescent="0.3">
      <c r="K449" s="347" t="s">
        <v>514</v>
      </c>
      <c r="L449" s="347" t="s">
        <v>649</v>
      </c>
      <c r="M449" s="348" t="s">
        <v>650</v>
      </c>
      <c r="N449" s="348" t="s">
        <v>651</v>
      </c>
      <c r="O449" s="348" t="s">
        <v>652</v>
      </c>
      <c r="P449" s="348" t="s">
        <v>653</v>
      </c>
      <c r="Q449" s="348" t="s">
        <v>654</v>
      </c>
      <c r="R449" s="348" t="s">
        <v>655</v>
      </c>
      <c r="S449" s="348" t="s">
        <v>656</v>
      </c>
    </row>
    <row r="450" spans="11:19" x14ac:dyDescent="0.3">
      <c r="K450" s="344">
        <v>7</v>
      </c>
      <c r="L450" s="344">
        <v>1</v>
      </c>
      <c r="M450" s="345">
        <v>14.6</v>
      </c>
      <c r="N450" s="345">
        <v>14.6</v>
      </c>
      <c r="O450" s="345" t="s">
        <v>657</v>
      </c>
      <c r="P450" s="345">
        <v>14.6</v>
      </c>
      <c r="Q450" s="345">
        <v>14.6</v>
      </c>
      <c r="R450" s="345"/>
      <c r="S450" s="345"/>
    </row>
    <row r="451" spans="11:19" x14ac:dyDescent="0.3">
      <c r="K451" s="344">
        <v>8</v>
      </c>
      <c r="L451" s="344">
        <v>10</v>
      </c>
      <c r="M451" s="345">
        <v>12.54</v>
      </c>
      <c r="N451" s="345">
        <v>11.5</v>
      </c>
      <c r="O451" s="345">
        <v>5.335</v>
      </c>
      <c r="P451" s="345">
        <v>25.3</v>
      </c>
      <c r="Q451" s="345">
        <v>7.6</v>
      </c>
      <c r="R451" s="345">
        <f t="shared" si="26"/>
        <v>15.846667258131667</v>
      </c>
      <c r="S451" s="345">
        <f t="shared" si="27"/>
        <v>9.2333327418683311</v>
      </c>
    </row>
    <row r="452" spans="11:19" x14ac:dyDescent="0.3">
      <c r="K452" s="344">
        <v>9</v>
      </c>
      <c r="L452" s="344">
        <v>17</v>
      </c>
      <c r="M452" s="345">
        <v>14.976000000000001</v>
      </c>
      <c r="N452" s="345">
        <v>13.7</v>
      </c>
      <c r="O452" s="345">
        <v>6.0220000000000002</v>
      </c>
      <c r="P452" s="345">
        <v>29.8</v>
      </c>
      <c r="Q452" s="345">
        <v>6.2</v>
      </c>
      <c r="R452" s="345">
        <f t="shared" si="26"/>
        <v>17.838677086578844</v>
      </c>
      <c r="S452" s="345">
        <f t="shared" si="27"/>
        <v>12.113322913421158</v>
      </c>
    </row>
    <row r="453" spans="11:19" x14ac:dyDescent="0.3">
      <c r="K453" s="344">
        <v>10</v>
      </c>
      <c r="L453" s="344">
        <v>22</v>
      </c>
      <c r="M453" s="345">
        <v>14.582000000000001</v>
      </c>
      <c r="N453" s="345">
        <v>13.9</v>
      </c>
      <c r="O453" s="345">
        <v>4.952</v>
      </c>
      <c r="P453" s="345">
        <v>26.8</v>
      </c>
      <c r="Q453" s="345">
        <v>7.8</v>
      </c>
      <c r="R453" s="345">
        <f t="shared" si="26"/>
        <v>16.651309096890248</v>
      </c>
      <c r="S453" s="345">
        <f t="shared" si="27"/>
        <v>12.512690903109755</v>
      </c>
    </row>
    <row r="454" spans="11:19" x14ac:dyDescent="0.3">
      <c r="K454" s="344">
        <v>11</v>
      </c>
      <c r="L454" s="344">
        <v>21</v>
      </c>
      <c r="M454" s="345">
        <v>16.181000000000001</v>
      </c>
      <c r="N454" s="345">
        <v>15.6</v>
      </c>
      <c r="O454" s="345">
        <v>5.0860000000000003</v>
      </c>
      <c r="P454" s="345">
        <v>24.2</v>
      </c>
      <c r="Q454" s="345">
        <v>5.2</v>
      </c>
      <c r="R454" s="345">
        <f t="shared" si="26"/>
        <v>18.356318131890905</v>
      </c>
      <c r="S454" s="345">
        <f t="shared" si="27"/>
        <v>14.005681868109097</v>
      </c>
    </row>
    <row r="455" spans="11:19" x14ac:dyDescent="0.3">
      <c r="K455" s="344">
        <v>12</v>
      </c>
      <c r="L455" s="344">
        <v>39</v>
      </c>
      <c r="M455" s="345">
        <v>15.484999999999999</v>
      </c>
      <c r="N455" s="345">
        <v>13.5</v>
      </c>
      <c r="O455" s="345">
        <v>6.7750000000000004</v>
      </c>
      <c r="P455" s="345">
        <v>32.5</v>
      </c>
      <c r="Q455" s="345">
        <v>7.4</v>
      </c>
      <c r="R455" s="345">
        <f t="shared" si="26"/>
        <v>17.611341754377751</v>
      </c>
      <c r="S455" s="345">
        <f t="shared" si="27"/>
        <v>13.358658245622248</v>
      </c>
    </row>
    <row r="456" spans="11:19" x14ac:dyDescent="0.3">
      <c r="K456" s="344">
        <v>13</v>
      </c>
      <c r="L456" s="344">
        <v>41</v>
      </c>
      <c r="M456" s="345">
        <v>16.841000000000001</v>
      </c>
      <c r="N456" s="345">
        <v>15.4</v>
      </c>
      <c r="O456" s="345">
        <v>7.1920000000000002</v>
      </c>
      <c r="P456" s="345">
        <v>39.4</v>
      </c>
      <c r="Q456" s="345">
        <v>7.9</v>
      </c>
      <c r="R456" s="345">
        <f t="shared" si="26"/>
        <v>19.042475323185595</v>
      </c>
      <c r="S456" s="345">
        <f t="shared" si="27"/>
        <v>14.639524676814405</v>
      </c>
    </row>
    <row r="457" spans="11:19" x14ac:dyDescent="0.3">
      <c r="K457" s="344">
        <v>14</v>
      </c>
      <c r="L457" s="344">
        <v>45</v>
      </c>
      <c r="M457" s="345">
        <v>16.34</v>
      </c>
      <c r="N457" s="345">
        <v>15.9</v>
      </c>
      <c r="O457" s="345">
        <v>5.6360000000000001</v>
      </c>
      <c r="P457" s="345">
        <v>36.299999999999997</v>
      </c>
      <c r="Q457" s="345">
        <v>8.1999999999999993</v>
      </c>
      <c r="R457" s="345">
        <f t="shared" si="26"/>
        <v>17.986723938502006</v>
      </c>
      <c r="S457" s="345">
        <f t="shared" si="27"/>
        <v>14.693276061497995</v>
      </c>
    </row>
    <row r="458" spans="11:19" x14ac:dyDescent="0.3">
      <c r="K458" s="344">
        <v>15</v>
      </c>
      <c r="L458" s="344">
        <v>12</v>
      </c>
      <c r="M458" s="345">
        <v>17.683</v>
      </c>
      <c r="N458" s="345">
        <v>18.149999999999999</v>
      </c>
      <c r="O458" s="345">
        <v>4.87</v>
      </c>
      <c r="P458" s="345">
        <v>26.5</v>
      </c>
      <c r="Q458" s="345">
        <v>8.8000000000000007</v>
      </c>
      <c r="R458" s="345">
        <f t="shared" si="26"/>
        <v>20.438461894734409</v>
      </c>
      <c r="S458" s="345">
        <f t="shared" si="27"/>
        <v>14.927538105265592</v>
      </c>
    </row>
    <row r="459" spans="11:19" x14ac:dyDescent="0.3">
      <c r="K459" s="344">
        <v>16</v>
      </c>
      <c r="L459" s="344">
        <v>13</v>
      </c>
      <c r="M459" s="345">
        <v>18.3</v>
      </c>
      <c r="N459" s="345">
        <v>16</v>
      </c>
      <c r="O459" s="345">
        <v>6.1760000000000002</v>
      </c>
      <c r="P459" s="345">
        <v>29.2</v>
      </c>
      <c r="Q459" s="345">
        <v>11.2</v>
      </c>
      <c r="R459" s="345">
        <f t="shared" si="26"/>
        <v>21.657311843649275</v>
      </c>
      <c r="S459" s="345">
        <f t="shared" si="27"/>
        <v>14.942688156350727</v>
      </c>
    </row>
    <row r="460" spans="11:19" x14ac:dyDescent="0.3">
      <c r="K460" s="344">
        <v>17</v>
      </c>
      <c r="L460" s="344">
        <v>4</v>
      </c>
      <c r="M460" s="345">
        <v>13.85</v>
      </c>
      <c r="N460" s="345">
        <v>14.05</v>
      </c>
      <c r="O460" s="345">
        <v>4.0940000000000003</v>
      </c>
      <c r="P460" s="345">
        <v>18.600000000000001</v>
      </c>
      <c r="Q460" s="345">
        <v>8.6999999999999993</v>
      </c>
      <c r="R460" s="345">
        <f t="shared" si="26"/>
        <v>17.862120000000001</v>
      </c>
      <c r="S460" s="345">
        <f t="shared" si="27"/>
        <v>9.8378799999999984</v>
      </c>
    </row>
    <row r="461" spans="11:19" x14ac:dyDescent="0.3">
      <c r="K461" s="349">
        <v>18</v>
      </c>
      <c r="L461" s="349">
        <v>2</v>
      </c>
      <c r="M461" s="350">
        <v>16.55</v>
      </c>
      <c r="N461" s="350">
        <v>16.55</v>
      </c>
      <c r="O461" s="350">
        <v>7.0709999999999995E-2</v>
      </c>
      <c r="P461" s="350">
        <v>16.600000000000001</v>
      </c>
      <c r="Q461" s="350">
        <v>16.5</v>
      </c>
      <c r="R461" s="350">
        <f t="shared" si="26"/>
        <v>16.647999060175493</v>
      </c>
      <c r="S461" s="350">
        <f t="shared" si="27"/>
        <v>16.452000939824508</v>
      </c>
    </row>
    <row r="462" spans="11:19" x14ac:dyDescent="0.3">
      <c r="K462" s="344"/>
      <c r="L462" s="344"/>
      <c r="M462" s="345"/>
      <c r="N462" s="345"/>
      <c r="O462" s="345"/>
      <c r="P462" s="345"/>
      <c r="Q462" s="345"/>
      <c r="R462" s="345"/>
      <c r="S462" s="345"/>
    </row>
    <row r="463" spans="11:19" x14ac:dyDescent="0.3">
      <c r="K463" s="344"/>
      <c r="L463" s="344"/>
      <c r="M463" s="345"/>
      <c r="N463" s="345"/>
      <c r="O463" s="345"/>
      <c r="P463" s="345"/>
      <c r="Q463" s="345"/>
      <c r="R463" s="345"/>
      <c r="S463" s="345"/>
    </row>
    <row r="464" spans="11:19" x14ac:dyDescent="0.3">
      <c r="K464" s="336" t="s">
        <v>696</v>
      </c>
      <c r="L464" s="337"/>
      <c r="M464" s="338"/>
      <c r="N464" s="338"/>
      <c r="O464" s="338"/>
      <c r="P464" s="338"/>
      <c r="Q464" s="338"/>
      <c r="R464" s="338"/>
      <c r="S464" s="338"/>
    </row>
    <row r="465" spans="11:19" x14ac:dyDescent="0.3">
      <c r="K465" s="340" t="s">
        <v>514</v>
      </c>
      <c r="L465" s="340" t="s">
        <v>649</v>
      </c>
      <c r="M465" s="341" t="s">
        <v>650</v>
      </c>
      <c r="N465" s="341" t="s">
        <v>651</v>
      </c>
      <c r="O465" s="341" t="s">
        <v>652</v>
      </c>
      <c r="P465" s="341" t="s">
        <v>653</v>
      </c>
      <c r="Q465" s="341" t="s">
        <v>654</v>
      </c>
      <c r="R465" s="341" t="s">
        <v>655</v>
      </c>
      <c r="S465" s="341" t="s">
        <v>656</v>
      </c>
    </row>
    <row r="466" spans="11:19" x14ac:dyDescent="0.3">
      <c r="K466" s="337">
        <v>7</v>
      </c>
      <c r="L466" s="337">
        <v>1</v>
      </c>
      <c r="M466" s="338">
        <v>78.099999999999994</v>
      </c>
      <c r="N466" s="338">
        <v>78.099999999999994</v>
      </c>
      <c r="O466" s="338" t="s">
        <v>657</v>
      </c>
      <c r="P466" s="338">
        <v>78.099999999999994</v>
      </c>
      <c r="Q466" s="338">
        <v>78.099999999999994</v>
      </c>
      <c r="R466" s="338"/>
      <c r="S466" s="338"/>
    </row>
    <row r="467" spans="11:19" x14ac:dyDescent="0.3">
      <c r="K467" s="337">
        <v>8</v>
      </c>
      <c r="L467" s="337">
        <v>10</v>
      </c>
      <c r="M467" s="338">
        <v>77.86</v>
      </c>
      <c r="N467" s="338">
        <v>67.900000000000006</v>
      </c>
      <c r="O467" s="338">
        <v>35.335999999999999</v>
      </c>
      <c r="P467" s="338">
        <v>142.69999999999999</v>
      </c>
      <c r="Q467" s="338">
        <v>40</v>
      </c>
      <c r="R467" s="338">
        <f t="shared" si="26"/>
        <v>99.761479706343124</v>
      </c>
      <c r="S467" s="338">
        <f t="shared" si="27"/>
        <v>55.958520293656868</v>
      </c>
    </row>
    <row r="468" spans="11:19" x14ac:dyDescent="0.3">
      <c r="K468" s="337">
        <v>9</v>
      </c>
      <c r="L468" s="337">
        <v>17</v>
      </c>
      <c r="M468" s="338">
        <v>91.475999999999999</v>
      </c>
      <c r="N468" s="338">
        <v>81.099999999999994</v>
      </c>
      <c r="O468" s="338">
        <v>34.5</v>
      </c>
      <c r="P468" s="338">
        <v>163.5</v>
      </c>
      <c r="Q468" s="338">
        <v>44.7</v>
      </c>
      <c r="R468" s="338">
        <f t="shared" si="26"/>
        <v>107.87625896495683</v>
      </c>
      <c r="S468" s="338">
        <f t="shared" si="27"/>
        <v>75.075741035043166</v>
      </c>
    </row>
    <row r="469" spans="11:19" x14ac:dyDescent="0.3">
      <c r="K469" s="337">
        <v>10</v>
      </c>
      <c r="L469" s="337">
        <v>22</v>
      </c>
      <c r="M469" s="338">
        <v>92.308999999999997</v>
      </c>
      <c r="N469" s="338">
        <v>86.9</v>
      </c>
      <c r="O469" s="338">
        <v>31.417999999999999</v>
      </c>
      <c r="P469" s="338">
        <v>155.19999999999999</v>
      </c>
      <c r="Q469" s="338">
        <v>55.6</v>
      </c>
      <c r="R469" s="338">
        <f t="shared" si="26"/>
        <v>105.43774660866271</v>
      </c>
      <c r="S469" s="338">
        <f t="shared" si="27"/>
        <v>79.180253391337288</v>
      </c>
    </row>
    <row r="470" spans="11:19" x14ac:dyDescent="0.3">
      <c r="K470" s="337">
        <v>11</v>
      </c>
      <c r="L470" s="337">
        <v>21</v>
      </c>
      <c r="M470" s="338">
        <v>97.052000000000007</v>
      </c>
      <c r="N470" s="338">
        <v>96.9</v>
      </c>
      <c r="O470" s="338">
        <v>35.463000000000001</v>
      </c>
      <c r="P470" s="338">
        <v>151.4</v>
      </c>
      <c r="Q470" s="338">
        <v>36.799999999999997</v>
      </c>
      <c r="R470" s="338">
        <f t="shared" si="26"/>
        <v>112.21977564122045</v>
      </c>
      <c r="S470" s="338">
        <f t="shared" si="27"/>
        <v>81.884224358779562</v>
      </c>
    </row>
    <row r="471" spans="11:19" x14ac:dyDescent="0.3">
      <c r="K471" s="337">
        <v>12</v>
      </c>
      <c r="L471" s="337">
        <v>39</v>
      </c>
      <c r="M471" s="338">
        <v>92.450999999999993</v>
      </c>
      <c r="N471" s="338">
        <v>79.599999999999994</v>
      </c>
      <c r="O471" s="338">
        <v>39.337000000000003</v>
      </c>
      <c r="P471" s="338">
        <v>191.8</v>
      </c>
      <c r="Q471" s="338">
        <v>49.3</v>
      </c>
      <c r="R471" s="338">
        <f t="shared" si="26"/>
        <v>104.79696392501219</v>
      </c>
      <c r="S471" s="338">
        <f t="shared" si="27"/>
        <v>80.105036074987794</v>
      </c>
    </row>
    <row r="472" spans="11:19" x14ac:dyDescent="0.3">
      <c r="K472" s="337">
        <v>13</v>
      </c>
      <c r="L472" s="337">
        <v>41</v>
      </c>
      <c r="M472" s="338">
        <v>103.051</v>
      </c>
      <c r="N472" s="338">
        <v>93.3</v>
      </c>
      <c r="O472" s="338">
        <v>42.42</v>
      </c>
      <c r="P472" s="338">
        <v>232.5</v>
      </c>
      <c r="Q472" s="338">
        <v>52.5</v>
      </c>
      <c r="R472" s="338">
        <f t="shared" si="26"/>
        <v>116.03578631945676</v>
      </c>
      <c r="S472" s="338">
        <f t="shared" si="27"/>
        <v>90.066213680543243</v>
      </c>
    </row>
    <row r="473" spans="11:19" x14ac:dyDescent="0.3">
      <c r="K473" s="337">
        <v>14</v>
      </c>
      <c r="L473" s="337">
        <v>45</v>
      </c>
      <c r="M473" s="338">
        <v>103.744</v>
      </c>
      <c r="N473" s="338">
        <v>98.2</v>
      </c>
      <c r="O473" s="338">
        <v>30.978000000000002</v>
      </c>
      <c r="P473" s="338">
        <v>185.9</v>
      </c>
      <c r="Q473" s="338">
        <v>52.5</v>
      </c>
      <c r="R473" s="338">
        <f t="shared" si="26"/>
        <v>112.79513807077983</v>
      </c>
      <c r="S473" s="338">
        <f t="shared" si="27"/>
        <v>94.692861929220172</v>
      </c>
    </row>
    <row r="474" spans="11:19" x14ac:dyDescent="0.3">
      <c r="K474" s="337">
        <v>15</v>
      </c>
      <c r="L474" s="337">
        <v>12</v>
      </c>
      <c r="M474" s="338">
        <v>116.208</v>
      </c>
      <c r="N474" s="338">
        <v>118.45</v>
      </c>
      <c r="O474" s="338">
        <v>30.716999999999999</v>
      </c>
      <c r="P474" s="338">
        <v>166.8</v>
      </c>
      <c r="Q474" s="338">
        <v>57</v>
      </c>
      <c r="R474" s="338">
        <f t="shared" si="26"/>
        <v>133.58777885432377</v>
      </c>
      <c r="S474" s="338">
        <f t="shared" si="27"/>
        <v>98.828221145676224</v>
      </c>
    </row>
    <row r="475" spans="11:19" x14ac:dyDescent="0.3">
      <c r="K475" s="337">
        <v>16</v>
      </c>
      <c r="L475" s="337">
        <v>13</v>
      </c>
      <c r="M475" s="338">
        <v>116.238</v>
      </c>
      <c r="N475" s="338">
        <v>109.9</v>
      </c>
      <c r="O475" s="338">
        <v>34.082000000000001</v>
      </c>
      <c r="P475" s="338">
        <v>176.7</v>
      </c>
      <c r="Q475" s="338">
        <v>58.6</v>
      </c>
      <c r="R475" s="338">
        <f t="shared" si="26"/>
        <v>134.76518624599331</v>
      </c>
      <c r="S475" s="338">
        <f t="shared" si="27"/>
        <v>97.710813754006708</v>
      </c>
    </row>
    <row r="476" spans="11:19" x14ac:dyDescent="0.3">
      <c r="K476" s="337">
        <v>17</v>
      </c>
      <c r="L476" s="337">
        <v>4</v>
      </c>
      <c r="M476" s="338">
        <v>89.15</v>
      </c>
      <c r="N476" s="338">
        <v>88.85</v>
      </c>
      <c r="O476" s="338">
        <v>13.739000000000001</v>
      </c>
      <c r="P476" s="338">
        <v>106.2</v>
      </c>
      <c r="Q476" s="338">
        <v>72.7</v>
      </c>
      <c r="R476" s="338">
        <f t="shared" si="26"/>
        <v>102.61422</v>
      </c>
      <c r="S476" s="338">
        <f t="shared" si="27"/>
        <v>75.685780000000008</v>
      </c>
    </row>
    <row r="477" spans="11:19" x14ac:dyDescent="0.3">
      <c r="K477" s="342">
        <v>18</v>
      </c>
      <c r="L477" s="342">
        <v>2</v>
      </c>
      <c r="M477" s="343">
        <v>125.6</v>
      </c>
      <c r="N477" s="343">
        <v>125.6</v>
      </c>
      <c r="O477" s="343">
        <v>8.6270000000000007</v>
      </c>
      <c r="P477" s="343">
        <v>131.69999999999999</v>
      </c>
      <c r="Q477" s="343">
        <v>119.5</v>
      </c>
      <c r="R477" s="343">
        <f t="shared" si="26"/>
        <v>137.55641199454084</v>
      </c>
      <c r="S477" s="343">
        <f t="shared" si="27"/>
        <v>113.64358800545915</v>
      </c>
    </row>
    <row r="478" spans="11:19" x14ac:dyDescent="0.3">
      <c r="K478" s="344"/>
      <c r="L478" s="344"/>
      <c r="M478" s="345"/>
      <c r="N478" s="345"/>
      <c r="O478" s="345"/>
      <c r="P478" s="345"/>
      <c r="Q478" s="345"/>
      <c r="R478" s="345"/>
      <c r="S478" s="345"/>
    </row>
    <row r="479" spans="11:19" x14ac:dyDescent="0.3">
      <c r="K479" s="344"/>
      <c r="L479" s="344"/>
      <c r="M479" s="345"/>
      <c r="N479" s="345"/>
      <c r="O479" s="345"/>
      <c r="P479" s="345"/>
      <c r="Q479" s="345"/>
      <c r="R479" s="345"/>
      <c r="S479" s="345"/>
    </row>
    <row r="480" spans="11:19" x14ac:dyDescent="0.3">
      <c r="K480" s="346" t="s">
        <v>697</v>
      </c>
      <c r="L480" s="344"/>
      <c r="M480" s="345"/>
      <c r="N480" s="345"/>
      <c r="O480" s="345"/>
      <c r="P480" s="345"/>
      <c r="Q480" s="345"/>
      <c r="R480" s="345"/>
      <c r="S480" s="345"/>
    </row>
    <row r="481" spans="11:19" x14ac:dyDescent="0.3">
      <c r="K481" s="347" t="s">
        <v>514</v>
      </c>
      <c r="L481" s="347" t="s">
        <v>649</v>
      </c>
      <c r="M481" s="348" t="s">
        <v>650</v>
      </c>
      <c r="N481" s="348" t="s">
        <v>651</v>
      </c>
      <c r="O481" s="348" t="s">
        <v>652</v>
      </c>
      <c r="P481" s="348" t="s">
        <v>653</v>
      </c>
      <c r="Q481" s="348" t="s">
        <v>654</v>
      </c>
      <c r="R481" s="348" t="s">
        <v>655</v>
      </c>
      <c r="S481" s="348" t="s">
        <v>656</v>
      </c>
    </row>
    <row r="482" spans="11:19" x14ac:dyDescent="0.3">
      <c r="K482" s="344">
        <v>7</v>
      </c>
      <c r="L482" s="344">
        <v>1</v>
      </c>
      <c r="M482" s="345">
        <v>-0.2</v>
      </c>
      <c r="N482" s="345">
        <v>-0.2</v>
      </c>
      <c r="O482" s="345" t="s">
        <v>657</v>
      </c>
      <c r="P482" s="345">
        <v>-0.2</v>
      </c>
      <c r="Q482" s="345">
        <v>-0.2</v>
      </c>
      <c r="R482" s="345"/>
      <c r="S482" s="345"/>
    </row>
    <row r="483" spans="11:19" x14ac:dyDescent="0.3">
      <c r="K483" s="344">
        <v>8</v>
      </c>
      <c r="L483" s="344">
        <v>10</v>
      </c>
      <c r="M483" s="345">
        <v>-0.39</v>
      </c>
      <c r="N483" s="345">
        <v>-0.9</v>
      </c>
      <c r="O483" s="345">
        <v>1.3049999999999999</v>
      </c>
      <c r="P483" s="345">
        <v>1.8</v>
      </c>
      <c r="Q483" s="345">
        <v>-1.8</v>
      </c>
      <c r="R483" s="345">
        <f t="shared" si="26"/>
        <v>0.41884737991786791</v>
      </c>
      <c r="S483" s="345">
        <f t="shared" si="27"/>
        <v>-1.1988473799178681</v>
      </c>
    </row>
    <row r="484" spans="11:19" x14ac:dyDescent="0.3">
      <c r="K484" s="344">
        <v>9</v>
      </c>
      <c r="L484" s="344">
        <v>17</v>
      </c>
      <c r="M484" s="345">
        <v>-7.6469999999999996E-2</v>
      </c>
      <c r="N484" s="345">
        <v>-0.4</v>
      </c>
      <c r="O484" s="345">
        <v>1.2350000000000001</v>
      </c>
      <c r="P484" s="345">
        <v>2.4</v>
      </c>
      <c r="Q484" s="345">
        <v>-1.6</v>
      </c>
      <c r="R484" s="345">
        <f t="shared" si="26"/>
        <v>0.51061173396294768</v>
      </c>
      <c r="S484" s="345">
        <f t="shared" si="27"/>
        <v>-0.66355173396294775</v>
      </c>
    </row>
    <row r="485" spans="11:19" x14ac:dyDescent="0.3">
      <c r="K485" s="344">
        <v>10</v>
      </c>
      <c r="L485" s="344">
        <v>22</v>
      </c>
      <c r="M485" s="345">
        <v>-0.16400000000000001</v>
      </c>
      <c r="N485" s="345">
        <v>-0.3</v>
      </c>
      <c r="O485" s="345">
        <v>1.0629999999999999</v>
      </c>
      <c r="P485" s="345">
        <v>1.9</v>
      </c>
      <c r="Q485" s="345">
        <v>-1.5</v>
      </c>
      <c r="R485" s="345">
        <f t="shared" si="26"/>
        <v>0.28019942851258717</v>
      </c>
      <c r="S485" s="345">
        <f t="shared" si="27"/>
        <v>-0.60819942851258713</v>
      </c>
    </row>
    <row r="486" spans="11:19" x14ac:dyDescent="0.3">
      <c r="K486" s="344">
        <v>11</v>
      </c>
      <c r="L486" s="344">
        <v>21</v>
      </c>
      <c r="M486" s="345">
        <v>-0.152</v>
      </c>
      <c r="N486" s="345">
        <v>0</v>
      </c>
      <c r="O486" s="345">
        <v>1.083</v>
      </c>
      <c r="P486" s="345">
        <v>1.4</v>
      </c>
      <c r="Q486" s="345">
        <v>-2.2000000000000002</v>
      </c>
      <c r="R486" s="345">
        <f t="shared" si="26"/>
        <v>0.31120675124613628</v>
      </c>
      <c r="S486" s="345">
        <f t="shared" si="27"/>
        <v>-0.61520675124613633</v>
      </c>
    </row>
    <row r="487" spans="11:19" x14ac:dyDescent="0.3">
      <c r="K487" s="344">
        <v>12</v>
      </c>
      <c r="L487" s="344">
        <v>39</v>
      </c>
      <c r="M487" s="345">
        <v>-0.34399999999999997</v>
      </c>
      <c r="N487" s="345">
        <v>-0.9</v>
      </c>
      <c r="O487" s="345">
        <v>1.2849999999999999</v>
      </c>
      <c r="P487" s="345">
        <v>2.6</v>
      </c>
      <c r="Q487" s="345">
        <v>-1.7</v>
      </c>
      <c r="R487" s="345">
        <f t="shared" si="26"/>
        <v>5.9298768173492444E-2</v>
      </c>
      <c r="S487" s="345">
        <f t="shared" si="27"/>
        <v>-0.74729876817349239</v>
      </c>
    </row>
    <row r="488" spans="11:19" x14ac:dyDescent="0.3">
      <c r="K488" s="344">
        <v>13</v>
      </c>
      <c r="L488" s="344">
        <v>41</v>
      </c>
      <c r="M488" s="345">
        <v>-8.0490000000000006E-2</v>
      </c>
      <c r="N488" s="345">
        <v>-0.4</v>
      </c>
      <c r="O488" s="345">
        <v>1.35</v>
      </c>
      <c r="P488" s="345">
        <v>4.2</v>
      </c>
      <c r="Q488" s="345">
        <v>-1.7</v>
      </c>
      <c r="R488" s="345">
        <f t="shared" si="26"/>
        <v>0.33274577395725163</v>
      </c>
      <c r="S488" s="345">
        <f t="shared" si="27"/>
        <v>-0.49372577395725165</v>
      </c>
    </row>
    <row r="489" spans="11:19" x14ac:dyDescent="0.3">
      <c r="K489" s="344">
        <v>14</v>
      </c>
      <c r="L489" s="344">
        <v>45</v>
      </c>
      <c r="M489" s="345">
        <v>-0.13300000000000001</v>
      </c>
      <c r="N489" s="345">
        <v>-0.3</v>
      </c>
      <c r="O489" s="345">
        <v>0.94599999999999995</v>
      </c>
      <c r="P489" s="345">
        <v>2.1</v>
      </c>
      <c r="Q489" s="345">
        <v>-1.8</v>
      </c>
      <c r="R489" s="345">
        <f t="shared" si="26"/>
        <v>0.14340185341073397</v>
      </c>
      <c r="S489" s="345">
        <f t="shared" si="27"/>
        <v>-0.40940185341073398</v>
      </c>
    </row>
    <row r="490" spans="11:19" x14ac:dyDescent="0.3">
      <c r="K490" s="344">
        <v>15</v>
      </c>
      <c r="L490" s="344">
        <v>12</v>
      </c>
      <c r="M490" s="345">
        <v>0.24199999999999999</v>
      </c>
      <c r="N490" s="345">
        <v>0.15</v>
      </c>
      <c r="O490" s="345">
        <v>0.94699999999999995</v>
      </c>
      <c r="P490" s="345">
        <v>2</v>
      </c>
      <c r="Q490" s="345">
        <v>-1.6</v>
      </c>
      <c r="R490" s="345">
        <f t="shared" si="26"/>
        <v>0.77781569082412405</v>
      </c>
      <c r="S490" s="345">
        <f t="shared" si="27"/>
        <v>-0.29381569082412407</v>
      </c>
    </row>
    <row r="491" spans="11:19" x14ac:dyDescent="0.3">
      <c r="K491" s="344">
        <v>16</v>
      </c>
      <c r="L491" s="344">
        <v>13</v>
      </c>
      <c r="M491" s="345">
        <v>0.28499999999999998</v>
      </c>
      <c r="N491" s="345">
        <v>0.1</v>
      </c>
      <c r="O491" s="345">
        <v>1.119</v>
      </c>
      <c r="P491" s="345">
        <v>2</v>
      </c>
      <c r="Q491" s="345">
        <v>-1.5</v>
      </c>
      <c r="R491" s="345">
        <f t="shared" si="26"/>
        <v>0.89329532918451071</v>
      </c>
      <c r="S491" s="345">
        <f t="shared" si="27"/>
        <v>-0.32329532918451082</v>
      </c>
    </row>
    <row r="492" spans="11:19" x14ac:dyDescent="0.3">
      <c r="K492" s="344">
        <v>17</v>
      </c>
      <c r="L492" s="344">
        <v>4</v>
      </c>
      <c r="M492" s="345">
        <v>-0.6</v>
      </c>
      <c r="N492" s="345">
        <v>-0.6</v>
      </c>
      <c r="O492" s="345">
        <v>0.49</v>
      </c>
      <c r="P492" s="345">
        <v>0</v>
      </c>
      <c r="Q492" s="345">
        <v>-1.2</v>
      </c>
      <c r="R492" s="345">
        <f t="shared" si="26"/>
        <v>-0.11980000000000002</v>
      </c>
      <c r="S492" s="345">
        <f t="shared" si="27"/>
        <v>-1.0802</v>
      </c>
    </row>
    <row r="493" spans="11:19" x14ac:dyDescent="0.3">
      <c r="K493" s="349">
        <v>18</v>
      </c>
      <c r="L493" s="349">
        <v>2</v>
      </c>
      <c r="M493" s="350">
        <v>0.55000000000000004</v>
      </c>
      <c r="N493" s="350">
        <v>0.55000000000000004</v>
      </c>
      <c r="O493" s="350">
        <v>0.495</v>
      </c>
      <c r="P493" s="350">
        <v>0.9</v>
      </c>
      <c r="Q493" s="350">
        <v>0.2</v>
      </c>
      <c r="R493" s="350">
        <f t="shared" si="26"/>
        <v>1.2360349991071884</v>
      </c>
      <c r="S493" s="350">
        <f t="shared" si="27"/>
        <v>-0.1360349991071883</v>
      </c>
    </row>
    <row r="494" spans="11:19" x14ac:dyDescent="0.3">
      <c r="K494" s="344"/>
      <c r="L494" s="344"/>
      <c r="M494" s="345"/>
      <c r="N494" s="345"/>
      <c r="O494" s="345"/>
      <c r="P494" s="345"/>
      <c r="Q494" s="345"/>
      <c r="R494" s="345"/>
      <c r="S494" s="345"/>
    </row>
    <row r="495" spans="11:19" x14ac:dyDescent="0.3">
      <c r="K495" s="344"/>
      <c r="L495" s="344"/>
      <c r="M495" s="345"/>
      <c r="N495" s="345"/>
      <c r="O495" s="345"/>
      <c r="P495" s="345"/>
      <c r="Q495" s="345"/>
      <c r="R495" s="345"/>
      <c r="S495" s="345"/>
    </row>
    <row r="496" spans="11:19" x14ac:dyDescent="0.3">
      <c r="K496" s="346" t="s">
        <v>698</v>
      </c>
      <c r="L496" s="344"/>
      <c r="M496" s="345"/>
      <c r="N496" s="345"/>
      <c r="O496" s="345"/>
      <c r="P496" s="345"/>
      <c r="Q496" s="345"/>
      <c r="R496" s="345"/>
      <c r="S496" s="345"/>
    </row>
    <row r="497" spans="11:19" x14ac:dyDescent="0.3">
      <c r="K497" s="347" t="s">
        <v>514</v>
      </c>
      <c r="L497" s="347" t="s">
        <v>649</v>
      </c>
      <c r="M497" s="348" t="s">
        <v>650</v>
      </c>
      <c r="N497" s="348" t="s">
        <v>651</v>
      </c>
      <c r="O497" s="348" t="s">
        <v>652</v>
      </c>
      <c r="P497" s="348" t="s">
        <v>653</v>
      </c>
      <c r="Q497" s="348" t="s">
        <v>654</v>
      </c>
      <c r="R497" s="348" t="s">
        <v>655</v>
      </c>
      <c r="S497" s="348" t="s">
        <v>656</v>
      </c>
    </row>
    <row r="498" spans="11:19" x14ac:dyDescent="0.3">
      <c r="K498" s="344">
        <v>7</v>
      </c>
      <c r="L498" s="344">
        <v>1</v>
      </c>
      <c r="M498" s="345">
        <v>0.3</v>
      </c>
      <c r="N498" s="345">
        <v>0.3</v>
      </c>
      <c r="O498" s="345" t="s">
        <v>657</v>
      </c>
      <c r="P498" s="345">
        <v>0.3</v>
      </c>
      <c r="Q498" s="345">
        <v>0.3</v>
      </c>
      <c r="R498" s="345"/>
      <c r="S498" s="345"/>
    </row>
    <row r="499" spans="11:19" x14ac:dyDescent="0.3">
      <c r="K499" s="344">
        <v>8</v>
      </c>
      <c r="L499" s="344">
        <v>10</v>
      </c>
      <c r="M499" s="345">
        <v>-0.28999999999999998</v>
      </c>
      <c r="N499" s="345">
        <v>-0.35</v>
      </c>
      <c r="O499" s="345">
        <v>0.89500000000000002</v>
      </c>
      <c r="P499" s="345">
        <v>1.5</v>
      </c>
      <c r="Q499" s="345">
        <v>-1.5</v>
      </c>
      <c r="R499" s="345">
        <f t="shared" ref="R499:R557" si="28">M499+(1.96*O499)/(L499)^0.5</f>
        <v>0.26472674714673711</v>
      </c>
      <c r="S499" s="345">
        <f t="shared" ref="S499:S557" si="29">M499-(1.96*O499)/(L499)^0.5</f>
        <v>-0.84472674714673701</v>
      </c>
    </row>
    <row r="500" spans="11:19" x14ac:dyDescent="0.3">
      <c r="K500" s="344">
        <v>9</v>
      </c>
      <c r="L500" s="344">
        <v>17</v>
      </c>
      <c r="M500" s="345">
        <v>-0.45300000000000001</v>
      </c>
      <c r="N500" s="345">
        <v>-0.3</v>
      </c>
      <c r="O500" s="345">
        <v>0.93500000000000005</v>
      </c>
      <c r="P500" s="345">
        <v>1.1000000000000001</v>
      </c>
      <c r="Q500" s="345">
        <v>-1.8</v>
      </c>
      <c r="R500" s="345">
        <f t="shared" si="28"/>
        <v>-8.5292135584161821E-3</v>
      </c>
      <c r="S500" s="345">
        <f t="shared" si="29"/>
        <v>-0.89747078644158385</v>
      </c>
    </row>
    <row r="501" spans="11:19" x14ac:dyDescent="0.3">
      <c r="K501" s="344">
        <v>10</v>
      </c>
      <c r="L501" s="344">
        <v>22</v>
      </c>
      <c r="M501" s="345">
        <v>-8.1820000000000004E-2</v>
      </c>
      <c r="N501" s="345">
        <v>-0.4</v>
      </c>
      <c r="O501" s="345">
        <v>1.234</v>
      </c>
      <c r="P501" s="345">
        <v>4.2</v>
      </c>
      <c r="Q501" s="345">
        <v>-1.7</v>
      </c>
      <c r="R501" s="345">
        <f t="shared" si="28"/>
        <v>0.43383578060633354</v>
      </c>
      <c r="S501" s="345">
        <f t="shared" si="29"/>
        <v>-0.59747578060633355</v>
      </c>
    </row>
    <row r="502" spans="11:19" x14ac:dyDescent="0.3">
      <c r="K502" s="344">
        <v>11</v>
      </c>
      <c r="L502" s="344">
        <v>21</v>
      </c>
      <c r="M502" s="345">
        <v>-0.105</v>
      </c>
      <c r="N502" s="345">
        <v>-0.1</v>
      </c>
      <c r="O502" s="345">
        <v>0.73099999999999998</v>
      </c>
      <c r="P502" s="345">
        <v>1.7</v>
      </c>
      <c r="Q502" s="345">
        <v>-1.3</v>
      </c>
      <c r="R502" s="345">
        <f t="shared" si="28"/>
        <v>0.20765386441452049</v>
      </c>
      <c r="S502" s="345">
        <f t="shared" si="29"/>
        <v>-0.41765386441452046</v>
      </c>
    </row>
    <row r="503" spans="11:19" x14ac:dyDescent="0.3">
      <c r="K503" s="344">
        <v>12</v>
      </c>
      <c r="L503" s="344">
        <v>39</v>
      </c>
      <c r="M503" s="345">
        <v>-0.21299999999999999</v>
      </c>
      <c r="N503" s="345">
        <v>-0.4</v>
      </c>
      <c r="O503" s="345">
        <v>0.85499999999999998</v>
      </c>
      <c r="P503" s="345">
        <v>1.8</v>
      </c>
      <c r="Q503" s="345">
        <v>-1.5</v>
      </c>
      <c r="R503" s="345">
        <f t="shared" si="28"/>
        <v>5.5342760146565001E-2</v>
      </c>
      <c r="S503" s="345">
        <f t="shared" si="29"/>
        <v>-0.48134276014656496</v>
      </c>
    </row>
    <row r="504" spans="11:19" x14ac:dyDescent="0.3">
      <c r="K504" s="344">
        <v>13</v>
      </c>
      <c r="L504" s="344">
        <v>41</v>
      </c>
      <c r="M504" s="345">
        <v>0.122</v>
      </c>
      <c r="N504" s="345">
        <v>0</v>
      </c>
      <c r="O504" s="345">
        <v>0.878</v>
      </c>
      <c r="P504" s="345">
        <v>2.6</v>
      </c>
      <c r="Q504" s="345">
        <v>-1.8</v>
      </c>
      <c r="R504" s="345">
        <f t="shared" si="28"/>
        <v>0.39075630335886441</v>
      </c>
      <c r="S504" s="345">
        <f t="shared" si="29"/>
        <v>-0.14675630335886442</v>
      </c>
    </row>
    <row r="505" spans="11:19" x14ac:dyDescent="0.3">
      <c r="K505" s="344">
        <v>14</v>
      </c>
      <c r="L505" s="344">
        <v>45</v>
      </c>
      <c r="M505" s="345">
        <v>0.10199999999999999</v>
      </c>
      <c r="N505" s="345">
        <v>-0.1</v>
      </c>
      <c r="O505" s="345">
        <v>0.89700000000000002</v>
      </c>
      <c r="P505" s="345">
        <v>3</v>
      </c>
      <c r="Q505" s="345">
        <v>-1.3</v>
      </c>
      <c r="R505" s="345">
        <f t="shared" si="28"/>
        <v>0.36408505550679532</v>
      </c>
      <c r="S505" s="345">
        <f t="shared" si="29"/>
        <v>-0.16008505550679536</v>
      </c>
    </row>
    <row r="506" spans="11:19" x14ac:dyDescent="0.3">
      <c r="K506" s="344">
        <v>15</v>
      </c>
      <c r="L506" s="344">
        <v>12</v>
      </c>
      <c r="M506" s="345">
        <v>0</v>
      </c>
      <c r="N506" s="345">
        <v>0</v>
      </c>
      <c r="O506" s="345">
        <v>0.88500000000000001</v>
      </c>
      <c r="P506" s="345">
        <v>1.5</v>
      </c>
      <c r="Q506" s="345">
        <v>-1.6</v>
      </c>
      <c r="R506" s="345">
        <f t="shared" si="28"/>
        <v>0.50073588846816242</v>
      </c>
      <c r="S506" s="345">
        <f t="shared" si="29"/>
        <v>-0.50073588846816242</v>
      </c>
    </row>
    <row r="507" spans="11:19" x14ac:dyDescent="0.3">
      <c r="K507" s="344">
        <v>16</v>
      </c>
      <c r="L507" s="344">
        <v>13</v>
      </c>
      <c r="M507" s="345">
        <v>-1.538E-2</v>
      </c>
      <c r="N507" s="345">
        <v>0.1</v>
      </c>
      <c r="O507" s="345">
        <v>0.83699999999999997</v>
      </c>
      <c r="P507" s="345">
        <v>1.5</v>
      </c>
      <c r="Q507" s="345">
        <v>-1.7</v>
      </c>
      <c r="R507" s="345">
        <f t="shared" si="28"/>
        <v>0.43961838295570643</v>
      </c>
      <c r="S507" s="345">
        <f t="shared" si="29"/>
        <v>-0.47037838295570644</v>
      </c>
    </row>
    <row r="508" spans="11:19" x14ac:dyDescent="0.3">
      <c r="K508" s="344">
        <v>17</v>
      </c>
      <c r="L508" s="344">
        <v>4</v>
      </c>
      <c r="M508" s="345">
        <v>-0.75</v>
      </c>
      <c r="N508" s="345">
        <v>-0.3</v>
      </c>
      <c r="O508" s="345">
        <v>1.266</v>
      </c>
      <c r="P508" s="345">
        <v>0.2</v>
      </c>
      <c r="Q508" s="345">
        <v>-2.6</v>
      </c>
      <c r="R508" s="345">
        <f t="shared" si="28"/>
        <v>0.49068000000000001</v>
      </c>
      <c r="S508" s="345">
        <f t="shared" si="29"/>
        <v>-1.99068</v>
      </c>
    </row>
    <row r="509" spans="11:19" x14ac:dyDescent="0.3">
      <c r="K509" s="349">
        <v>18</v>
      </c>
      <c r="L509" s="349">
        <v>2</v>
      </c>
      <c r="M509" s="350">
        <v>-0.05</v>
      </c>
      <c r="N509" s="350">
        <v>-0.05</v>
      </c>
      <c r="O509" s="350">
        <v>7.0709999999999995E-2</v>
      </c>
      <c r="P509" s="350">
        <v>0</v>
      </c>
      <c r="Q509" s="350">
        <v>-0.1</v>
      </c>
      <c r="R509" s="350">
        <f t="shared" si="28"/>
        <v>4.7999060175493491E-2</v>
      </c>
      <c r="S509" s="350">
        <f t="shared" si="29"/>
        <v>-0.1479990601754935</v>
      </c>
    </row>
    <row r="510" spans="11:19" x14ac:dyDescent="0.3">
      <c r="K510" s="344"/>
      <c r="L510" s="344"/>
      <c r="M510" s="345"/>
      <c r="N510" s="345"/>
      <c r="O510" s="345"/>
      <c r="P510" s="345"/>
      <c r="Q510" s="345"/>
      <c r="R510" s="345"/>
      <c r="S510" s="345"/>
    </row>
    <row r="511" spans="11:19" x14ac:dyDescent="0.3">
      <c r="K511" s="344"/>
      <c r="L511" s="344"/>
      <c r="M511" s="345"/>
      <c r="N511" s="345"/>
      <c r="O511" s="345"/>
      <c r="P511" s="345"/>
      <c r="Q511" s="345"/>
      <c r="R511" s="345"/>
      <c r="S511" s="345"/>
    </row>
    <row r="512" spans="11:19" x14ac:dyDescent="0.3">
      <c r="K512" s="346" t="s">
        <v>699</v>
      </c>
      <c r="L512" s="344"/>
      <c r="M512" s="345"/>
      <c r="N512" s="345"/>
      <c r="O512" s="345"/>
      <c r="P512" s="345"/>
      <c r="Q512" s="345"/>
      <c r="R512" s="345"/>
      <c r="S512" s="345"/>
    </row>
    <row r="513" spans="11:19" x14ac:dyDescent="0.3">
      <c r="K513" s="347" t="s">
        <v>514</v>
      </c>
      <c r="L513" s="347" t="s">
        <v>649</v>
      </c>
      <c r="M513" s="348" t="s">
        <v>650</v>
      </c>
      <c r="N513" s="348" t="s">
        <v>651</v>
      </c>
      <c r="O513" s="348" t="s">
        <v>652</v>
      </c>
      <c r="P513" s="348" t="s">
        <v>653</v>
      </c>
      <c r="Q513" s="348" t="s">
        <v>654</v>
      </c>
      <c r="R513" s="348" t="s">
        <v>655</v>
      </c>
      <c r="S513" s="348" t="s">
        <v>656</v>
      </c>
    </row>
    <row r="514" spans="11:19" x14ac:dyDescent="0.3">
      <c r="K514" s="344">
        <v>7</v>
      </c>
      <c r="L514" s="344">
        <v>1</v>
      </c>
      <c r="M514" s="345">
        <v>1.3</v>
      </c>
      <c r="N514" s="345">
        <v>1.3</v>
      </c>
      <c r="O514" s="345" t="s">
        <v>657</v>
      </c>
      <c r="P514" s="345">
        <v>1.3</v>
      </c>
      <c r="Q514" s="345">
        <v>1.3</v>
      </c>
      <c r="R514" s="345"/>
      <c r="S514" s="345"/>
    </row>
    <row r="515" spans="11:19" x14ac:dyDescent="0.3">
      <c r="K515" s="344">
        <v>8</v>
      </c>
      <c r="L515" s="344">
        <v>10</v>
      </c>
      <c r="M515" s="345">
        <v>0.19</v>
      </c>
      <c r="N515" s="345">
        <v>0.05</v>
      </c>
      <c r="O515" s="345">
        <v>0.83499999999999996</v>
      </c>
      <c r="P515" s="345">
        <v>1.9</v>
      </c>
      <c r="Q515" s="345">
        <v>-0.7</v>
      </c>
      <c r="R515" s="345">
        <f t="shared" si="28"/>
        <v>0.70753836186315677</v>
      </c>
      <c r="S515" s="345">
        <f t="shared" si="29"/>
        <v>-0.32753836186315682</v>
      </c>
    </row>
    <row r="516" spans="11:19" x14ac:dyDescent="0.3">
      <c r="K516" s="344">
        <v>9</v>
      </c>
      <c r="L516" s="344">
        <v>17</v>
      </c>
      <c r="M516" s="345">
        <v>0.247</v>
      </c>
      <c r="N516" s="345">
        <v>0</v>
      </c>
      <c r="O516" s="345">
        <v>0.83299999999999996</v>
      </c>
      <c r="P516" s="345">
        <v>1.8</v>
      </c>
      <c r="Q516" s="345">
        <v>-1</v>
      </c>
      <c r="R516" s="345">
        <f t="shared" si="28"/>
        <v>0.64298306428432017</v>
      </c>
      <c r="S516" s="345">
        <f t="shared" si="29"/>
        <v>-0.14898306428432012</v>
      </c>
    </row>
    <row r="517" spans="11:19" x14ac:dyDescent="0.3">
      <c r="K517" s="344">
        <v>10</v>
      </c>
      <c r="L517" s="344">
        <v>22</v>
      </c>
      <c r="M517" s="345">
        <v>0.41799999999999998</v>
      </c>
      <c r="N517" s="345">
        <v>0</v>
      </c>
      <c r="O517" s="345">
        <v>1.3879999999999999</v>
      </c>
      <c r="P517" s="345">
        <v>4.8</v>
      </c>
      <c r="Q517" s="345">
        <v>-1</v>
      </c>
      <c r="R517" s="345">
        <f t="shared" si="28"/>
        <v>0.99800828483111093</v>
      </c>
      <c r="S517" s="345">
        <f t="shared" si="29"/>
        <v>-0.16200828483111102</v>
      </c>
    </row>
    <row r="518" spans="11:19" x14ac:dyDescent="0.3">
      <c r="K518" s="344">
        <v>11</v>
      </c>
      <c r="L518" s="344">
        <v>21</v>
      </c>
      <c r="M518" s="345">
        <v>1.9050000000000001E-2</v>
      </c>
      <c r="N518" s="345">
        <v>0.2</v>
      </c>
      <c r="O518" s="345">
        <v>0.83499999999999996</v>
      </c>
      <c r="P518" s="345">
        <v>1.6</v>
      </c>
      <c r="Q518" s="345">
        <v>-1.6</v>
      </c>
      <c r="R518" s="345">
        <f t="shared" si="28"/>
        <v>0.37618539916022514</v>
      </c>
      <c r="S518" s="345">
        <f t="shared" si="29"/>
        <v>-0.33808539916022512</v>
      </c>
    </row>
    <row r="519" spans="11:19" x14ac:dyDescent="0.3">
      <c r="K519" s="344">
        <v>12</v>
      </c>
      <c r="L519" s="344">
        <v>39</v>
      </c>
      <c r="M519" s="345">
        <v>-0.11</v>
      </c>
      <c r="N519" s="345">
        <v>-0.2</v>
      </c>
      <c r="O519" s="345">
        <v>0.86099999999999999</v>
      </c>
      <c r="P519" s="345">
        <v>2.4</v>
      </c>
      <c r="Q519" s="345">
        <v>-1.5</v>
      </c>
      <c r="R519" s="345">
        <f t="shared" si="28"/>
        <v>0.16022586723531285</v>
      </c>
      <c r="S519" s="345">
        <f t="shared" si="29"/>
        <v>-0.38022586723531282</v>
      </c>
    </row>
    <row r="520" spans="11:19" x14ac:dyDescent="0.3">
      <c r="K520" s="344">
        <v>13</v>
      </c>
      <c r="L520" s="344">
        <v>41</v>
      </c>
      <c r="M520" s="345">
        <v>-0.17100000000000001</v>
      </c>
      <c r="N520" s="345">
        <v>-0.2</v>
      </c>
      <c r="O520" s="345">
        <v>1.0580000000000001</v>
      </c>
      <c r="P520" s="345">
        <v>2.6</v>
      </c>
      <c r="Q520" s="345">
        <v>-2.5</v>
      </c>
      <c r="R520" s="345">
        <f t="shared" si="28"/>
        <v>0.1528544065531646</v>
      </c>
      <c r="S520" s="345">
        <f t="shared" si="29"/>
        <v>-0.49485440655316459</v>
      </c>
    </row>
    <row r="521" spans="11:19" x14ac:dyDescent="0.3">
      <c r="K521" s="344">
        <v>14</v>
      </c>
      <c r="L521" s="344">
        <v>45</v>
      </c>
      <c r="M521" s="345">
        <v>-0.26900000000000002</v>
      </c>
      <c r="N521" s="345">
        <v>-0.4</v>
      </c>
      <c r="O521" s="345">
        <v>0.77100000000000002</v>
      </c>
      <c r="P521" s="345">
        <v>2.2999999999999998</v>
      </c>
      <c r="Q521" s="345">
        <v>-1.5</v>
      </c>
      <c r="R521" s="345">
        <f t="shared" si="28"/>
        <v>-4.3729567674761216E-2</v>
      </c>
      <c r="S521" s="345">
        <f t="shared" si="29"/>
        <v>-0.49427043232523882</v>
      </c>
    </row>
    <row r="522" spans="11:19" x14ac:dyDescent="0.3">
      <c r="K522" s="344">
        <v>15</v>
      </c>
      <c r="L522" s="344">
        <v>12</v>
      </c>
      <c r="M522" s="345">
        <v>-0.79200000000000004</v>
      </c>
      <c r="N522" s="345">
        <v>-0.8</v>
      </c>
      <c r="O522" s="345">
        <v>0.94599999999999995</v>
      </c>
      <c r="P522" s="345">
        <v>0.6</v>
      </c>
      <c r="Q522" s="345">
        <v>-2.2999999999999998</v>
      </c>
      <c r="R522" s="345">
        <f t="shared" si="28"/>
        <v>-0.25675011243968182</v>
      </c>
      <c r="S522" s="345">
        <f t="shared" si="29"/>
        <v>-1.3272498875603183</v>
      </c>
    </row>
    <row r="523" spans="11:19" x14ac:dyDescent="0.3">
      <c r="K523" s="344">
        <v>16</v>
      </c>
      <c r="L523" s="344">
        <v>13</v>
      </c>
      <c r="M523" s="345">
        <v>-0.36199999999999999</v>
      </c>
      <c r="N523" s="345">
        <v>-0.5</v>
      </c>
      <c r="O523" s="345">
        <v>1.2589999999999999</v>
      </c>
      <c r="P523" s="345">
        <v>2.2000000000000002</v>
      </c>
      <c r="Q523" s="345">
        <v>-2.2999999999999998</v>
      </c>
      <c r="R523" s="345">
        <f t="shared" si="28"/>
        <v>0.32240019610661219</v>
      </c>
      <c r="S523" s="345">
        <f t="shared" si="29"/>
        <v>-1.0464001961066121</v>
      </c>
    </row>
    <row r="524" spans="11:19" x14ac:dyDescent="0.3">
      <c r="K524" s="344">
        <v>17</v>
      </c>
      <c r="L524" s="344">
        <v>4</v>
      </c>
      <c r="M524" s="345">
        <v>-1.25</v>
      </c>
      <c r="N524" s="345">
        <v>-1.25</v>
      </c>
      <c r="O524" s="345">
        <v>0.61399999999999999</v>
      </c>
      <c r="P524" s="345">
        <v>-0.5</v>
      </c>
      <c r="Q524" s="345">
        <v>-2</v>
      </c>
      <c r="R524" s="345">
        <f t="shared" si="28"/>
        <v>-0.64827999999999997</v>
      </c>
      <c r="S524" s="345">
        <f t="shared" si="29"/>
        <v>-1.85172</v>
      </c>
    </row>
    <row r="525" spans="11:19" x14ac:dyDescent="0.3">
      <c r="K525" s="349">
        <v>18</v>
      </c>
      <c r="L525" s="349">
        <v>2</v>
      </c>
      <c r="M525" s="350">
        <v>-1.05</v>
      </c>
      <c r="N525" s="350">
        <v>-1.05</v>
      </c>
      <c r="O525" s="350">
        <v>7.0709999999999995E-2</v>
      </c>
      <c r="P525" s="350">
        <v>-1</v>
      </c>
      <c r="Q525" s="350">
        <v>-1.1000000000000001</v>
      </c>
      <c r="R525" s="350">
        <f t="shared" si="28"/>
        <v>-0.95200093982450651</v>
      </c>
      <c r="S525" s="350">
        <f t="shared" si="29"/>
        <v>-1.1479990601754935</v>
      </c>
    </row>
    <row r="526" spans="11:19" x14ac:dyDescent="0.3">
      <c r="K526" s="344"/>
      <c r="L526" s="344"/>
      <c r="M526" s="345"/>
      <c r="N526" s="345"/>
      <c r="O526" s="345"/>
      <c r="P526" s="345"/>
      <c r="Q526" s="345"/>
      <c r="R526" s="345"/>
      <c r="S526" s="345"/>
    </row>
    <row r="527" spans="11:19" x14ac:dyDescent="0.3">
      <c r="K527" s="344"/>
      <c r="L527" s="344"/>
      <c r="M527" s="345"/>
      <c r="N527" s="345"/>
      <c r="O527" s="345"/>
      <c r="P527" s="345"/>
      <c r="Q527" s="345"/>
      <c r="R527" s="345"/>
      <c r="S527" s="345"/>
    </row>
    <row r="528" spans="11:19" x14ac:dyDescent="0.3">
      <c r="K528" s="346" t="s">
        <v>700</v>
      </c>
      <c r="L528" s="344"/>
      <c r="M528" s="345"/>
      <c r="N528" s="345"/>
      <c r="O528" s="345"/>
      <c r="P528" s="345"/>
      <c r="Q528" s="345"/>
      <c r="R528" s="345"/>
      <c r="S528" s="345"/>
    </row>
    <row r="529" spans="11:19" x14ac:dyDescent="0.3">
      <c r="K529" s="347" t="s">
        <v>514</v>
      </c>
      <c r="L529" s="347" t="s">
        <v>649</v>
      </c>
      <c r="M529" s="348" t="s">
        <v>650</v>
      </c>
      <c r="N529" s="348" t="s">
        <v>651</v>
      </c>
      <c r="O529" s="348" t="s">
        <v>652</v>
      </c>
      <c r="P529" s="348" t="s">
        <v>653</v>
      </c>
      <c r="Q529" s="348" t="s">
        <v>654</v>
      </c>
      <c r="R529" s="348" t="s">
        <v>655</v>
      </c>
      <c r="S529" s="348" t="s">
        <v>656</v>
      </c>
    </row>
    <row r="530" spans="11:19" x14ac:dyDescent="0.3">
      <c r="K530" s="344">
        <v>7</v>
      </c>
      <c r="L530" s="344">
        <v>1</v>
      </c>
      <c r="M530" s="345">
        <v>1</v>
      </c>
      <c r="N530" s="345">
        <v>1</v>
      </c>
      <c r="O530" s="345" t="s">
        <v>657</v>
      </c>
      <c r="P530" s="345">
        <v>1</v>
      </c>
      <c r="Q530" s="345">
        <v>1</v>
      </c>
      <c r="R530" s="345"/>
      <c r="S530" s="345"/>
    </row>
    <row r="531" spans="11:19" x14ac:dyDescent="0.3">
      <c r="K531" s="344">
        <v>8</v>
      </c>
      <c r="L531" s="344">
        <v>10</v>
      </c>
      <c r="M531" s="345">
        <v>0.11</v>
      </c>
      <c r="N531" s="345">
        <v>-0.1</v>
      </c>
      <c r="O531" s="345">
        <v>0.78700000000000003</v>
      </c>
      <c r="P531" s="345">
        <v>1.5</v>
      </c>
      <c r="Q531" s="345">
        <v>-0.8</v>
      </c>
      <c r="R531" s="345">
        <f t="shared" si="28"/>
        <v>0.59778765363629283</v>
      </c>
      <c r="S531" s="345">
        <f t="shared" si="29"/>
        <v>-0.37778765363629285</v>
      </c>
    </row>
    <row r="532" spans="11:19" x14ac:dyDescent="0.3">
      <c r="K532" s="344">
        <v>9</v>
      </c>
      <c r="L532" s="344">
        <v>17</v>
      </c>
      <c r="M532" s="345">
        <v>-0.17599999999999999</v>
      </c>
      <c r="N532" s="345">
        <v>-0.3</v>
      </c>
      <c r="O532" s="345">
        <v>0.67</v>
      </c>
      <c r="P532" s="345">
        <v>1</v>
      </c>
      <c r="Q532" s="345">
        <v>-1.3</v>
      </c>
      <c r="R532" s="345">
        <f t="shared" si="28"/>
        <v>0.14249778279771252</v>
      </c>
      <c r="S532" s="345">
        <f t="shared" si="29"/>
        <v>-0.4944977827977125</v>
      </c>
    </row>
    <row r="533" spans="11:19" x14ac:dyDescent="0.3">
      <c r="K533" s="344">
        <v>10</v>
      </c>
      <c r="L533" s="344">
        <v>22</v>
      </c>
      <c r="M533" s="345">
        <v>3.6360000000000003E-2</v>
      </c>
      <c r="N533" s="345">
        <v>-0.1</v>
      </c>
      <c r="O533" s="345">
        <v>0.81799999999999995</v>
      </c>
      <c r="P533" s="345">
        <v>2.1</v>
      </c>
      <c r="Q533" s="345">
        <v>-1.3</v>
      </c>
      <c r="R533" s="345">
        <f t="shared" si="28"/>
        <v>0.37818044451862304</v>
      </c>
      <c r="S533" s="345">
        <f t="shared" si="29"/>
        <v>-0.30546044451862303</v>
      </c>
    </row>
    <row r="534" spans="11:19" x14ac:dyDescent="0.3">
      <c r="K534" s="344">
        <v>11</v>
      </c>
      <c r="L534" s="344">
        <v>21</v>
      </c>
      <c r="M534" s="345">
        <v>-0.1</v>
      </c>
      <c r="N534" s="345">
        <v>-0.2</v>
      </c>
      <c r="O534" s="345">
        <v>0.51700000000000002</v>
      </c>
      <c r="P534" s="345">
        <v>1</v>
      </c>
      <c r="Q534" s="345">
        <v>-1</v>
      </c>
      <c r="R534" s="345">
        <f t="shared" si="28"/>
        <v>0.12112455253393581</v>
      </c>
      <c r="S534" s="345">
        <f t="shared" si="29"/>
        <v>-0.32112455253393579</v>
      </c>
    </row>
    <row r="535" spans="11:19" x14ac:dyDescent="0.3">
      <c r="K535" s="344">
        <v>12</v>
      </c>
      <c r="L535" s="344">
        <v>39</v>
      </c>
      <c r="M535" s="345">
        <v>-0.185</v>
      </c>
      <c r="N535" s="345">
        <v>-0.2</v>
      </c>
      <c r="O535" s="345">
        <v>0.59699999999999998</v>
      </c>
      <c r="P535" s="345">
        <v>1</v>
      </c>
      <c r="Q535" s="345">
        <v>-1.2</v>
      </c>
      <c r="R535" s="345">
        <f t="shared" si="28"/>
        <v>2.3691553304085178E-3</v>
      </c>
      <c r="S535" s="345">
        <f t="shared" si="29"/>
        <v>-0.37236915533040849</v>
      </c>
    </row>
    <row r="536" spans="11:19" x14ac:dyDescent="0.3">
      <c r="K536" s="344">
        <v>13</v>
      </c>
      <c r="L536" s="344">
        <v>41</v>
      </c>
      <c r="M536" s="345">
        <v>-0.14099999999999999</v>
      </c>
      <c r="N536" s="345">
        <v>-0.1</v>
      </c>
      <c r="O536" s="345">
        <v>0.71299999999999997</v>
      </c>
      <c r="P536" s="345">
        <v>1.7</v>
      </c>
      <c r="Q536" s="345">
        <v>-1.6</v>
      </c>
      <c r="R536" s="345">
        <f t="shared" si="28"/>
        <v>7.7249708764089209E-2</v>
      </c>
      <c r="S536" s="345">
        <f t="shared" si="29"/>
        <v>-0.35924970876408918</v>
      </c>
    </row>
    <row r="537" spans="11:19" x14ac:dyDescent="0.3">
      <c r="K537" s="344">
        <v>14</v>
      </c>
      <c r="L537" s="344">
        <v>45</v>
      </c>
      <c r="M537" s="345">
        <v>-0.151</v>
      </c>
      <c r="N537" s="345">
        <v>-0.2</v>
      </c>
      <c r="O537" s="345">
        <v>0.64300000000000002</v>
      </c>
      <c r="P537" s="345">
        <v>1.1000000000000001</v>
      </c>
      <c r="Q537" s="345">
        <v>-1.7</v>
      </c>
      <c r="R537" s="345">
        <f t="shared" si="28"/>
        <v>3.6871450045562332E-2</v>
      </c>
      <c r="S537" s="345">
        <f t="shared" si="29"/>
        <v>-0.33887145004556229</v>
      </c>
    </row>
    <row r="538" spans="11:19" x14ac:dyDescent="0.3">
      <c r="K538" s="344">
        <v>15</v>
      </c>
      <c r="L538" s="344">
        <v>12</v>
      </c>
      <c r="M538" s="345">
        <v>-0.60799999999999998</v>
      </c>
      <c r="N538" s="345">
        <v>-0.6</v>
      </c>
      <c r="O538" s="345">
        <v>0.78900000000000003</v>
      </c>
      <c r="P538" s="345">
        <v>0.4</v>
      </c>
      <c r="Q538" s="345">
        <v>-1.7</v>
      </c>
      <c r="R538" s="345">
        <f t="shared" si="28"/>
        <v>-0.1615812248571975</v>
      </c>
      <c r="S538" s="345">
        <f t="shared" si="29"/>
        <v>-1.0544187751428025</v>
      </c>
    </row>
    <row r="539" spans="11:19" x14ac:dyDescent="0.3">
      <c r="K539" s="344">
        <v>16</v>
      </c>
      <c r="L539" s="344">
        <v>13</v>
      </c>
      <c r="M539" s="345">
        <v>-0.32300000000000001</v>
      </c>
      <c r="N539" s="345">
        <v>-0.3</v>
      </c>
      <c r="O539" s="345">
        <v>0.88700000000000001</v>
      </c>
      <c r="P539" s="345">
        <v>1.9</v>
      </c>
      <c r="Q539" s="345">
        <v>-1.6</v>
      </c>
      <c r="R539" s="345">
        <f t="shared" si="28"/>
        <v>0.15917869257074269</v>
      </c>
      <c r="S539" s="345">
        <f t="shared" si="29"/>
        <v>-0.8051786925707427</v>
      </c>
    </row>
    <row r="540" spans="11:19" x14ac:dyDescent="0.3">
      <c r="K540" s="344">
        <v>17</v>
      </c>
      <c r="L540" s="344">
        <v>4</v>
      </c>
      <c r="M540" s="345">
        <v>-1.1000000000000001</v>
      </c>
      <c r="N540" s="345">
        <v>-1.05</v>
      </c>
      <c r="O540" s="345">
        <v>0.245</v>
      </c>
      <c r="P540" s="345">
        <v>-0.9</v>
      </c>
      <c r="Q540" s="345">
        <v>-1.4</v>
      </c>
      <c r="R540" s="345">
        <f t="shared" si="28"/>
        <v>-0.85990000000000011</v>
      </c>
      <c r="S540" s="345">
        <f t="shared" si="29"/>
        <v>-1.3401000000000001</v>
      </c>
    </row>
    <row r="541" spans="11:19" x14ac:dyDescent="0.3">
      <c r="K541" s="349">
        <v>18</v>
      </c>
      <c r="L541" s="349">
        <v>2</v>
      </c>
      <c r="M541" s="350">
        <v>0.15</v>
      </c>
      <c r="N541" s="350">
        <v>0.15</v>
      </c>
      <c r="O541" s="350">
        <v>0.63600000000000001</v>
      </c>
      <c r="P541" s="350">
        <v>0.6</v>
      </c>
      <c r="Q541" s="350">
        <v>-0.3</v>
      </c>
      <c r="R541" s="350">
        <f t="shared" si="28"/>
        <v>1.0314510291559025</v>
      </c>
      <c r="S541" s="350">
        <f t="shared" si="29"/>
        <v>-0.73145102915590254</v>
      </c>
    </row>
    <row r="542" spans="11:19" x14ac:dyDescent="0.3">
      <c r="K542" s="344"/>
      <c r="L542" s="344"/>
      <c r="M542" s="345"/>
      <c r="N542" s="345"/>
      <c r="O542" s="345"/>
      <c r="P542" s="345"/>
      <c r="Q542" s="345"/>
      <c r="R542" s="345"/>
      <c r="S542" s="345"/>
    </row>
    <row r="543" spans="11:19" x14ac:dyDescent="0.3">
      <c r="K543" s="344"/>
      <c r="L543" s="344"/>
      <c r="M543" s="345"/>
      <c r="N543" s="345"/>
      <c r="O543" s="345"/>
      <c r="P543" s="345"/>
      <c r="Q543" s="345"/>
      <c r="R543" s="345"/>
      <c r="S543" s="345"/>
    </row>
    <row r="544" spans="11:19" x14ac:dyDescent="0.3">
      <c r="K544" s="346" t="s">
        <v>701</v>
      </c>
      <c r="L544" s="344"/>
      <c r="M544" s="345"/>
      <c r="N544" s="345"/>
      <c r="O544" s="345"/>
      <c r="P544" s="345"/>
      <c r="Q544" s="345"/>
      <c r="R544" s="345"/>
      <c r="S544" s="345"/>
    </row>
    <row r="545" spans="11:19" x14ac:dyDescent="0.3">
      <c r="K545" s="347" t="s">
        <v>514</v>
      </c>
      <c r="L545" s="347" t="s">
        <v>649</v>
      </c>
      <c r="M545" s="348" t="s">
        <v>650</v>
      </c>
      <c r="N545" s="348" t="s">
        <v>651</v>
      </c>
      <c r="O545" s="348" t="s">
        <v>652</v>
      </c>
      <c r="P545" s="348" t="s">
        <v>653</v>
      </c>
      <c r="Q545" s="348" t="s">
        <v>654</v>
      </c>
      <c r="R545" s="348" t="s">
        <v>655</v>
      </c>
      <c r="S545" s="348" t="s">
        <v>656</v>
      </c>
    </row>
    <row r="546" spans="11:19" x14ac:dyDescent="0.3">
      <c r="K546" s="344">
        <v>7</v>
      </c>
      <c r="L546" s="344">
        <v>1</v>
      </c>
      <c r="M546" s="345">
        <v>0</v>
      </c>
      <c r="N546" s="345">
        <v>0</v>
      </c>
      <c r="O546" s="345" t="s">
        <v>657</v>
      </c>
      <c r="P546" s="345">
        <v>0</v>
      </c>
      <c r="Q546" s="345">
        <v>0</v>
      </c>
      <c r="R546" s="345"/>
      <c r="S546" s="345"/>
    </row>
    <row r="547" spans="11:19" x14ac:dyDescent="0.3">
      <c r="K547" s="344">
        <v>8</v>
      </c>
      <c r="L547" s="344">
        <v>10</v>
      </c>
      <c r="M547" s="345">
        <v>0.1</v>
      </c>
      <c r="N547" s="345">
        <v>0.15</v>
      </c>
      <c r="O547" s="345">
        <v>2.1</v>
      </c>
      <c r="P547" s="345">
        <v>3</v>
      </c>
      <c r="Q547" s="345">
        <v>-3.2</v>
      </c>
      <c r="R547" s="345">
        <f t="shared" si="28"/>
        <v>1.4015934849253049</v>
      </c>
      <c r="S547" s="345">
        <f t="shared" si="29"/>
        <v>-1.2015934849253047</v>
      </c>
    </row>
    <row r="548" spans="11:19" x14ac:dyDescent="0.3">
      <c r="K548" s="344">
        <v>9</v>
      </c>
      <c r="L548" s="344">
        <v>17</v>
      </c>
      <c r="M548" s="345">
        <v>0.55300000000000005</v>
      </c>
      <c r="N548" s="345">
        <v>0.3</v>
      </c>
      <c r="O548" s="345">
        <v>1.8740000000000001</v>
      </c>
      <c r="P548" s="345">
        <v>3.5</v>
      </c>
      <c r="Q548" s="345">
        <v>-1.8</v>
      </c>
      <c r="R548" s="345">
        <f t="shared" si="28"/>
        <v>1.4438430521834524</v>
      </c>
      <c r="S548" s="345">
        <f t="shared" si="29"/>
        <v>-0.33784305218345245</v>
      </c>
    </row>
    <row r="549" spans="11:19" x14ac:dyDescent="0.3">
      <c r="K549" s="344">
        <v>10</v>
      </c>
      <c r="L549" s="344">
        <v>22</v>
      </c>
      <c r="M549" s="345">
        <v>1.0589999999999999</v>
      </c>
      <c r="N549" s="345">
        <v>1.1499999999999999</v>
      </c>
      <c r="O549" s="345">
        <v>1.7090000000000001</v>
      </c>
      <c r="P549" s="345">
        <v>4.8</v>
      </c>
      <c r="Q549" s="345">
        <v>-1.5</v>
      </c>
      <c r="R549" s="345">
        <f t="shared" si="28"/>
        <v>1.7731456475334069</v>
      </c>
      <c r="S549" s="345">
        <f t="shared" si="29"/>
        <v>0.34485435246659302</v>
      </c>
    </row>
    <row r="550" spans="11:19" x14ac:dyDescent="0.3">
      <c r="K550" s="344">
        <v>11</v>
      </c>
      <c r="L550" s="344">
        <v>21</v>
      </c>
      <c r="M550" s="345">
        <v>1.4</v>
      </c>
      <c r="N550" s="345">
        <v>1.3</v>
      </c>
      <c r="O550" s="345">
        <v>2.347</v>
      </c>
      <c r="P550" s="345">
        <v>5.7</v>
      </c>
      <c r="Q550" s="345">
        <v>-3.7</v>
      </c>
      <c r="R550" s="345">
        <f t="shared" si="28"/>
        <v>2.4038284812323933</v>
      </c>
      <c r="S550" s="345">
        <f t="shared" si="29"/>
        <v>0.3961715187676067</v>
      </c>
    </row>
    <row r="551" spans="11:19" x14ac:dyDescent="0.3">
      <c r="K551" s="344">
        <v>12</v>
      </c>
      <c r="L551" s="344">
        <v>39</v>
      </c>
      <c r="M551" s="345">
        <v>1.0740000000000001</v>
      </c>
      <c r="N551" s="345">
        <v>0.1</v>
      </c>
      <c r="O551" s="345">
        <v>2.903</v>
      </c>
      <c r="P551" s="345">
        <v>10.5</v>
      </c>
      <c r="Q551" s="345">
        <v>-3.3</v>
      </c>
      <c r="R551" s="345">
        <f t="shared" si="28"/>
        <v>1.9851099797724892</v>
      </c>
      <c r="S551" s="345">
        <f t="shared" si="29"/>
        <v>0.16289002022751098</v>
      </c>
    </row>
    <row r="552" spans="11:19" x14ac:dyDescent="0.3">
      <c r="K552" s="344">
        <v>13</v>
      </c>
      <c r="L552" s="344">
        <v>41</v>
      </c>
      <c r="M552" s="345">
        <v>1.8149999999999999</v>
      </c>
      <c r="N552" s="345">
        <v>1.3</v>
      </c>
      <c r="O552" s="345">
        <v>2.4820000000000002</v>
      </c>
      <c r="P552" s="345">
        <v>6.9</v>
      </c>
      <c r="Q552" s="345">
        <v>-3.7</v>
      </c>
      <c r="R552" s="345">
        <f t="shared" si="28"/>
        <v>2.5747416229347397</v>
      </c>
      <c r="S552" s="345">
        <f t="shared" si="29"/>
        <v>1.0552583770652602</v>
      </c>
    </row>
    <row r="553" spans="11:19" x14ac:dyDescent="0.3">
      <c r="K553" s="344">
        <v>14</v>
      </c>
      <c r="L553" s="344">
        <v>45</v>
      </c>
      <c r="M553" s="345">
        <v>1.742</v>
      </c>
      <c r="N553" s="345">
        <v>1.3</v>
      </c>
      <c r="O553" s="345">
        <v>2.4169999999999998</v>
      </c>
      <c r="P553" s="345">
        <v>8</v>
      </c>
      <c r="Q553" s="345">
        <v>-3.3</v>
      </c>
      <c r="R553" s="345">
        <f t="shared" si="28"/>
        <v>2.4481979700779535</v>
      </c>
      <c r="S553" s="345">
        <f t="shared" si="29"/>
        <v>1.0358020299220465</v>
      </c>
    </row>
    <row r="554" spans="11:19" x14ac:dyDescent="0.3">
      <c r="K554" s="344">
        <v>15</v>
      </c>
      <c r="L554" s="344">
        <v>12</v>
      </c>
      <c r="M554" s="345">
        <v>1.95</v>
      </c>
      <c r="N554" s="345">
        <v>2.6</v>
      </c>
      <c r="O554" s="345">
        <v>2.7770000000000001</v>
      </c>
      <c r="P554" s="345">
        <v>5.4</v>
      </c>
      <c r="Q554" s="345">
        <v>-4.4000000000000004</v>
      </c>
      <c r="R554" s="345">
        <f t="shared" si="28"/>
        <v>3.5212356635887989</v>
      </c>
      <c r="S554" s="345">
        <f t="shared" si="29"/>
        <v>0.378764336411201</v>
      </c>
    </row>
    <row r="555" spans="11:19" x14ac:dyDescent="0.3">
      <c r="K555" s="344">
        <v>16</v>
      </c>
      <c r="L555" s="344">
        <v>13</v>
      </c>
      <c r="M555" s="345">
        <v>2.1080000000000001</v>
      </c>
      <c r="N555" s="345">
        <v>3.1</v>
      </c>
      <c r="O555" s="345">
        <v>2.843</v>
      </c>
      <c r="P555" s="345">
        <v>6.4</v>
      </c>
      <c r="Q555" s="345">
        <v>-3.9</v>
      </c>
      <c r="R555" s="345">
        <f t="shared" si="28"/>
        <v>3.6534724047109601</v>
      </c>
      <c r="S555" s="345">
        <f t="shared" si="29"/>
        <v>0.56252759528904006</v>
      </c>
    </row>
    <row r="556" spans="11:19" x14ac:dyDescent="0.3">
      <c r="K556" s="344">
        <v>17</v>
      </c>
      <c r="L556" s="344">
        <v>4</v>
      </c>
      <c r="M556" s="345">
        <v>-1.25</v>
      </c>
      <c r="N556" s="345">
        <v>0.35</v>
      </c>
      <c r="O556" s="345">
        <v>3.5070000000000001</v>
      </c>
      <c r="P556" s="345">
        <v>0.8</v>
      </c>
      <c r="Q556" s="345">
        <v>-6.5</v>
      </c>
      <c r="R556" s="345">
        <f t="shared" si="28"/>
        <v>2.1868600000000002</v>
      </c>
      <c r="S556" s="345">
        <f t="shared" si="29"/>
        <v>-4.6868600000000002</v>
      </c>
    </row>
    <row r="557" spans="11:19" x14ac:dyDescent="0.3">
      <c r="K557" s="349">
        <v>18</v>
      </c>
      <c r="L557" s="349">
        <v>2</v>
      </c>
      <c r="M557" s="350">
        <v>3.8</v>
      </c>
      <c r="N557" s="350">
        <v>3.8</v>
      </c>
      <c r="O557" s="350">
        <v>0.42399999999999999</v>
      </c>
      <c r="P557" s="350">
        <v>4.0999999999999996</v>
      </c>
      <c r="Q557" s="350">
        <v>3.5</v>
      </c>
      <c r="R557" s="350">
        <f t="shared" si="28"/>
        <v>4.3876340194372681</v>
      </c>
      <c r="S557" s="350">
        <f t="shared" si="29"/>
        <v>3.2123659805627316</v>
      </c>
    </row>
    <row r="558" spans="11:19" x14ac:dyDescent="0.3">
      <c r="K558" s="344"/>
      <c r="L558" s="344"/>
      <c r="M558" s="345"/>
      <c r="N558" s="345"/>
      <c r="O558" s="345"/>
      <c r="P558" s="345"/>
      <c r="Q558" s="345"/>
      <c r="R558" s="345"/>
      <c r="S558" s="345"/>
    </row>
    <row r="559" spans="11:19" x14ac:dyDescent="0.3">
      <c r="K559" s="344"/>
      <c r="L559" s="344"/>
      <c r="M559" s="345"/>
      <c r="N559" s="345"/>
      <c r="O559" s="345"/>
      <c r="P559" s="345"/>
      <c r="Q559" s="345"/>
      <c r="R559" s="345"/>
      <c r="S559" s="345"/>
    </row>
    <row r="560" spans="11:19" x14ac:dyDescent="0.3">
      <c r="K560" s="346" t="s">
        <v>702</v>
      </c>
      <c r="L560" s="344"/>
      <c r="M560" s="345"/>
      <c r="N560" s="345"/>
      <c r="O560" s="345"/>
      <c r="P560" s="345"/>
      <c r="Q560" s="345"/>
      <c r="R560" s="345"/>
      <c r="S560" s="345"/>
    </row>
    <row r="561" spans="11:19" x14ac:dyDescent="0.3">
      <c r="K561" s="347" t="s">
        <v>514</v>
      </c>
      <c r="L561" s="347" t="s">
        <v>649</v>
      </c>
      <c r="M561" s="348" t="s">
        <v>650</v>
      </c>
      <c r="N561" s="348" t="s">
        <v>651</v>
      </c>
      <c r="O561" s="348" t="s">
        <v>652</v>
      </c>
      <c r="P561" s="348" t="s">
        <v>653</v>
      </c>
      <c r="Q561" s="348" t="s">
        <v>654</v>
      </c>
      <c r="R561" s="348" t="s">
        <v>655</v>
      </c>
      <c r="S561" s="348" t="s">
        <v>656</v>
      </c>
    </row>
    <row r="562" spans="11:19" x14ac:dyDescent="0.3">
      <c r="K562" s="344">
        <v>7</v>
      </c>
      <c r="L562" s="344">
        <v>1</v>
      </c>
      <c r="M562" s="351">
        <v>0</v>
      </c>
      <c r="N562" s="351">
        <v>0</v>
      </c>
      <c r="O562" s="351" t="s">
        <v>657</v>
      </c>
      <c r="P562" s="351">
        <v>0</v>
      </c>
      <c r="Q562" s="351">
        <v>0</v>
      </c>
      <c r="R562" s="345"/>
      <c r="S562" s="345"/>
    </row>
    <row r="563" spans="11:19" x14ac:dyDescent="0.3">
      <c r="K563" s="344">
        <v>8</v>
      </c>
      <c r="L563" s="344">
        <v>10</v>
      </c>
      <c r="M563" s="351">
        <v>-4.0000000000000001E-3</v>
      </c>
      <c r="N563" s="351">
        <v>0</v>
      </c>
      <c r="O563" s="351">
        <v>7.3510000000000006E-2</v>
      </c>
      <c r="P563" s="351">
        <v>0.09</v>
      </c>
      <c r="Q563" s="351">
        <v>-0.12</v>
      </c>
      <c r="R563" s="351">
        <f t="shared" ref="R563:R621" si="30">M563+(1.96*O563)/(L563)^0.5</f>
        <v>4.1561970036599602E-2</v>
      </c>
      <c r="S563" s="351">
        <f t="shared" ref="S563:S621" si="31">M563-(1.96*O563)/(L563)^0.5</f>
        <v>-4.9561970036599595E-2</v>
      </c>
    </row>
    <row r="564" spans="11:19" x14ac:dyDescent="0.3">
      <c r="K564" s="344">
        <v>9</v>
      </c>
      <c r="L564" s="344">
        <v>17</v>
      </c>
      <c r="M564" s="351">
        <v>1.1180000000000001E-2</v>
      </c>
      <c r="N564" s="351">
        <v>0.01</v>
      </c>
      <c r="O564" s="351">
        <v>5.1589999999999997E-2</v>
      </c>
      <c r="P564" s="351">
        <v>0.08</v>
      </c>
      <c r="Q564" s="351">
        <v>-0.06</v>
      </c>
      <c r="R564" s="351">
        <f t="shared" si="30"/>
        <v>3.5704329275423857E-2</v>
      </c>
      <c r="S564" s="351">
        <f t="shared" si="31"/>
        <v>-1.3344329275423858E-2</v>
      </c>
    </row>
    <row r="565" spans="11:19" x14ac:dyDescent="0.3">
      <c r="K565" s="344">
        <v>10</v>
      </c>
      <c r="L565" s="344">
        <v>22</v>
      </c>
      <c r="M565" s="351">
        <v>2.545E-2</v>
      </c>
      <c r="N565" s="351">
        <v>2.5000000000000001E-2</v>
      </c>
      <c r="O565" s="351">
        <v>4.2619999999999998E-2</v>
      </c>
      <c r="P565" s="351">
        <v>0.1</v>
      </c>
      <c r="Q565" s="351">
        <v>-0.04</v>
      </c>
      <c r="R565" s="351">
        <f t="shared" si="30"/>
        <v>4.3259764480909187E-2</v>
      </c>
      <c r="S565" s="351">
        <f t="shared" si="31"/>
        <v>7.6402355190908142E-3</v>
      </c>
    </row>
    <row r="566" spans="11:19" x14ac:dyDescent="0.3">
      <c r="K566" s="344">
        <v>11</v>
      </c>
      <c r="L566" s="344">
        <v>21</v>
      </c>
      <c r="M566" s="351">
        <v>2.6190000000000001E-2</v>
      </c>
      <c r="N566" s="351">
        <v>0.03</v>
      </c>
      <c r="O566" s="351">
        <v>5.305E-2</v>
      </c>
      <c r="P566" s="351">
        <v>0.11</v>
      </c>
      <c r="Q566" s="351">
        <v>-0.1</v>
      </c>
      <c r="R566" s="351">
        <f t="shared" si="30"/>
        <v>4.8879859790958019E-2</v>
      </c>
      <c r="S566" s="351">
        <f t="shared" si="31"/>
        <v>3.5001402090419839E-3</v>
      </c>
    </row>
    <row r="567" spans="11:19" x14ac:dyDescent="0.3">
      <c r="K567" s="344">
        <v>12</v>
      </c>
      <c r="L567" s="344">
        <v>39</v>
      </c>
      <c r="M567" s="351">
        <v>1.9230000000000001E-2</v>
      </c>
      <c r="N567" s="351">
        <v>0</v>
      </c>
      <c r="O567" s="351">
        <v>5.663E-2</v>
      </c>
      <c r="P567" s="351">
        <v>0.18</v>
      </c>
      <c r="Q567" s="351">
        <v>-0.06</v>
      </c>
      <c r="R567" s="351">
        <f t="shared" si="30"/>
        <v>3.7003392405964883E-2</v>
      </c>
      <c r="S567" s="351">
        <f t="shared" si="31"/>
        <v>1.4566075940351184E-3</v>
      </c>
    </row>
    <row r="568" spans="11:19" x14ac:dyDescent="0.3">
      <c r="K568" s="344">
        <v>13</v>
      </c>
      <c r="L568" s="344">
        <v>41</v>
      </c>
      <c r="M568" s="351">
        <v>3.4630000000000001E-2</v>
      </c>
      <c r="N568" s="351">
        <v>0.03</v>
      </c>
      <c r="O568" s="351">
        <v>4.7600000000000003E-2</v>
      </c>
      <c r="P568" s="351">
        <v>0.15</v>
      </c>
      <c r="Q568" s="351">
        <v>-7.0000000000000007E-2</v>
      </c>
      <c r="R568" s="351">
        <f t="shared" si="30"/>
        <v>4.9200387289159396E-2</v>
      </c>
      <c r="S568" s="351">
        <f t="shared" si="31"/>
        <v>2.0059612710840606E-2</v>
      </c>
    </row>
    <row r="569" spans="11:19" x14ac:dyDescent="0.3">
      <c r="K569" s="344">
        <v>14</v>
      </c>
      <c r="L569" s="344">
        <v>45</v>
      </c>
      <c r="M569" s="351">
        <v>2.9329999999999998E-2</v>
      </c>
      <c r="N569" s="351">
        <v>0.03</v>
      </c>
      <c r="O569" s="351">
        <v>4.5249999999999999E-2</v>
      </c>
      <c r="P569" s="351">
        <v>0.13</v>
      </c>
      <c r="Q569" s="351">
        <v>-7.0000000000000007E-2</v>
      </c>
      <c r="R569" s="351">
        <f t="shared" si="30"/>
        <v>4.2551124594963755E-2</v>
      </c>
      <c r="S569" s="351">
        <f t="shared" si="31"/>
        <v>1.6108875405036242E-2</v>
      </c>
    </row>
    <row r="570" spans="11:19" x14ac:dyDescent="0.3">
      <c r="K570" s="344">
        <v>15</v>
      </c>
      <c r="L570" s="344">
        <v>12</v>
      </c>
      <c r="M570" s="351">
        <v>3.1669999999999997E-2</v>
      </c>
      <c r="N570" s="351">
        <v>4.4999999999999998E-2</v>
      </c>
      <c r="O570" s="351">
        <v>5.5399999999999998E-2</v>
      </c>
      <c r="P570" s="351">
        <v>0.09</v>
      </c>
      <c r="Q570" s="351">
        <v>-0.11</v>
      </c>
      <c r="R570" s="351">
        <f t="shared" si="30"/>
        <v>6.3015500814843167E-2</v>
      </c>
      <c r="S570" s="351">
        <f t="shared" si="31"/>
        <v>3.2449918515683324E-4</v>
      </c>
    </row>
    <row r="571" spans="11:19" x14ac:dyDescent="0.3">
      <c r="K571" s="344">
        <v>16</v>
      </c>
      <c r="L571" s="344">
        <v>13</v>
      </c>
      <c r="M571" s="351">
        <v>3.6150000000000002E-2</v>
      </c>
      <c r="N571" s="351">
        <v>0.06</v>
      </c>
      <c r="O571" s="351">
        <v>5.5759999999999997E-2</v>
      </c>
      <c r="P571" s="351">
        <v>0.11</v>
      </c>
      <c r="Q571" s="351">
        <v>-0.09</v>
      </c>
      <c r="R571" s="351">
        <f t="shared" si="30"/>
        <v>6.6461481282688403E-2</v>
      </c>
      <c r="S571" s="351">
        <f t="shared" si="31"/>
        <v>5.8385187173116034E-3</v>
      </c>
    </row>
    <row r="572" spans="11:19" x14ac:dyDescent="0.3">
      <c r="K572" s="344">
        <v>17</v>
      </c>
      <c r="L572" s="344">
        <v>4</v>
      </c>
      <c r="M572" s="351">
        <v>-2.75E-2</v>
      </c>
      <c r="N572" s="351">
        <v>0.01</v>
      </c>
      <c r="O572" s="351">
        <v>8.1799999999999998E-2</v>
      </c>
      <c r="P572" s="351">
        <v>0.02</v>
      </c>
      <c r="Q572" s="351">
        <v>-0.15</v>
      </c>
      <c r="R572" s="351">
        <f t="shared" si="30"/>
        <v>5.2664000000000002E-2</v>
      </c>
      <c r="S572" s="351">
        <f t="shared" si="31"/>
        <v>-0.107664</v>
      </c>
    </row>
    <row r="573" spans="11:19" x14ac:dyDescent="0.3">
      <c r="K573" s="349">
        <v>18</v>
      </c>
      <c r="L573" s="349">
        <v>2</v>
      </c>
      <c r="M573" s="352">
        <v>7.0000000000000007E-2</v>
      </c>
      <c r="N573" s="352">
        <v>7.0000000000000007E-2</v>
      </c>
      <c r="O573" s="352">
        <v>1.414E-2</v>
      </c>
      <c r="P573" s="352">
        <v>0.08</v>
      </c>
      <c r="Q573" s="352">
        <v>0.06</v>
      </c>
      <c r="R573" s="352">
        <f t="shared" si="30"/>
        <v>8.9597040176516457E-2</v>
      </c>
      <c r="S573" s="352">
        <f t="shared" si="31"/>
        <v>5.0402959823483556E-2</v>
      </c>
    </row>
    <row r="574" spans="11:19" x14ac:dyDescent="0.3">
      <c r="K574" s="344"/>
      <c r="L574" s="344"/>
      <c r="M574" s="351"/>
      <c r="N574" s="351"/>
      <c r="O574" s="351"/>
      <c r="P574" s="351"/>
      <c r="Q574" s="351"/>
      <c r="R574" s="345"/>
      <c r="S574" s="345"/>
    </row>
    <row r="575" spans="11:19" x14ac:dyDescent="0.3">
      <c r="K575" s="344"/>
      <c r="L575" s="344"/>
      <c r="M575" s="345"/>
      <c r="N575" s="345"/>
      <c r="O575" s="345"/>
      <c r="P575" s="345"/>
      <c r="Q575" s="345"/>
      <c r="R575" s="345"/>
      <c r="S575" s="345"/>
    </row>
    <row r="576" spans="11:19" x14ac:dyDescent="0.3">
      <c r="K576" s="346" t="s">
        <v>703</v>
      </c>
      <c r="L576" s="344"/>
      <c r="M576" s="345"/>
      <c r="N576" s="345"/>
      <c r="O576" s="345"/>
      <c r="P576" s="345"/>
      <c r="Q576" s="345"/>
      <c r="R576" s="345"/>
      <c r="S576" s="345"/>
    </row>
    <row r="577" spans="11:19" x14ac:dyDescent="0.3">
      <c r="K577" s="347" t="s">
        <v>514</v>
      </c>
      <c r="L577" s="347" t="s">
        <v>649</v>
      </c>
      <c r="M577" s="348" t="s">
        <v>650</v>
      </c>
      <c r="N577" s="348" t="s">
        <v>651</v>
      </c>
      <c r="O577" s="348" t="s">
        <v>652</v>
      </c>
      <c r="P577" s="348" t="s">
        <v>653</v>
      </c>
      <c r="Q577" s="348" t="s">
        <v>654</v>
      </c>
      <c r="R577" s="348" t="s">
        <v>655</v>
      </c>
      <c r="S577" s="348" t="s">
        <v>656</v>
      </c>
    </row>
    <row r="578" spans="11:19" x14ac:dyDescent="0.3">
      <c r="K578" s="344">
        <v>7</v>
      </c>
      <c r="L578" s="344">
        <v>1</v>
      </c>
      <c r="M578" s="351">
        <v>0.33</v>
      </c>
      <c r="N578" s="351">
        <v>0.33</v>
      </c>
      <c r="O578" s="351" t="s">
        <v>657</v>
      </c>
      <c r="P578" s="351">
        <v>0.33</v>
      </c>
      <c r="Q578" s="351">
        <v>0.33</v>
      </c>
      <c r="R578" s="345"/>
      <c r="S578" s="345"/>
    </row>
    <row r="579" spans="11:19" x14ac:dyDescent="0.3">
      <c r="K579" s="344">
        <v>8</v>
      </c>
      <c r="L579" s="344">
        <v>10</v>
      </c>
      <c r="M579" s="351">
        <v>0.34599999999999997</v>
      </c>
      <c r="N579" s="351">
        <v>0.35499999999999998</v>
      </c>
      <c r="O579" s="351">
        <v>5.3999999999999999E-2</v>
      </c>
      <c r="P579" s="351">
        <v>0.44</v>
      </c>
      <c r="Q579" s="351">
        <v>0.26</v>
      </c>
      <c r="R579" s="351">
        <f t="shared" si="30"/>
        <v>0.3794695467552221</v>
      </c>
      <c r="S579" s="351">
        <f t="shared" si="31"/>
        <v>0.31253045324477785</v>
      </c>
    </row>
    <row r="580" spans="11:19" x14ac:dyDescent="0.3">
      <c r="K580" s="344">
        <v>9</v>
      </c>
      <c r="L580" s="344">
        <v>17</v>
      </c>
      <c r="M580" s="351">
        <v>0.37709999999999999</v>
      </c>
      <c r="N580" s="351">
        <v>0.39</v>
      </c>
      <c r="O580" s="351">
        <v>4.2689999999999999E-2</v>
      </c>
      <c r="P580" s="351">
        <v>0.45</v>
      </c>
      <c r="Q580" s="351">
        <v>0.26</v>
      </c>
      <c r="R580" s="351">
        <f t="shared" si="30"/>
        <v>0.39739353783229003</v>
      </c>
      <c r="S580" s="351">
        <f t="shared" si="31"/>
        <v>0.35680646216770995</v>
      </c>
    </row>
    <row r="581" spans="11:19" x14ac:dyDescent="0.3">
      <c r="K581" s="344">
        <v>10</v>
      </c>
      <c r="L581" s="344">
        <v>22</v>
      </c>
      <c r="M581" s="351">
        <v>0.36320000000000002</v>
      </c>
      <c r="N581" s="351">
        <v>0.36499999999999999</v>
      </c>
      <c r="O581" s="351">
        <v>4.1329999999999999E-2</v>
      </c>
      <c r="P581" s="351">
        <v>0.43</v>
      </c>
      <c r="Q581" s="351">
        <v>0.3</v>
      </c>
      <c r="R581" s="351">
        <f t="shared" si="30"/>
        <v>0.38047070778967568</v>
      </c>
      <c r="S581" s="351">
        <f t="shared" si="31"/>
        <v>0.34592929221032437</v>
      </c>
    </row>
    <row r="582" spans="11:19" x14ac:dyDescent="0.3">
      <c r="K582" s="344">
        <v>11</v>
      </c>
      <c r="L582" s="344">
        <v>21</v>
      </c>
      <c r="M582" s="351">
        <v>0.36430000000000001</v>
      </c>
      <c r="N582" s="351">
        <v>0.36</v>
      </c>
      <c r="O582" s="351">
        <v>5.4089999999999999E-2</v>
      </c>
      <c r="P582" s="351">
        <v>0.46</v>
      </c>
      <c r="Q582" s="351">
        <v>0.27</v>
      </c>
      <c r="R582" s="351">
        <f t="shared" si="30"/>
        <v>0.38743467513841506</v>
      </c>
      <c r="S582" s="351">
        <f t="shared" si="31"/>
        <v>0.34116532486158496</v>
      </c>
    </row>
    <row r="583" spans="11:19" x14ac:dyDescent="0.3">
      <c r="K583" s="344">
        <v>12</v>
      </c>
      <c r="L583" s="344">
        <v>39</v>
      </c>
      <c r="M583" s="351">
        <v>0.3579</v>
      </c>
      <c r="N583" s="351">
        <v>0.35</v>
      </c>
      <c r="O583" s="351">
        <v>4.6289999999999998E-2</v>
      </c>
      <c r="P583" s="351">
        <v>0.46</v>
      </c>
      <c r="Q583" s="351">
        <v>0.28000000000000003</v>
      </c>
      <c r="R583" s="351">
        <f t="shared" si="30"/>
        <v>0.37242817118968946</v>
      </c>
      <c r="S583" s="351">
        <f t="shared" si="31"/>
        <v>0.34337182881031053</v>
      </c>
    </row>
    <row r="584" spans="11:19" x14ac:dyDescent="0.3">
      <c r="K584" s="344">
        <v>13</v>
      </c>
      <c r="L584" s="344">
        <v>41</v>
      </c>
      <c r="M584" s="351">
        <v>0.36459999999999998</v>
      </c>
      <c r="N584" s="351">
        <v>0.36</v>
      </c>
      <c r="O584" s="351">
        <v>4.8430000000000001E-2</v>
      </c>
      <c r="P584" s="351">
        <v>0.47</v>
      </c>
      <c r="Q584" s="351">
        <v>0.28999999999999998</v>
      </c>
      <c r="R584" s="351">
        <f t="shared" si="30"/>
        <v>0.37942445076499975</v>
      </c>
      <c r="S584" s="351">
        <f t="shared" si="31"/>
        <v>0.3497755492350002</v>
      </c>
    </row>
    <row r="585" spans="11:19" x14ac:dyDescent="0.3">
      <c r="K585" s="344">
        <v>14</v>
      </c>
      <c r="L585" s="344">
        <v>45</v>
      </c>
      <c r="M585" s="351">
        <v>0.36530000000000001</v>
      </c>
      <c r="N585" s="351">
        <v>0.36</v>
      </c>
      <c r="O585" s="351">
        <v>3.8589999999999999E-2</v>
      </c>
      <c r="P585" s="351">
        <v>0.47</v>
      </c>
      <c r="Q585" s="351">
        <v>0.28999999999999998</v>
      </c>
      <c r="R585" s="351">
        <f t="shared" si="30"/>
        <v>0.37657520879822437</v>
      </c>
      <c r="S585" s="351">
        <f t="shared" si="31"/>
        <v>0.35402479120177566</v>
      </c>
    </row>
    <row r="586" spans="11:19" x14ac:dyDescent="0.3">
      <c r="K586" s="344">
        <v>15</v>
      </c>
      <c r="L586" s="344">
        <v>12</v>
      </c>
      <c r="M586" s="351">
        <v>0.3967</v>
      </c>
      <c r="N586" s="351">
        <v>0.39</v>
      </c>
      <c r="O586" s="351">
        <v>4.1849999999999998E-2</v>
      </c>
      <c r="P586" s="351">
        <v>0.46</v>
      </c>
      <c r="Q586" s="351">
        <v>0.34</v>
      </c>
      <c r="R586" s="351">
        <f t="shared" si="30"/>
        <v>0.42037886659027413</v>
      </c>
      <c r="S586" s="351">
        <f t="shared" si="31"/>
        <v>0.37302113340972587</v>
      </c>
    </row>
    <row r="587" spans="11:19" x14ac:dyDescent="0.3">
      <c r="K587" s="344">
        <v>16</v>
      </c>
      <c r="L587" s="344">
        <v>13</v>
      </c>
      <c r="M587" s="351">
        <v>0.39150000000000001</v>
      </c>
      <c r="N587" s="351">
        <v>0.39</v>
      </c>
      <c r="O587" s="351">
        <v>4.1000000000000002E-2</v>
      </c>
      <c r="P587" s="351">
        <v>0.46</v>
      </c>
      <c r="Q587" s="351">
        <v>0.3</v>
      </c>
      <c r="R587" s="351">
        <f t="shared" si="30"/>
        <v>0.4137878538843297</v>
      </c>
      <c r="S587" s="351">
        <f t="shared" si="31"/>
        <v>0.36921214611567033</v>
      </c>
    </row>
    <row r="588" spans="11:19" x14ac:dyDescent="0.3">
      <c r="K588" s="344">
        <v>17</v>
      </c>
      <c r="L588" s="344">
        <v>4</v>
      </c>
      <c r="M588" s="351">
        <v>0.39250000000000002</v>
      </c>
      <c r="N588" s="351">
        <v>0.38500000000000001</v>
      </c>
      <c r="O588" s="351">
        <v>4.1930000000000002E-2</v>
      </c>
      <c r="P588" s="351">
        <v>0.45</v>
      </c>
      <c r="Q588" s="351">
        <v>0.35</v>
      </c>
      <c r="R588" s="351">
        <f t="shared" si="30"/>
        <v>0.43359140000000002</v>
      </c>
      <c r="S588" s="351">
        <f t="shared" si="31"/>
        <v>0.35140860000000002</v>
      </c>
    </row>
    <row r="589" spans="11:19" x14ac:dyDescent="0.3">
      <c r="K589" s="349">
        <v>18</v>
      </c>
      <c r="L589" s="349">
        <v>2</v>
      </c>
      <c r="M589" s="352">
        <v>0.40500000000000003</v>
      </c>
      <c r="N589" s="352">
        <v>0.40500000000000003</v>
      </c>
      <c r="O589" s="352">
        <v>2.121E-2</v>
      </c>
      <c r="P589" s="352">
        <v>0.42</v>
      </c>
      <c r="Q589" s="352">
        <v>0.39</v>
      </c>
      <c r="R589" s="352">
        <f t="shared" si="30"/>
        <v>0.43439556026477472</v>
      </c>
      <c r="S589" s="352">
        <f t="shared" si="31"/>
        <v>0.37560443973522534</v>
      </c>
    </row>
    <row r="590" spans="11:19" x14ac:dyDescent="0.3">
      <c r="K590" s="344"/>
      <c r="L590" s="344"/>
      <c r="M590" s="351"/>
      <c r="N590" s="351"/>
      <c r="O590" s="351"/>
      <c r="P590" s="351"/>
      <c r="Q590" s="351"/>
      <c r="R590" s="345"/>
      <c r="S590" s="345"/>
    </row>
    <row r="591" spans="11:19" x14ac:dyDescent="0.3">
      <c r="K591" s="344"/>
      <c r="L591" s="344"/>
      <c r="M591" s="345"/>
      <c r="N591" s="345"/>
      <c r="O591" s="345"/>
      <c r="P591" s="345"/>
      <c r="Q591" s="345"/>
      <c r="R591" s="345"/>
      <c r="S591" s="345"/>
    </row>
    <row r="592" spans="11:19" x14ac:dyDescent="0.3">
      <c r="K592" s="346" t="s">
        <v>704</v>
      </c>
      <c r="L592" s="344"/>
      <c r="M592" s="345"/>
      <c r="N592" s="345"/>
      <c r="O592" s="345"/>
      <c r="P592" s="345"/>
      <c r="Q592" s="345"/>
      <c r="R592" s="345"/>
      <c r="S592" s="345"/>
    </row>
    <row r="593" spans="11:19" x14ac:dyDescent="0.3">
      <c r="K593" s="347" t="s">
        <v>514</v>
      </c>
      <c r="L593" s="347" t="s">
        <v>649</v>
      </c>
      <c r="M593" s="348" t="s">
        <v>650</v>
      </c>
      <c r="N593" s="348" t="s">
        <v>651</v>
      </c>
      <c r="O593" s="348" t="s">
        <v>652</v>
      </c>
      <c r="P593" s="348" t="s">
        <v>653</v>
      </c>
      <c r="Q593" s="348" t="s">
        <v>654</v>
      </c>
      <c r="R593" s="348" t="s">
        <v>655</v>
      </c>
      <c r="S593" s="348" t="s">
        <v>656</v>
      </c>
    </row>
    <row r="594" spans="11:19" x14ac:dyDescent="0.3">
      <c r="K594" s="344">
        <v>7</v>
      </c>
      <c r="L594" s="344">
        <v>1</v>
      </c>
      <c r="M594" s="351">
        <v>0.35</v>
      </c>
      <c r="N594" s="351">
        <v>0.35</v>
      </c>
      <c r="O594" s="351" t="s">
        <v>657</v>
      </c>
      <c r="P594" s="351">
        <v>0.35</v>
      </c>
      <c r="Q594" s="351">
        <v>0.35</v>
      </c>
      <c r="R594" s="345"/>
      <c r="S594" s="345"/>
    </row>
    <row r="595" spans="11:19" x14ac:dyDescent="0.3">
      <c r="K595" s="344">
        <v>8</v>
      </c>
      <c r="L595" s="344">
        <v>10</v>
      </c>
      <c r="M595" s="351">
        <v>0.34799999999999998</v>
      </c>
      <c r="N595" s="351">
        <v>0.34499999999999997</v>
      </c>
      <c r="O595" s="351">
        <v>2.9739999999999999E-2</v>
      </c>
      <c r="P595" s="351">
        <v>0.41</v>
      </c>
      <c r="Q595" s="351">
        <v>0.31</v>
      </c>
      <c r="R595" s="351">
        <f t="shared" si="30"/>
        <v>0.36643304297222784</v>
      </c>
      <c r="S595" s="351">
        <f t="shared" si="31"/>
        <v>0.32956695702777211</v>
      </c>
    </row>
    <row r="596" spans="11:19" x14ac:dyDescent="0.3">
      <c r="K596" s="344">
        <v>9</v>
      </c>
      <c r="L596" s="344">
        <v>17</v>
      </c>
      <c r="M596" s="351">
        <v>0.33239999999999997</v>
      </c>
      <c r="N596" s="351">
        <v>0.33</v>
      </c>
      <c r="O596" s="351">
        <v>2.682E-2</v>
      </c>
      <c r="P596" s="351">
        <v>0.41</v>
      </c>
      <c r="Q596" s="351">
        <v>0.3</v>
      </c>
      <c r="R596" s="351">
        <f t="shared" si="30"/>
        <v>0.34514941870840987</v>
      </c>
      <c r="S596" s="351">
        <f t="shared" si="31"/>
        <v>0.31965058129159007</v>
      </c>
    </row>
    <row r="597" spans="11:19" x14ac:dyDescent="0.3">
      <c r="K597" s="344">
        <v>10</v>
      </c>
      <c r="L597" s="344">
        <v>22</v>
      </c>
      <c r="M597" s="351">
        <v>0.35320000000000001</v>
      </c>
      <c r="N597" s="351">
        <v>0.35</v>
      </c>
      <c r="O597" s="351">
        <v>3.4139999999999997E-2</v>
      </c>
      <c r="P597" s="351">
        <v>0.43</v>
      </c>
      <c r="Q597" s="351">
        <v>0.3</v>
      </c>
      <c r="R597" s="351">
        <f t="shared" si="30"/>
        <v>0.36746619801450586</v>
      </c>
      <c r="S597" s="351">
        <f t="shared" si="31"/>
        <v>0.33893380198549417</v>
      </c>
    </row>
    <row r="598" spans="11:19" x14ac:dyDescent="0.3">
      <c r="K598" s="344">
        <v>11</v>
      </c>
      <c r="L598" s="344">
        <v>21</v>
      </c>
      <c r="M598" s="351">
        <v>0.35859999999999997</v>
      </c>
      <c r="N598" s="351">
        <v>0.36</v>
      </c>
      <c r="O598" s="351">
        <v>2.613E-2</v>
      </c>
      <c r="P598" s="351">
        <v>0.4</v>
      </c>
      <c r="Q598" s="351">
        <v>0.3</v>
      </c>
      <c r="R598" s="351">
        <f t="shared" si="30"/>
        <v>0.36977598560485825</v>
      </c>
      <c r="S598" s="351">
        <f t="shared" si="31"/>
        <v>0.3474240143951417</v>
      </c>
    </row>
    <row r="599" spans="11:19" x14ac:dyDescent="0.3">
      <c r="K599" s="344">
        <v>12</v>
      </c>
      <c r="L599" s="344">
        <v>39</v>
      </c>
      <c r="M599" s="351">
        <v>0.36359999999999998</v>
      </c>
      <c r="N599" s="351">
        <v>0.37</v>
      </c>
      <c r="O599" s="351">
        <v>3.2399999999999998E-2</v>
      </c>
      <c r="P599" s="351">
        <v>0.43</v>
      </c>
      <c r="Q599" s="351">
        <v>0.3</v>
      </c>
      <c r="R599" s="351">
        <f t="shared" si="30"/>
        <v>0.37376877827923821</v>
      </c>
      <c r="S599" s="351">
        <f t="shared" si="31"/>
        <v>0.35343122172076175</v>
      </c>
    </row>
    <row r="600" spans="11:19" x14ac:dyDescent="0.3">
      <c r="K600" s="344">
        <v>13</v>
      </c>
      <c r="L600" s="344">
        <v>41</v>
      </c>
      <c r="M600" s="351">
        <v>0.37169999999999997</v>
      </c>
      <c r="N600" s="351">
        <v>0.38</v>
      </c>
      <c r="O600" s="351">
        <v>3.209E-2</v>
      </c>
      <c r="P600" s="351">
        <v>0.42</v>
      </c>
      <c r="Q600" s="351">
        <v>0.28999999999999998</v>
      </c>
      <c r="R600" s="351">
        <f t="shared" si="30"/>
        <v>0.3815227673972505</v>
      </c>
      <c r="S600" s="351">
        <f t="shared" si="31"/>
        <v>0.36187723260274945</v>
      </c>
    </row>
    <row r="601" spans="11:19" x14ac:dyDescent="0.3">
      <c r="K601" s="344">
        <v>14</v>
      </c>
      <c r="L601" s="344">
        <v>45</v>
      </c>
      <c r="M601" s="351">
        <v>0.37069999999999997</v>
      </c>
      <c r="N601" s="351">
        <v>0.37</v>
      </c>
      <c r="O601" s="351">
        <v>2.9569999999999999E-2</v>
      </c>
      <c r="P601" s="351">
        <v>0.44</v>
      </c>
      <c r="Q601" s="351">
        <v>0.3</v>
      </c>
      <c r="R601" s="351">
        <f t="shared" si="30"/>
        <v>0.37933974926570335</v>
      </c>
      <c r="S601" s="351">
        <f t="shared" si="31"/>
        <v>0.3620602507342966</v>
      </c>
    </row>
    <row r="602" spans="11:19" x14ac:dyDescent="0.3">
      <c r="K602" s="344">
        <v>15</v>
      </c>
      <c r="L602" s="344">
        <v>12</v>
      </c>
      <c r="M602" s="351">
        <v>0.36080000000000001</v>
      </c>
      <c r="N602" s="351">
        <v>0.36499999999999999</v>
      </c>
      <c r="O602" s="351">
        <v>3.0880000000000001E-2</v>
      </c>
      <c r="P602" s="351">
        <v>0.4</v>
      </c>
      <c r="Q602" s="351">
        <v>0.31</v>
      </c>
      <c r="R602" s="351">
        <f t="shared" si="30"/>
        <v>0.37827200478632417</v>
      </c>
      <c r="S602" s="351">
        <f t="shared" si="31"/>
        <v>0.34332799521367585</v>
      </c>
    </row>
    <row r="603" spans="11:19" x14ac:dyDescent="0.3">
      <c r="K603" s="344">
        <v>16</v>
      </c>
      <c r="L603" s="344">
        <v>13</v>
      </c>
      <c r="M603" s="351">
        <v>0.35460000000000003</v>
      </c>
      <c r="N603" s="351">
        <v>0.35</v>
      </c>
      <c r="O603" s="351">
        <v>3.8429999999999999E-2</v>
      </c>
      <c r="P603" s="351">
        <v>0.43</v>
      </c>
      <c r="Q603" s="351">
        <v>0.3</v>
      </c>
      <c r="R603" s="351">
        <f t="shared" si="30"/>
        <v>0.37549078597011687</v>
      </c>
      <c r="S603" s="351">
        <f t="shared" si="31"/>
        <v>0.33370921402988318</v>
      </c>
    </row>
    <row r="604" spans="11:19" x14ac:dyDescent="0.3">
      <c r="K604" s="344">
        <v>17</v>
      </c>
      <c r="L604" s="344">
        <v>4</v>
      </c>
      <c r="M604" s="351">
        <v>0.35</v>
      </c>
      <c r="N604" s="351">
        <v>0.37</v>
      </c>
      <c r="O604" s="351">
        <v>6.9279999999999994E-2</v>
      </c>
      <c r="P604" s="351">
        <v>0.41</v>
      </c>
      <c r="Q604" s="351">
        <v>0.25</v>
      </c>
      <c r="R604" s="351">
        <f t="shared" si="30"/>
        <v>0.4178944</v>
      </c>
      <c r="S604" s="351">
        <f t="shared" si="31"/>
        <v>0.28210559999999996</v>
      </c>
    </row>
    <row r="605" spans="11:19" x14ac:dyDescent="0.3">
      <c r="K605" s="349">
        <v>18</v>
      </c>
      <c r="L605" s="349">
        <v>2</v>
      </c>
      <c r="M605" s="352">
        <v>0.34499999999999997</v>
      </c>
      <c r="N605" s="352">
        <v>0.34499999999999997</v>
      </c>
      <c r="O605" s="352">
        <v>2.121E-2</v>
      </c>
      <c r="P605" s="352">
        <v>0.36</v>
      </c>
      <c r="Q605" s="352">
        <v>0.33</v>
      </c>
      <c r="R605" s="352">
        <f t="shared" si="30"/>
        <v>0.37439556026477466</v>
      </c>
      <c r="S605" s="352">
        <f t="shared" si="31"/>
        <v>0.31560443973522528</v>
      </c>
    </row>
    <row r="606" spans="11:19" x14ac:dyDescent="0.3">
      <c r="K606" s="344"/>
      <c r="L606" s="344"/>
      <c r="M606" s="351"/>
      <c r="N606" s="351"/>
      <c r="O606" s="351"/>
      <c r="P606" s="351"/>
      <c r="Q606" s="351"/>
      <c r="R606" s="345"/>
      <c r="S606" s="345"/>
    </row>
    <row r="607" spans="11:19" x14ac:dyDescent="0.3">
      <c r="K607" s="344"/>
      <c r="L607" s="344"/>
      <c r="M607" s="345"/>
      <c r="N607" s="345"/>
      <c r="O607" s="345"/>
      <c r="P607" s="345"/>
      <c r="Q607" s="345"/>
      <c r="R607" s="345"/>
      <c r="S607" s="345"/>
    </row>
    <row r="608" spans="11:19" x14ac:dyDescent="0.3">
      <c r="K608" s="346" t="s">
        <v>705</v>
      </c>
      <c r="L608" s="344"/>
      <c r="M608" s="345"/>
      <c r="N608" s="345"/>
      <c r="O608" s="345"/>
      <c r="P608" s="345"/>
      <c r="Q608" s="345"/>
      <c r="R608" s="345"/>
      <c r="S608" s="345"/>
    </row>
    <row r="609" spans="11:19" x14ac:dyDescent="0.3">
      <c r="K609" s="347" t="s">
        <v>514</v>
      </c>
      <c r="L609" s="347" t="s">
        <v>649</v>
      </c>
      <c r="M609" s="348" t="s">
        <v>650</v>
      </c>
      <c r="N609" s="348" t="s">
        <v>651</v>
      </c>
      <c r="O609" s="348" t="s">
        <v>652</v>
      </c>
      <c r="P609" s="348" t="s">
        <v>653</v>
      </c>
      <c r="Q609" s="348" t="s">
        <v>654</v>
      </c>
      <c r="R609" s="348" t="s">
        <v>655</v>
      </c>
      <c r="S609" s="348" t="s">
        <v>656</v>
      </c>
    </row>
    <row r="610" spans="11:19" x14ac:dyDescent="0.3">
      <c r="K610" s="344">
        <v>7</v>
      </c>
      <c r="L610" s="344">
        <v>1</v>
      </c>
      <c r="M610" s="351">
        <v>0.12</v>
      </c>
      <c r="N610" s="351">
        <v>0.12</v>
      </c>
      <c r="O610" s="351" t="s">
        <v>657</v>
      </c>
      <c r="P610" s="351">
        <v>0.12</v>
      </c>
      <c r="Q610" s="351">
        <v>0.12</v>
      </c>
      <c r="R610" s="345"/>
      <c r="S610" s="345"/>
    </row>
    <row r="611" spans="11:19" x14ac:dyDescent="0.3">
      <c r="K611" s="344">
        <v>8</v>
      </c>
      <c r="L611" s="344">
        <v>10</v>
      </c>
      <c r="M611" s="351">
        <v>0.104</v>
      </c>
      <c r="N611" s="351">
        <v>0.11</v>
      </c>
      <c r="O611" s="351">
        <v>1.174E-2</v>
      </c>
      <c r="P611" s="351">
        <v>0.12</v>
      </c>
      <c r="Q611" s="351">
        <v>0.08</v>
      </c>
      <c r="R611" s="351">
        <f t="shared" si="30"/>
        <v>0.11127652738715384</v>
      </c>
      <c r="S611" s="351">
        <f t="shared" si="31"/>
        <v>9.6723472612846154E-2</v>
      </c>
    </row>
    <row r="612" spans="11:19" x14ac:dyDescent="0.3">
      <c r="K612" s="344">
        <v>9</v>
      </c>
      <c r="L612" s="344">
        <v>17</v>
      </c>
      <c r="M612" s="351">
        <v>9.7059999999999994E-2</v>
      </c>
      <c r="N612" s="351">
        <v>0.1</v>
      </c>
      <c r="O612" s="351">
        <v>1.2630000000000001E-2</v>
      </c>
      <c r="P612" s="351">
        <v>0.12</v>
      </c>
      <c r="Q612" s="351">
        <v>7.0000000000000007E-2</v>
      </c>
      <c r="R612" s="351">
        <f t="shared" si="30"/>
        <v>0.1030639208906494</v>
      </c>
      <c r="S612" s="351">
        <f t="shared" si="31"/>
        <v>9.1056079109350582E-2</v>
      </c>
    </row>
    <row r="613" spans="11:19" x14ac:dyDescent="0.3">
      <c r="K613" s="344">
        <v>10</v>
      </c>
      <c r="L613" s="344">
        <v>22</v>
      </c>
      <c r="M613" s="351">
        <v>9.7269999999999995E-2</v>
      </c>
      <c r="N613" s="351">
        <v>0.1</v>
      </c>
      <c r="O613" s="351">
        <v>1.2019999999999999E-2</v>
      </c>
      <c r="P613" s="351">
        <v>0.13</v>
      </c>
      <c r="Q613" s="351">
        <v>0.08</v>
      </c>
      <c r="R613" s="351">
        <f t="shared" si="30"/>
        <v>0.1022928383167651</v>
      </c>
      <c r="S613" s="351">
        <f t="shared" si="31"/>
        <v>9.2247161683234893E-2</v>
      </c>
    </row>
    <row r="614" spans="11:19" x14ac:dyDescent="0.3">
      <c r="K614" s="344">
        <v>11</v>
      </c>
      <c r="L614" s="344">
        <v>21</v>
      </c>
      <c r="M614" s="351">
        <v>9.4759999999999997E-2</v>
      </c>
      <c r="N614" s="351">
        <v>0.09</v>
      </c>
      <c r="O614" s="351">
        <v>1.5689999999999999E-2</v>
      </c>
      <c r="P614" s="351">
        <v>0.13</v>
      </c>
      <c r="Q614" s="351">
        <v>7.0000000000000007E-2</v>
      </c>
      <c r="R614" s="351">
        <f t="shared" si="30"/>
        <v>0.10147072384769333</v>
      </c>
      <c r="S614" s="351">
        <f t="shared" si="31"/>
        <v>8.8049276152306663E-2</v>
      </c>
    </row>
    <row r="615" spans="11:19" x14ac:dyDescent="0.3">
      <c r="K615" s="344">
        <v>12</v>
      </c>
      <c r="L615" s="344">
        <v>39</v>
      </c>
      <c r="M615" s="351">
        <v>9.3590000000000007E-2</v>
      </c>
      <c r="N615" s="351">
        <v>0.09</v>
      </c>
      <c r="O615" s="351">
        <v>9.5940000000000001E-3</v>
      </c>
      <c r="P615" s="351">
        <v>0.11</v>
      </c>
      <c r="Q615" s="351">
        <v>7.0000000000000007E-2</v>
      </c>
      <c r="R615" s="351">
        <f t="shared" si="30"/>
        <v>9.6601088234907775E-2</v>
      </c>
      <c r="S615" s="351">
        <f t="shared" si="31"/>
        <v>9.0578911765092238E-2</v>
      </c>
    </row>
    <row r="616" spans="11:19" x14ac:dyDescent="0.3">
      <c r="K616" s="344">
        <v>13</v>
      </c>
      <c r="L616" s="344">
        <v>41</v>
      </c>
      <c r="M616" s="351">
        <v>8.7559999999999999E-2</v>
      </c>
      <c r="N616" s="351">
        <v>0.09</v>
      </c>
      <c r="O616" s="351">
        <v>1.09E-2</v>
      </c>
      <c r="P616" s="351">
        <v>0.11</v>
      </c>
      <c r="Q616" s="351">
        <v>7.0000000000000007E-2</v>
      </c>
      <c r="R616" s="351">
        <f t="shared" si="30"/>
        <v>9.0896496248988184E-2</v>
      </c>
      <c r="S616" s="351">
        <f t="shared" si="31"/>
        <v>8.4223503751011813E-2</v>
      </c>
    </row>
    <row r="617" spans="11:19" x14ac:dyDescent="0.3">
      <c r="K617" s="344">
        <v>14</v>
      </c>
      <c r="L617" s="344">
        <v>45</v>
      </c>
      <c r="M617" s="351">
        <v>8.8220000000000007E-2</v>
      </c>
      <c r="N617" s="351">
        <v>0.09</v>
      </c>
      <c r="O617" s="351">
        <v>8.0590000000000002E-3</v>
      </c>
      <c r="P617" s="351">
        <v>0.1</v>
      </c>
      <c r="Q617" s="351">
        <v>7.0000000000000007E-2</v>
      </c>
      <c r="R617" s="351">
        <f t="shared" si="30"/>
        <v>9.0574674985874321E-2</v>
      </c>
      <c r="S617" s="351">
        <f t="shared" si="31"/>
        <v>8.5865325014125693E-2</v>
      </c>
    </row>
    <row r="618" spans="11:19" x14ac:dyDescent="0.3">
      <c r="K618" s="344">
        <v>15</v>
      </c>
      <c r="L618" s="344">
        <v>12</v>
      </c>
      <c r="M618" s="351">
        <v>0.08</v>
      </c>
      <c r="N618" s="351">
        <v>0.08</v>
      </c>
      <c r="O618" s="351">
        <v>1.206E-2</v>
      </c>
      <c r="P618" s="351">
        <v>0.1</v>
      </c>
      <c r="Q618" s="351">
        <v>0.06</v>
      </c>
      <c r="R618" s="351">
        <f t="shared" si="30"/>
        <v>8.6823587361498353E-2</v>
      </c>
      <c r="S618" s="351">
        <f t="shared" si="31"/>
        <v>7.3176412638501651E-2</v>
      </c>
    </row>
    <row r="619" spans="11:19" x14ac:dyDescent="0.3">
      <c r="K619" s="344">
        <v>16</v>
      </c>
      <c r="L619" s="344">
        <v>13</v>
      </c>
      <c r="M619" s="351">
        <v>8.6150000000000004E-2</v>
      </c>
      <c r="N619" s="351">
        <v>0.09</v>
      </c>
      <c r="O619" s="351">
        <v>9.6080000000000002E-3</v>
      </c>
      <c r="P619" s="351">
        <v>0.11</v>
      </c>
      <c r="Q619" s="351">
        <v>7.0000000000000007E-2</v>
      </c>
      <c r="R619" s="351">
        <f t="shared" si="30"/>
        <v>9.137296829562537E-2</v>
      </c>
      <c r="S619" s="351">
        <f t="shared" si="31"/>
        <v>8.0927031704374638E-2</v>
      </c>
    </row>
    <row r="620" spans="11:19" x14ac:dyDescent="0.3">
      <c r="K620" s="344">
        <v>17</v>
      </c>
      <c r="L620" s="344">
        <v>4</v>
      </c>
      <c r="M620" s="351">
        <v>8.2500000000000004E-2</v>
      </c>
      <c r="N620" s="351">
        <v>0.08</v>
      </c>
      <c r="O620" s="351">
        <v>5.0000000000000001E-3</v>
      </c>
      <c r="P620" s="351">
        <v>0.09</v>
      </c>
      <c r="Q620" s="351">
        <v>0.08</v>
      </c>
      <c r="R620" s="351">
        <f t="shared" si="30"/>
        <v>8.7400000000000005E-2</v>
      </c>
      <c r="S620" s="351">
        <f t="shared" si="31"/>
        <v>7.7600000000000002E-2</v>
      </c>
    </row>
    <row r="621" spans="11:19" x14ac:dyDescent="0.3">
      <c r="K621" s="349">
        <v>18</v>
      </c>
      <c r="L621" s="349">
        <v>2</v>
      </c>
      <c r="M621" s="352">
        <v>0.08</v>
      </c>
      <c r="N621" s="352">
        <v>0.08</v>
      </c>
      <c r="O621" s="352">
        <v>0</v>
      </c>
      <c r="P621" s="352">
        <v>0.08</v>
      </c>
      <c r="Q621" s="352">
        <v>0.08</v>
      </c>
      <c r="R621" s="352">
        <f t="shared" si="30"/>
        <v>0.08</v>
      </c>
      <c r="S621" s="352">
        <f t="shared" si="31"/>
        <v>0.08</v>
      </c>
    </row>
    <row r="622" spans="11:19" x14ac:dyDescent="0.3">
      <c r="K622" s="344"/>
      <c r="L622" s="344"/>
      <c r="M622" s="351"/>
      <c r="N622" s="351"/>
      <c r="O622" s="351"/>
      <c r="P622" s="351"/>
      <c r="Q622" s="351"/>
      <c r="R622" s="345"/>
      <c r="S622" s="345"/>
    </row>
    <row r="623" spans="11:19" x14ac:dyDescent="0.3">
      <c r="K623" s="344"/>
      <c r="L623" s="344"/>
      <c r="M623" s="345"/>
      <c r="N623" s="345"/>
      <c r="O623" s="345"/>
      <c r="P623" s="345"/>
      <c r="Q623" s="345"/>
      <c r="R623" s="345"/>
      <c r="S623" s="345"/>
    </row>
    <row r="624" spans="11:19" x14ac:dyDescent="0.3">
      <c r="K624" s="346" t="s">
        <v>706</v>
      </c>
      <c r="L624" s="344"/>
      <c r="M624" s="345"/>
      <c r="N624" s="345"/>
      <c r="O624" s="345"/>
      <c r="P624" s="345"/>
      <c r="Q624" s="345"/>
      <c r="R624" s="345"/>
      <c r="S624" s="345"/>
    </row>
    <row r="625" spans="11:19" x14ac:dyDescent="0.3">
      <c r="K625" s="347" t="s">
        <v>514</v>
      </c>
      <c r="L625" s="347" t="s">
        <v>649</v>
      </c>
      <c r="M625" s="348" t="s">
        <v>650</v>
      </c>
      <c r="N625" s="348" t="s">
        <v>651</v>
      </c>
      <c r="O625" s="348" t="s">
        <v>652</v>
      </c>
      <c r="P625" s="348" t="s">
        <v>653</v>
      </c>
      <c r="Q625" s="348" t="s">
        <v>654</v>
      </c>
      <c r="R625" s="348" t="s">
        <v>655</v>
      </c>
      <c r="S625" s="348" t="s">
        <v>656</v>
      </c>
    </row>
    <row r="626" spans="11:19" x14ac:dyDescent="0.3">
      <c r="K626" s="344">
        <v>7</v>
      </c>
      <c r="L626" s="344">
        <v>1</v>
      </c>
      <c r="M626" s="351">
        <v>0.13</v>
      </c>
      <c r="N626" s="351">
        <v>0.13</v>
      </c>
      <c r="O626" s="351" t="s">
        <v>657</v>
      </c>
      <c r="P626" s="351">
        <v>0.13</v>
      </c>
      <c r="Q626" s="351">
        <v>0.13</v>
      </c>
      <c r="R626" s="345"/>
      <c r="S626" s="345"/>
    </row>
    <row r="627" spans="11:19" x14ac:dyDescent="0.3">
      <c r="K627" s="344">
        <v>8</v>
      </c>
      <c r="L627" s="344">
        <v>10</v>
      </c>
      <c r="M627" s="351">
        <v>0.13</v>
      </c>
      <c r="N627" s="351">
        <v>0.13</v>
      </c>
      <c r="O627" s="351">
        <v>1.8859999999999998E-2</v>
      </c>
      <c r="P627" s="351">
        <v>0.16</v>
      </c>
      <c r="Q627" s="351">
        <v>0.1</v>
      </c>
      <c r="R627" s="351">
        <f t="shared" ref="R627:R685" si="32">M627+(1.96*O627)/(L627)^0.5</f>
        <v>0.14168954910747203</v>
      </c>
      <c r="S627" s="351">
        <f t="shared" ref="S627:S685" si="33">M627-(1.96*O627)/(L627)^0.5</f>
        <v>0.11831045089252798</v>
      </c>
    </row>
    <row r="628" spans="11:19" x14ac:dyDescent="0.3">
      <c r="K628" s="344">
        <v>9</v>
      </c>
      <c r="L628" s="344">
        <v>17</v>
      </c>
      <c r="M628" s="351">
        <v>0.1265</v>
      </c>
      <c r="N628" s="351">
        <v>0.13</v>
      </c>
      <c r="O628" s="351">
        <v>1.1690000000000001E-2</v>
      </c>
      <c r="P628" s="351">
        <v>0.14000000000000001</v>
      </c>
      <c r="Q628" s="351">
        <v>0.11</v>
      </c>
      <c r="R628" s="351">
        <f t="shared" si="32"/>
        <v>0.13205707325508248</v>
      </c>
      <c r="S628" s="351">
        <f t="shared" si="33"/>
        <v>0.12094292674491752</v>
      </c>
    </row>
    <row r="629" spans="11:19" x14ac:dyDescent="0.3">
      <c r="K629" s="344">
        <v>10</v>
      </c>
      <c r="L629" s="344">
        <v>22</v>
      </c>
      <c r="M629" s="351">
        <v>0.12180000000000001</v>
      </c>
      <c r="N629" s="351">
        <v>0.13</v>
      </c>
      <c r="O629" s="351">
        <v>1.4019999999999999E-2</v>
      </c>
      <c r="P629" s="351">
        <v>0.14000000000000001</v>
      </c>
      <c r="Q629" s="351">
        <v>0.09</v>
      </c>
      <c r="R629" s="351">
        <f t="shared" si="32"/>
        <v>0.1276585851248791</v>
      </c>
      <c r="S629" s="351">
        <f t="shared" si="33"/>
        <v>0.11594141487512091</v>
      </c>
    </row>
    <row r="630" spans="11:19" x14ac:dyDescent="0.3">
      <c r="K630" s="344">
        <v>11</v>
      </c>
      <c r="L630" s="344">
        <v>21</v>
      </c>
      <c r="M630" s="351">
        <v>0.1205</v>
      </c>
      <c r="N630" s="351">
        <v>0.12</v>
      </c>
      <c r="O630" s="351">
        <v>1.532E-2</v>
      </c>
      <c r="P630" s="351">
        <v>0.14000000000000001</v>
      </c>
      <c r="Q630" s="351">
        <v>0.1</v>
      </c>
      <c r="R630" s="351">
        <f t="shared" si="32"/>
        <v>0.12705247223369417</v>
      </c>
      <c r="S630" s="351">
        <f t="shared" si="33"/>
        <v>0.1139475277663058</v>
      </c>
    </row>
    <row r="631" spans="11:19" x14ac:dyDescent="0.3">
      <c r="K631" s="344">
        <v>12</v>
      </c>
      <c r="L631" s="344">
        <v>39</v>
      </c>
      <c r="M631" s="351">
        <v>0.1208</v>
      </c>
      <c r="N631" s="351">
        <v>0.12</v>
      </c>
      <c r="O631" s="351">
        <v>1.562E-2</v>
      </c>
      <c r="P631" s="351">
        <v>0.17</v>
      </c>
      <c r="Q631" s="351">
        <v>0.09</v>
      </c>
      <c r="R631" s="351">
        <f t="shared" si="32"/>
        <v>0.1257023554543735</v>
      </c>
      <c r="S631" s="351">
        <f t="shared" si="33"/>
        <v>0.1158976445456265</v>
      </c>
    </row>
    <row r="632" spans="11:19" x14ac:dyDescent="0.3">
      <c r="K632" s="344">
        <v>13</v>
      </c>
      <c r="L632" s="344">
        <v>41</v>
      </c>
      <c r="M632" s="351">
        <v>0.1163</v>
      </c>
      <c r="N632" s="351">
        <v>0.12</v>
      </c>
      <c r="O632" s="351">
        <v>1.2800000000000001E-2</v>
      </c>
      <c r="P632" s="351">
        <v>0.14000000000000001</v>
      </c>
      <c r="Q632" s="351">
        <v>0.09</v>
      </c>
      <c r="R632" s="351">
        <f t="shared" si="32"/>
        <v>0.12021808733826135</v>
      </c>
      <c r="S632" s="351">
        <f t="shared" si="33"/>
        <v>0.11238191266173865</v>
      </c>
    </row>
    <row r="633" spans="11:19" x14ac:dyDescent="0.3">
      <c r="K633" s="344">
        <v>14</v>
      </c>
      <c r="L633" s="344">
        <v>45</v>
      </c>
      <c r="M633" s="351">
        <v>0.1162</v>
      </c>
      <c r="N633" s="351">
        <v>0.12</v>
      </c>
      <c r="O633" s="351">
        <v>1.353E-2</v>
      </c>
      <c r="P633" s="351">
        <v>0.14000000000000001</v>
      </c>
      <c r="Q633" s="351">
        <v>0.08</v>
      </c>
      <c r="R633" s="351">
        <f t="shared" si="32"/>
        <v>0.12015318929878142</v>
      </c>
      <c r="S633" s="351">
        <f t="shared" si="33"/>
        <v>0.11224681070121857</v>
      </c>
    </row>
    <row r="634" spans="11:19" x14ac:dyDescent="0.3">
      <c r="K634" s="344">
        <v>15</v>
      </c>
      <c r="L634" s="344">
        <v>12</v>
      </c>
      <c r="M634" s="351">
        <v>0.10249999999999999</v>
      </c>
      <c r="N634" s="351">
        <v>0.1</v>
      </c>
      <c r="O634" s="351">
        <v>1.055E-2</v>
      </c>
      <c r="P634" s="351">
        <v>0.12</v>
      </c>
      <c r="Q634" s="351">
        <v>0.08</v>
      </c>
      <c r="R634" s="351">
        <f t="shared" si="32"/>
        <v>0.10846922443315153</v>
      </c>
      <c r="S634" s="351">
        <f t="shared" si="33"/>
        <v>9.6530775566848456E-2</v>
      </c>
    </row>
    <row r="635" spans="11:19" x14ac:dyDescent="0.3">
      <c r="K635" s="344">
        <v>16</v>
      </c>
      <c r="L635" s="344">
        <v>13</v>
      </c>
      <c r="M635" s="351">
        <v>0.1085</v>
      </c>
      <c r="N635" s="351">
        <v>0.11</v>
      </c>
      <c r="O635" s="351">
        <v>8.0059999999999992E-3</v>
      </c>
      <c r="P635" s="351">
        <v>0.12</v>
      </c>
      <c r="Q635" s="351">
        <v>0.09</v>
      </c>
      <c r="R635" s="351">
        <f t="shared" si="32"/>
        <v>0.1128521111755596</v>
      </c>
      <c r="S635" s="351">
        <f t="shared" si="33"/>
        <v>0.1041478888244404</v>
      </c>
    </row>
    <row r="636" spans="11:19" x14ac:dyDescent="0.3">
      <c r="K636" s="344">
        <v>17</v>
      </c>
      <c r="L636" s="344">
        <v>4</v>
      </c>
      <c r="M636" s="351">
        <v>0.11</v>
      </c>
      <c r="N636" s="351">
        <v>0.105</v>
      </c>
      <c r="O636" s="351">
        <v>2.1600000000000001E-2</v>
      </c>
      <c r="P636" s="351">
        <v>0.14000000000000001</v>
      </c>
      <c r="Q636" s="351">
        <v>0.09</v>
      </c>
      <c r="R636" s="351">
        <f t="shared" si="32"/>
        <v>0.13116800000000001</v>
      </c>
      <c r="S636" s="351">
        <f t="shared" si="33"/>
        <v>8.8831999999999994E-2</v>
      </c>
    </row>
    <row r="637" spans="11:19" x14ac:dyDescent="0.3">
      <c r="K637" s="349">
        <v>18</v>
      </c>
      <c r="L637" s="349">
        <v>2</v>
      </c>
      <c r="M637" s="352">
        <v>0.115</v>
      </c>
      <c r="N637" s="352">
        <v>0.115</v>
      </c>
      <c r="O637" s="352">
        <v>7.071E-3</v>
      </c>
      <c r="P637" s="352">
        <v>0.12</v>
      </c>
      <c r="Q637" s="352">
        <v>0.11</v>
      </c>
      <c r="R637" s="352">
        <f t="shared" si="32"/>
        <v>0.12479990601754935</v>
      </c>
      <c r="S637" s="352">
        <f t="shared" si="33"/>
        <v>0.10520009398245066</v>
      </c>
    </row>
    <row r="638" spans="11:19" x14ac:dyDescent="0.3">
      <c r="K638" s="344"/>
      <c r="L638" s="344"/>
      <c r="M638" s="351"/>
      <c r="N638" s="351"/>
      <c r="O638" s="351"/>
      <c r="P638" s="351"/>
      <c r="Q638" s="351"/>
      <c r="R638" s="345"/>
      <c r="S638" s="345"/>
    </row>
    <row r="639" spans="11:19" x14ac:dyDescent="0.3">
      <c r="K639" s="344"/>
      <c r="L639" s="344"/>
      <c r="M639" s="345"/>
      <c r="N639" s="345"/>
      <c r="O639" s="345"/>
      <c r="P639" s="345"/>
      <c r="Q639" s="345"/>
      <c r="R639" s="345"/>
      <c r="S639" s="345"/>
    </row>
    <row r="640" spans="11:19" x14ac:dyDescent="0.3">
      <c r="K640" s="346" t="s">
        <v>707</v>
      </c>
      <c r="L640" s="344"/>
      <c r="M640" s="345"/>
      <c r="N640" s="345"/>
      <c r="O640" s="345"/>
      <c r="P640" s="345"/>
      <c r="Q640" s="345"/>
      <c r="R640" s="345"/>
      <c r="S640" s="345"/>
    </row>
    <row r="641" spans="11:19" x14ac:dyDescent="0.3">
      <c r="K641" s="347" t="s">
        <v>514</v>
      </c>
      <c r="L641" s="347" t="s">
        <v>649</v>
      </c>
      <c r="M641" s="348" t="s">
        <v>650</v>
      </c>
      <c r="N641" s="348" t="s">
        <v>651</v>
      </c>
      <c r="O641" s="348" t="s">
        <v>652</v>
      </c>
      <c r="P641" s="348" t="s">
        <v>653</v>
      </c>
      <c r="Q641" s="348" t="s">
        <v>654</v>
      </c>
      <c r="R641" s="348" t="s">
        <v>655</v>
      </c>
      <c r="S641" s="348" t="s">
        <v>656</v>
      </c>
    </row>
    <row r="642" spans="11:19" x14ac:dyDescent="0.3">
      <c r="K642" s="344">
        <v>7</v>
      </c>
      <c r="L642" s="344">
        <v>1</v>
      </c>
      <c r="M642" s="351">
        <v>7.0000000000000007E-2</v>
      </c>
      <c r="N642" s="351">
        <v>7.0000000000000007E-2</v>
      </c>
      <c r="O642" s="351" t="s">
        <v>657</v>
      </c>
      <c r="P642" s="351">
        <v>7.0000000000000007E-2</v>
      </c>
      <c r="Q642" s="351">
        <v>7.0000000000000007E-2</v>
      </c>
      <c r="R642" s="345"/>
      <c r="S642" s="345"/>
    </row>
    <row r="643" spans="11:19" x14ac:dyDescent="0.3">
      <c r="K643" s="344">
        <v>8</v>
      </c>
      <c r="L643" s="344">
        <v>10</v>
      </c>
      <c r="M643" s="351">
        <v>7.3999999999999996E-2</v>
      </c>
      <c r="N643" s="351">
        <v>7.0000000000000007E-2</v>
      </c>
      <c r="O643" s="351">
        <v>1.0749999999999999E-2</v>
      </c>
      <c r="P643" s="351">
        <v>0.09</v>
      </c>
      <c r="Q643" s="351">
        <v>0.06</v>
      </c>
      <c r="R643" s="351">
        <f t="shared" si="32"/>
        <v>8.0662919029974772E-2</v>
      </c>
      <c r="S643" s="351">
        <f t="shared" si="33"/>
        <v>6.733708097002522E-2</v>
      </c>
    </row>
    <row r="644" spans="11:19" x14ac:dyDescent="0.3">
      <c r="K644" s="344">
        <v>9</v>
      </c>
      <c r="L644" s="344">
        <v>17</v>
      </c>
      <c r="M644" s="351">
        <v>6.7650000000000002E-2</v>
      </c>
      <c r="N644" s="351">
        <v>7.0000000000000007E-2</v>
      </c>
      <c r="O644" s="351">
        <v>9.7009999999999996E-3</v>
      </c>
      <c r="P644" s="351">
        <v>0.08</v>
      </c>
      <c r="Q644" s="351">
        <v>0.05</v>
      </c>
      <c r="R644" s="351">
        <f t="shared" si="32"/>
        <v>7.2261562673015839E-2</v>
      </c>
      <c r="S644" s="351">
        <f t="shared" si="33"/>
        <v>6.3038437326984165E-2</v>
      </c>
    </row>
    <row r="645" spans="11:19" x14ac:dyDescent="0.3">
      <c r="K645" s="344">
        <v>10</v>
      </c>
      <c r="L645" s="344">
        <v>22</v>
      </c>
      <c r="M645" s="351">
        <v>6.5000000000000002E-2</v>
      </c>
      <c r="N645" s="351">
        <v>7.0000000000000007E-2</v>
      </c>
      <c r="O645" s="351">
        <v>8.5909999999999997E-3</v>
      </c>
      <c r="P645" s="351">
        <v>0.08</v>
      </c>
      <c r="Q645" s="351">
        <v>0.04</v>
      </c>
      <c r="R645" s="351">
        <f t="shared" si="32"/>
        <v>6.8589950414253656E-2</v>
      </c>
      <c r="S645" s="351">
        <f t="shared" si="33"/>
        <v>6.1410049585746349E-2</v>
      </c>
    </row>
    <row r="646" spans="11:19" x14ac:dyDescent="0.3">
      <c r="K646" s="344">
        <v>11</v>
      </c>
      <c r="L646" s="344">
        <v>21</v>
      </c>
      <c r="M646" s="351">
        <v>6.2379999999999998E-2</v>
      </c>
      <c r="N646" s="351">
        <v>0.06</v>
      </c>
      <c r="O646" s="351">
        <v>1.044E-2</v>
      </c>
      <c r="P646" s="351">
        <v>0.08</v>
      </c>
      <c r="Q646" s="351">
        <v>0.05</v>
      </c>
      <c r="R646" s="351">
        <f t="shared" si="32"/>
        <v>6.6845261757164973E-2</v>
      </c>
      <c r="S646" s="351">
        <f t="shared" si="33"/>
        <v>5.791473824283503E-2</v>
      </c>
    </row>
    <row r="647" spans="11:19" x14ac:dyDescent="0.3">
      <c r="K647" s="344">
        <v>12</v>
      </c>
      <c r="L647" s="344">
        <v>39</v>
      </c>
      <c r="M647" s="351">
        <v>6.4360000000000001E-2</v>
      </c>
      <c r="N647" s="351">
        <v>7.0000000000000007E-2</v>
      </c>
      <c r="O647" s="351">
        <v>7.8790000000000006E-3</v>
      </c>
      <c r="P647" s="351">
        <v>0.08</v>
      </c>
      <c r="Q647" s="351">
        <v>0.05</v>
      </c>
      <c r="R647" s="351">
        <f t="shared" si="32"/>
        <v>6.6832833458707358E-2</v>
      </c>
      <c r="S647" s="351">
        <f t="shared" si="33"/>
        <v>6.188716654129265E-2</v>
      </c>
    </row>
    <row r="648" spans="11:19" x14ac:dyDescent="0.3">
      <c r="K648" s="344">
        <v>13</v>
      </c>
      <c r="L648" s="344">
        <v>41</v>
      </c>
      <c r="M648" s="351">
        <v>6.0979999999999999E-2</v>
      </c>
      <c r="N648" s="351">
        <v>0.06</v>
      </c>
      <c r="O648" s="351">
        <v>7.0020000000000004E-3</v>
      </c>
      <c r="P648" s="351">
        <v>7.0000000000000007E-2</v>
      </c>
      <c r="Q648" s="351">
        <v>0.05</v>
      </c>
      <c r="R648" s="351">
        <f t="shared" si="32"/>
        <v>6.3123316214258277E-2</v>
      </c>
      <c r="S648" s="351">
        <f t="shared" si="33"/>
        <v>5.8836683785741722E-2</v>
      </c>
    </row>
    <row r="649" spans="11:19" x14ac:dyDescent="0.3">
      <c r="K649" s="344">
        <v>14</v>
      </c>
      <c r="L649" s="344">
        <v>45</v>
      </c>
      <c r="M649" s="351">
        <v>5.978E-2</v>
      </c>
      <c r="N649" s="351">
        <v>0.06</v>
      </c>
      <c r="O649" s="351">
        <v>6.9049999999999997E-3</v>
      </c>
      <c r="P649" s="351">
        <v>7.0000000000000007E-2</v>
      </c>
      <c r="Q649" s="351">
        <v>0.05</v>
      </c>
      <c r="R649" s="351">
        <f t="shared" si="32"/>
        <v>6.1797499786259112E-2</v>
      </c>
      <c r="S649" s="351">
        <f t="shared" si="33"/>
        <v>5.7762500213740887E-2</v>
      </c>
    </row>
    <row r="650" spans="11:19" x14ac:dyDescent="0.3">
      <c r="K650" s="344">
        <v>15</v>
      </c>
      <c r="L650" s="344">
        <v>12</v>
      </c>
      <c r="M650" s="351">
        <v>5.917E-2</v>
      </c>
      <c r="N650" s="351">
        <v>0.06</v>
      </c>
      <c r="O650" s="351">
        <v>7.9299999999999995E-3</v>
      </c>
      <c r="P650" s="351">
        <v>0.08</v>
      </c>
      <c r="Q650" s="351">
        <v>0.05</v>
      </c>
      <c r="R650" s="351">
        <f t="shared" si="32"/>
        <v>6.3656819881980256E-2</v>
      </c>
      <c r="S650" s="351">
        <f t="shared" si="33"/>
        <v>5.4683180118019745E-2</v>
      </c>
    </row>
    <row r="651" spans="11:19" x14ac:dyDescent="0.3">
      <c r="K651" s="344">
        <v>16</v>
      </c>
      <c r="L651" s="344">
        <v>13</v>
      </c>
      <c r="M651" s="351">
        <v>5.9229999999999998E-2</v>
      </c>
      <c r="N651" s="351">
        <v>0.06</v>
      </c>
      <c r="O651" s="351">
        <v>7.5960000000000003E-3</v>
      </c>
      <c r="P651" s="351">
        <v>7.0000000000000007E-2</v>
      </c>
      <c r="Q651" s="351">
        <v>0.05</v>
      </c>
      <c r="R651" s="351">
        <f t="shared" si="32"/>
        <v>6.3359232636716306E-2</v>
      </c>
      <c r="S651" s="351">
        <f t="shared" si="33"/>
        <v>5.5100767363283697E-2</v>
      </c>
    </row>
    <row r="652" spans="11:19" x14ac:dyDescent="0.3">
      <c r="K652" s="344">
        <v>17</v>
      </c>
      <c r="L652" s="344">
        <v>4</v>
      </c>
      <c r="M652" s="351">
        <v>6.5000000000000002E-2</v>
      </c>
      <c r="N652" s="351">
        <v>0.06</v>
      </c>
      <c r="O652" s="351">
        <v>0.01</v>
      </c>
      <c r="P652" s="351">
        <v>0.08</v>
      </c>
      <c r="Q652" s="351">
        <v>0.06</v>
      </c>
      <c r="R652" s="351">
        <f t="shared" si="32"/>
        <v>7.4800000000000005E-2</v>
      </c>
      <c r="S652" s="351">
        <f t="shared" si="33"/>
        <v>5.5199999999999999E-2</v>
      </c>
    </row>
    <row r="653" spans="11:19" x14ac:dyDescent="0.3">
      <c r="K653" s="349">
        <v>18</v>
      </c>
      <c r="L653" s="349">
        <v>2</v>
      </c>
      <c r="M653" s="352">
        <v>0.06</v>
      </c>
      <c r="N653" s="352">
        <v>0.06</v>
      </c>
      <c r="O653" s="352">
        <v>0</v>
      </c>
      <c r="P653" s="352">
        <v>0.06</v>
      </c>
      <c r="Q653" s="352">
        <v>0.06</v>
      </c>
      <c r="R653" s="352">
        <f t="shared" si="32"/>
        <v>0.06</v>
      </c>
      <c r="S653" s="352">
        <f t="shared" si="33"/>
        <v>0.06</v>
      </c>
    </row>
    <row r="654" spans="11:19" x14ac:dyDescent="0.3">
      <c r="K654" s="344"/>
      <c r="L654" s="344"/>
      <c r="M654" s="351"/>
      <c r="N654" s="351"/>
      <c r="O654" s="351"/>
      <c r="P654" s="351"/>
      <c r="Q654" s="351"/>
      <c r="R654" s="345"/>
      <c r="S654" s="345"/>
    </row>
    <row r="655" spans="11:19" x14ac:dyDescent="0.3">
      <c r="K655" s="344"/>
      <c r="L655" s="344"/>
      <c r="M655" s="345"/>
      <c r="N655" s="345"/>
      <c r="O655" s="345"/>
      <c r="P655" s="345"/>
      <c r="Q655" s="345"/>
      <c r="R655" s="345"/>
      <c r="S655" s="345"/>
    </row>
    <row r="656" spans="11:19" x14ac:dyDescent="0.3">
      <c r="K656" s="346" t="s">
        <v>708</v>
      </c>
      <c r="L656" s="344"/>
      <c r="M656" s="345"/>
      <c r="N656" s="345"/>
      <c r="O656" s="345"/>
      <c r="P656" s="345"/>
      <c r="Q656" s="345"/>
      <c r="R656" s="345"/>
      <c r="S656" s="345"/>
    </row>
    <row r="657" spans="11:19" x14ac:dyDescent="0.3">
      <c r="K657" s="347" t="s">
        <v>514</v>
      </c>
      <c r="L657" s="347" t="s">
        <v>649</v>
      </c>
      <c r="M657" s="348" t="s">
        <v>650</v>
      </c>
      <c r="N657" s="348" t="s">
        <v>651</v>
      </c>
      <c r="O657" s="348" t="s">
        <v>652</v>
      </c>
      <c r="P657" s="348" t="s">
        <v>653</v>
      </c>
      <c r="Q657" s="348" t="s">
        <v>654</v>
      </c>
      <c r="R657" s="348" t="s">
        <v>655</v>
      </c>
      <c r="S657" s="348" t="s">
        <v>656</v>
      </c>
    </row>
    <row r="658" spans="11:19" x14ac:dyDescent="0.3">
      <c r="K658" s="344">
        <v>7</v>
      </c>
      <c r="L658" s="344">
        <v>1</v>
      </c>
      <c r="M658" s="345">
        <v>2.7</v>
      </c>
      <c r="N658" s="345">
        <v>2.7</v>
      </c>
      <c r="O658" s="345" t="s">
        <v>657</v>
      </c>
      <c r="P658" s="345">
        <v>2.7</v>
      </c>
      <c r="Q658" s="345">
        <v>2.7</v>
      </c>
      <c r="R658" s="345"/>
      <c r="S658" s="345"/>
    </row>
    <row r="659" spans="11:19" x14ac:dyDescent="0.3">
      <c r="K659" s="344">
        <v>8</v>
      </c>
      <c r="L659" s="344">
        <v>10</v>
      </c>
      <c r="M659" s="345">
        <v>2.74</v>
      </c>
      <c r="N659" s="345">
        <v>2.75</v>
      </c>
      <c r="O659" s="345">
        <v>0.39800000000000002</v>
      </c>
      <c r="P659" s="345">
        <v>3.4</v>
      </c>
      <c r="Q659" s="345">
        <v>2.2000000000000002</v>
      </c>
      <c r="R659" s="345">
        <f t="shared" si="32"/>
        <v>2.9866829557144152</v>
      </c>
      <c r="S659" s="345">
        <f t="shared" si="33"/>
        <v>2.4933170442855852</v>
      </c>
    </row>
    <row r="660" spans="11:19" x14ac:dyDescent="0.3">
      <c r="K660" s="344">
        <v>9</v>
      </c>
      <c r="L660" s="344">
        <v>17</v>
      </c>
      <c r="M660" s="345">
        <v>2.6760000000000002</v>
      </c>
      <c r="N660" s="345">
        <v>2.8</v>
      </c>
      <c r="O660" s="345">
        <v>0.34899999999999998</v>
      </c>
      <c r="P660" s="345">
        <v>3.2</v>
      </c>
      <c r="Q660" s="345">
        <v>2.1</v>
      </c>
      <c r="R660" s="345">
        <f t="shared" si="32"/>
        <v>2.8419040689498534</v>
      </c>
      <c r="S660" s="345">
        <f t="shared" si="33"/>
        <v>2.5100959310501469</v>
      </c>
    </row>
    <row r="661" spans="11:19" x14ac:dyDescent="0.3">
      <c r="K661" s="344">
        <v>10</v>
      </c>
      <c r="L661" s="344">
        <v>22</v>
      </c>
      <c r="M661" s="345">
        <v>2.927</v>
      </c>
      <c r="N661" s="345">
        <v>2.85</v>
      </c>
      <c r="O661" s="345">
        <v>0.42199999999999999</v>
      </c>
      <c r="P661" s="345">
        <v>4.2</v>
      </c>
      <c r="Q661" s="345">
        <v>2.2999999999999998</v>
      </c>
      <c r="R661" s="345">
        <f t="shared" si="32"/>
        <v>3.1033425765120524</v>
      </c>
      <c r="S661" s="345">
        <f t="shared" si="33"/>
        <v>2.7506574234879477</v>
      </c>
    </row>
    <row r="662" spans="11:19" x14ac:dyDescent="0.3">
      <c r="K662" s="344">
        <v>11</v>
      </c>
      <c r="L662" s="344">
        <v>21</v>
      </c>
      <c r="M662" s="345">
        <v>3</v>
      </c>
      <c r="N662" s="345">
        <v>2.9</v>
      </c>
      <c r="O662" s="345">
        <v>0.36599999999999999</v>
      </c>
      <c r="P662" s="345">
        <v>3.6</v>
      </c>
      <c r="Q662" s="345">
        <v>2.4</v>
      </c>
      <c r="R662" s="345">
        <f t="shared" si="32"/>
        <v>3.1565407857396917</v>
      </c>
      <c r="S662" s="345">
        <f t="shared" si="33"/>
        <v>2.8434592142603083</v>
      </c>
    </row>
    <row r="663" spans="11:19" x14ac:dyDescent="0.3">
      <c r="K663" s="344">
        <v>12</v>
      </c>
      <c r="L663" s="344">
        <v>39</v>
      </c>
      <c r="M663" s="345">
        <v>3.0539999999999998</v>
      </c>
      <c r="N663" s="345">
        <v>3</v>
      </c>
      <c r="O663" s="345">
        <v>0.42199999999999999</v>
      </c>
      <c r="P663" s="345">
        <v>4.0999999999999996</v>
      </c>
      <c r="Q663" s="345">
        <v>2.1</v>
      </c>
      <c r="R663" s="345">
        <f t="shared" si="32"/>
        <v>3.1864451985752633</v>
      </c>
      <c r="S663" s="345">
        <f t="shared" si="33"/>
        <v>2.9215548014247363</v>
      </c>
    </row>
    <row r="664" spans="11:19" x14ac:dyDescent="0.3">
      <c r="K664" s="344">
        <v>13</v>
      </c>
      <c r="L664" s="344">
        <v>41</v>
      </c>
      <c r="M664" s="345">
        <v>3.222</v>
      </c>
      <c r="N664" s="345">
        <v>3.2</v>
      </c>
      <c r="O664" s="345">
        <v>0.37</v>
      </c>
      <c r="P664" s="345">
        <v>4</v>
      </c>
      <c r="Q664" s="345">
        <v>2.4</v>
      </c>
      <c r="R664" s="345">
        <f t="shared" si="32"/>
        <v>3.3352572121216171</v>
      </c>
      <c r="S664" s="345">
        <f t="shared" si="33"/>
        <v>3.1087427878783829</v>
      </c>
    </row>
    <row r="665" spans="11:19" x14ac:dyDescent="0.3">
      <c r="K665" s="344">
        <v>14</v>
      </c>
      <c r="L665" s="344">
        <v>45</v>
      </c>
      <c r="M665" s="345">
        <v>3.22</v>
      </c>
      <c r="N665" s="345">
        <v>3.1</v>
      </c>
      <c r="O665" s="345">
        <v>0.47</v>
      </c>
      <c r="P665" s="345">
        <v>4.7</v>
      </c>
      <c r="Q665" s="345">
        <v>2.4</v>
      </c>
      <c r="R665" s="345">
        <f t="shared" si="32"/>
        <v>3.3573243880581871</v>
      </c>
      <c r="S665" s="345">
        <f t="shared" si="33"/>
        <v>3.0826756119418133</v>
      </c>
    </row>
    <row r="666" spans="11:19" x14ac:dyDescent="0.3">
      <c r="K666" s="344">
        <v>15</v>
      </c>
      <c r="L666" s="344">
        <v>12</v>
      </c>
      <c r="M666" s="345">
        <v>3.5579999999999998</v>
      </c>
      <c r="N666" s="345">
        <v>3.45</v>
      </c>
      <c r="O666" s="345">
        <v>0.56200000000000006</v>
      </c>
      <c r="P666" s="345">
        <v>5</v>
      </c>
      <c r="Q666" s="345">
        <v>3</v>
      </c>
      <c r="R666" s="345">
        <f t="shared" si="32"/>
        <v>3.8759814342588781</v>
      </c>
      <c r="S666" s="345">
        <f t="shared" si="33"/>
        <v>3.2400185657411216</v>
      </c>
    </row>
    <row r="667" spans="11:19" x14ac:dyDescent="0.3">
      <c r="K667" s="344">
        <v>16</v>
      </c>
      <c r="L667" s="344">
        <v>13</v>
      </c>
      <c r="M667" s="345">
        <v>3.254</v>
      </c>
      <c r="N667" s="345">
        <v>3.1</v>
      </c>
      <c r="O667" s="345">
        <v>0.35299999999999998</v>
      </c>
      <c r="P667" s="345">
        <v>3.8</v>
      </c>
      <c r="Q667" s="345">
        <v>2.7</v>
      </c>
      <c r="R667" s="345">
        <f t="shared" si="32"/>
        <v>3.4458929858821556</v>
      </c>
      <c r="S667" s="345">
        <f t="shared" si="33"/>
        <v>3.0621070141178444</v>
      </c>
    </row>
    <row r="668" spans="11:19" x14ac:dyDescent="0.3">
      <c r="K668" s="344">
        <v>17</v>
      </c>
      <c r="L668" s="344">
        <v>4</v>
      </c>
      <c r="M668" s="345">
        <v>3.3250000000000002</v>
      </c>
      <c r="N668" s="345">
        <v>3.55</v>
      </c>
      <c r="O668" s="345">
        <v>1.1000000000000001</v>
      </c>
      <c r="P668" s="345">
        <v>4.4000000000000004</v>
      </c>
      <c r="Q668" s="345">
        <v>1.8</v>
      </c>
      <c r="R668" s="345">
        <f t="shared" si="32"/>
        <v>4.4030000000000005</v>
      </c>
      <c r="S668" s="345">
        <f t="shared" si="33"/>
        <v>2.2469999999999999</v>
      </c>
    </row>
    <row r="669" spans="11:19" x14ac:dyDescent="0.3">
      <c r="K669" s="349">
        <v>18</v>
      </c>
      <c r="L669" s="349">
        <v>2</v>
      </c>
      <c r="M669" s="350">
        <v>3.05</v>
      </c>
      <c r="N669" s="350">
        <v>3.05</v>
      </c>
      <c r="O669" s="350">
        <v>0.35399999999999998</v>
      </c>
      <c r="P669" s="350">
        <v>3.3</v>
      </c>
      <c r="Q669" s="350">
        <v>2.8</v>
      </c>
      <c r="R669" s="350">
        <f t="shared" si="32"/>
        <v>3.5406189690584737</v>
      </c>
      <c r="S669" s="350">
        <f t="shared" si="33"/>
        <v>2.5593810309415259</v>
      </c>
    </row>
    <row r="670" spans="11:19" x14ac:dyDescent="0.3">
      <c r="K670" s="344"/>
      <c r="L670" s="344"/>
      <c r="M670" s="345"/>
      <c r="N670" s="345"/>
      <c r="O670" s="345"/>
      <c r="P670" s="345"/>
      <c r="Q670" s="345"/>
      <c r="R670" s="345"/>
      <c r="S670" s="345"/>
    </row>
    <row r="671" spans="11:19" x14ac:dyDescent="0.3">
      <c r="K671" s="344"/>
      <c r="L671" s="344"/>
      <c r="M671" s="345"/>
      <c r="N671" s="345"/>
      <c r="O671" s="345"/>
      <c r="P671" s="345"/>
      <c r="Q671" s="345"/>
      <c r="R671" s="345"/>
      <c r="S671" s="345"/>
    </row>
    <row r="672" spans="11:19" x14ac:dyDescent="0.3">
      <c r="K672" s="346" t="s">
        <v>709</v>
      </c>
      <c r="L672" s="344"/>
      <c r="M672" s="345"/>
      <c r="N672" s="345"/>
      <c r="O672" s="345"/>
      <c r="P672" s="345"/>
      <c r="Q672" s="345"/>
      <c r="R672" s="345"/>
      <c r="S672" s="345"/>
    </row>
    <row r="673" spans="11:19" x14ac:dyDescent="0.3">
      <c r="K673" s="347" t="s">
        <v>514</v>
      </c>
      <c r="L673" s="347" t="s">
        <v>649</v>
      </c>
      <c r="M673" s="348" t="s">
        <v>650</v>
      </c>
      <c r="N673" s="348" t="s">
        <v>651</v>
      </c>
      <c r="O673" s="348" t="s">
        <v>652</v>
      </c>
      <c r="P673" s="348" t="s">
        <v>653</v>
      </c>
      <c r="Q673" s="348" t="s">
        <v>654</v>
      </c>
      <c r="R673" s="348" t="s">
        <v>655</v>
      </c>
      <c r="S673" s="348" t="s">
        <v>656</v>
      </c>
    </row>
    <row r="674" spans="11:19" x14ac:dyDescent="0.3">
      <c r="K674" s="344">
        <v>7</v>
      </c>
      <c r="L674" s="344">
        <v>1</v>
      </c>
      <c r="M674" s="345">
        <v>8.9</v>
      </c>
      <c r="N674" s="345">
        <v>8.9</v>
      </c>
      <c r="O674" s="345" t="s">
        <v>657</v>
      </c>
      <c r="P674" s="345">
        <v>8.9</v>
      </c>
      <c r="Q674" s="345">
        <v>8.9</v>
      </c>
      <c r="R674" s="345"/>
      <c r="S674" s="345"/>
    </row>
    <row r="675" spans="11:19" x14ac:dyDescent="0.3">
      <c r="K675" s="344">
        <v>8</v>
      </c>
      <c r="L675" s="344">
        <v>10</v>
      </c>
      <c r="M675" s="345">
        <v>10.08</v>
      </c>
      <c r="N675" s="345">
        <v>9.0500000000000007</v>
      </c>
      <c r="O675" s="345">
        <v>3.4990000000000001</v>
      </c>
      <c r="P675" s="345">
        <v>17.399999999999999</v>
      </c>
      <c r="Q675" s="345">
        <v>5.2</v>
      </c>
      <c r="R675" s="345">
        <f t="shared" si="32"/>
        <v>12.248702668454115</v>
      </c>
      <c r="S675" s="345">
        <f t="shared" si="33"/>
        <v>7.9112973315458852</v>
      </c>
    </row>
    <row r="676" spans="11:19" x14ac:dyDescent="0.3">
      <c r="K676" s="344">
        <v>9</v>
      </c>
      <c r="L676" s="344">
        <v>17</v>
      </c>
      <c r="M676" s="345">
        <v>12.859</v>
      </c>
      <c r="N676" s="345">
        <v>12.6</v>
      </c>
      <c r="O676" s="345">
        <v>3.423</v>
      </c>
      <c r="P676" s="345">
        <v>20.3</v>
      </c>
      <c r="Q676" s="345">
        <v>6.7</v>
      </c>
      <c r="R676" s="345">
        <f t="shared" si="32"/>
        <v>14.486190911218761</v>
      </c>
      <c r="S676" s="345">
        <f t="shared" si="33"/>
        <v>11.231809088781239</v>
      </c>
    </row>
    <row r="677" spans="11:19" x14ac:dyDescent="0.3">
      <c r="K677" s="344">
        <v>10</v>
      </c>
      <c r="L677" s="344">
        <v>22</v>
      </c>
      <c r="M677" s="345">
        <v>13.85</v>
      </c>
      <c r="N677" s="345">
        <v>12.4</v>
      </c>
      <c r="O677" s="345">
        <v>3.786</v>
      </c>
      <c r="P677" s="345">
        <v>24</v>
      </c>
      <c r="Q677" s="345">
        <v>9.1999999999999993</v>
      </c>
      <c r="R677" s="345">
        <f t="shared" si="32"/>
        <v>15.432068707759788</v>
      </c>
      <c r="S677" s="345">
        <f t="shared" si="33"/>
        <v>12.267931292240212</v>
      </c>
    </row>
    <row r="678" spans="11:19" x14ac:dyDescent="0.3">
      <c r="K678" s="344">
        <v>11</v>
      </c>
      <c r="L678" s="344">
        <v>21</v>
      </c>
      <c r="M678" s="345">
        <v>15.871</v>
      </c>
      <c r="N678" s="345">
        <v>14.9</v>
      </c>
      <c r="O678" s="345">
        <v>5.2249999999999996</v>
      </c>
      <c r="P678" s="345">
        <v>25</v>
      </c>
      <c r="Q678" s="345">
        <v>7.4</v>
      </c>
      <c r="R678" s="345">
        <f t="shared" si="32"/>
        <v>18.105769413906799</v>
      </c>
      <c r="S678" s="345">
        <f t="shared" si="33"/>
        <v>13.636230586093202</v>
      </c>
    </row>
    <row r="679" spans="11:19" x14ac:dyDescent="0.3">
      <c r="K679" s="344">
        <v>12</v>
      </c>
      <c r="L679" s="344">
        <v>39</v>
      </c>
      <c r="M679" s="345">
        <v>16.044</v>
      </c>
      <c r="N679" s="345">
        <v>15.5</v>
      </c>
      <c r="O679" s="345">
        <v>4.6130000000000004</v>
      </c>
      <c r="P679" s="345">
        <v>30.2</v>
      </c>
      <c r="Q679" s="345">
        <v>8.5</v>
      </c>
      <c r="R679" s="345">
        <f t="shared" si="32"/>
        <v>17.491795500065621</v>
      </c>
      <c r="S679" s="345">
        <f t="shared" si="33"/>
        <v>14.596204499934382</v>
      </c>
    </row>
    <row r="680" spans="11:19" x14ac:dyDescent="0.3">
      <c r="K680" s="344">
        <v>13</v>
      </c>
      <c r="L680" s="344">
        <v>41</v>
      </c>
      <c r="M680" s="345">
        <v>18.129000000000001</v>
      </c>
      <c r="N680" s="345">
        <v>16.899999999999999</v>
      </c>
      <c r="O680" s="345">
        <v>5.5149999999999997</v>
      </c>
      <c r="P680" s="345">
        <v>34.6</v>
      </c>
      <c r="Q680" s="345">
        <v>10.199999999999999</v>
      </c>
      <c r="R680" s="345">
        <f t="shared" si="32"/>
        <v>19.8171446617587</v>
      </c>
      <c r="S680" s="345">
        <f t="shared" si="33"/>
        <v>16.440855338241303</v>
      </c>
    </row>
    <row r="681" spans="11:19" x14ac:dyDescent="0.3">
      <c r="K681" s="344">
        <v>14</v>
      </c>
      <c r="L681" s="344">
        <v>45</v>
      </c>
      <c r="M681" s="345">
        <v>19.141999999999999</v>
      </c>
      <c r="N681" s="345">
        <v>18.100000000000001</v>
      </c>
      <c r="O681" s="345">
        <v>4.3140000000000001</v>
      </c>
      <c r="P681" s="345">
        <v>33.200000000000003</v>
      </c>
      <c r="Q681" s="345">
        <v>13.1</v>
      </c>
      <c r="R681" s="345">
        <f t="shared" si="32"/>
        <v>20.402462574644719</v>
      </c>
      <c r="S681" s="345">
        <f t="shared" si="33"/>
        <v>17.88153742535528</v>
      </c>
    </row>
    <row r="682" spans="11:19" x14ac:dyDescent="0.3">
      <c r="K682" s="344">
        <v>15</v>
      </c>
      <c r="L682" s="344">
        <v>12</v>
      </c>
      <c r="M682" s="345">
        <v>21.158000000000001</v>
      </c>
      <c r="N682" s="345">
        <v>21.45</v>
      </c>
      <c r="O682" s="345">
        <v>4.1980000000000004</v>
      </c>
      <c r="P682" s="345">
        <v>30.2</v>
      </c>
      <c r="Q682" s="345">
        <v>15</v>
      </c>
      <c r="R682" s="345">
        <f t="shared" si="32"/>
        <v>23.533242101456889</v>
      </c>
      <c r="S682" s="345">
        <f t="shared" si="33"/>
        <v>18.782757898543114</v>
      </c>
    </row>
    <row r="683" spans="11:19" x14ac:dyDescent="0.3">
      <c r="K683" s="344">
        <v>16</v>
      </c>
      <c r="L683" s="344">
        <v>13</v>
      </c>
      <c r="M683" s="345">
        <v>20.446000000000002</v>
      </c>
      <c r="N683" s="345">
        <v>19.899999999999999</v>
      </c>
      <c r="O683" s="345">
        <v>3.8250000000000002</v>
      </c>
      <c r="P683" s="345">
        <v>29.8</v>
      </c>
      <c r="Q683" s="345">
        <v>13.8</v>
      </c>
      <c r="R683" s="345">
        <f t="shared" si="32"/>
        <v>22.525293685550274</v>
      </c>
      <c r="S683" s="345">
        <f t="shared" si="33"/>
        <v>18.366706314449729</v>
      </c>
    </row>
    <row r="684" spans="11:19" x14ac:dyDescent="0.3">
      <c r="K684" s="344">
        <v>17</v>
      </c>
      <c r="L684" s="344">
        <v>4</v>
      </c>
      <c r="M684" s="345">
        <v>18.774999999999999</v>
      </c>
      <c r="N684" s="345">
        <v>19.149999999999999</v>
      </c>
      <c r="O684" s="345">
        <v>1.35</v>
      </c>
      <c r="P684" s="345">
        <v>19.899999999999999</v>
      </c>
      <c r="Q684" s="345">
        <v>16.899999999999999</v>
      </c>
      <c r="R684" s="345">
        <f t="shared" si="32"/>
        <v>20.097999999999999</v>
      </c>
      <c r="S684" s="345">
        <f t="shared" si="33"/>
        <v>17.451999999999998</v>
      </c>
    </row>
    <row r="685" spans="11:19" x14ac:dyDescent="0.3">
      <c r="K685" s="349">
        <v>18</v>
      </c>
      <c r="L685" s="349">
        <v>2</v>
      </c>
      <c r="M685" s="350">
        <v>21.75</v>
      </c>
      <c r="N685" s="350">
        <v>21.75</v>
      </c>
      <c r="O685" s="350">
        <v>2.1920000000000002</v>
      </c>
      <c r="P685" s="350">
        <v>23.3</v>
      </c>
      <c r="Q685" s="350">
        <v>20.2</v>
      </c>
      <c r="R685" s="350">
        <f t="shared" si="32"/>
        <v>24.787957006147387</v>
      </c>
      <c r="S685" s="350">
        <f t="shared" si="33"/>
        <v>18.712042993852613</v>
      </c>
    </row>
    <row r="686" spans="11:19" x14ac:dyDescent="0.3">
      <c r="K686" s="344"/>
      <c r="L686" s="344"/>
      <c r="M686" s="345"/>
      <c r="N686" s="345"/>
      <c r="O686" s="345"/>
      <c r="P686" s="345"/>
      <c r="Q686" s="345"/>
      <c r="R686" s="345"/>
      <c r="S686" s="345"/>
    </row>
    <row r="687" spans="11:19" x14ac:dyDescent="0.3">
      <c r="K687" s="344"/>
      <c r="L687" s="344"/>
      <c r="M687" s="345"/>
      <c r="N687" s="345"/>
      <c r="O687" s="345"/>
      <c r="P687" s="345"/>
      <c r="Q687" s="345"/>
      <c r="R687" s="345"/>
      <c r="S687" s="345"/>
    </row>
    <row r="688" spans="11:19" x14ac:dyDescent="0.3">
      <c r="K688" s="346" t="s">
        <v>710</v>
      </c>
      <c r="L688" s="344"/>
      <c r="M688" s="345"/>
      <c r="N688" s="345"/>
      <c r="O688" s="345"/>
      <c r="P688" s="345"/>
      <c r="Q688" s="345"/>
      <c r="R688" s="345"/>
      <c r="S688" s="345"/>
    </row>
    <row r="689" spans="11:19" x14ac:dyDescent="0.3">
      <c r="K689" s="347" t="s">
        <v>514</v>
      </c>
      <c r="L689" s="347" t="s">
        <v>649</v>
      </c>
      <c r="M689" s="348" t="s">
        <v>650</v>
      </c>
      <c r="N689" s="348" t="s">
        <v>651</v>
      </c>
      <c r="O689" s="348" t="s">
        <v>652</v>
      </c>
      <c r="P689" s="348" t="s">
        <v>653</v>
      </c>
      <c r="Q689" s="348" t="s">
        <v>654</v>
      </c>
      <c r="R689" s="348" t="s">
        <v>655</v>
      </c>
      <c r="S689" s="348" t="s">
        <v>656</v>
      </c>
    </row>
    <row r="690" spans="11:19" x14ac:dyDescent="0.3">
      <c r="K690" s="344">
        <v>7</v>
      </c>
      <c r="L690" s="344">
        <v>1</v>
      </c>
      <c r="M690" s="345">
        <v>9.5</v>
      </c>
      <c r="N690" s="345">
        <v>9.5</v>
      </c>
      <c r="O690" s="345" t="s">
        <v>657</v>
      </c>
      <c r="P690" s="345">
        <v>9.5</v>
      </c>
      <c r="Q690" s="345">
        <v>9.5</v>
      </c>
      <c r="R690" s="345"/>
      <c r="S690" s="345"/>
    </row>
    <row r="691" spans="11:19" x14ac:dyDescent="0.3">
      <c r="K691" s="344">
        <v>8</v>
      </c>
      <c r="L691" s="344">
        <v>10</v>
      </c>
      <c r="M691" s="345">
        <v>9.83</v>
      </c>
      <c r="N691" s="345">
        <v>9.65</v>
      </c>
      <c r="O691" s="345">
        <v>1.837</v>
      </c>
      <c r="P691" s="345">
        <v>12.9</v>
      </c>
      <c r="Q691" s="345">
        <v>7.5</v>
      </c>
      <c r="R691" s="345">
        <f t="shared" ref="R691:R749" si="34">M691+(1.96*O691)/(L691)^0.5</f>
        <v>10.968584396098946</v>
      </c>
      <c r="S691" s="345">
        <f t="shared" ref="S691:S749" si="35">M691-(1.96*O691)/(L691)^0.5</f>
        <v>8.6914156039010546</v>
      </c>
    </row>
    <row r="692" spans="11:19" x14ac:dyDescent="0.3">
      <c r="K692" s="344">
        <v>9</v>
      </c>
      <c r="L692" s="344">
        <v>17</v>
      </c>
      <c r="M692" s="345">
        <v>11.129</v>
      </c>
      <c r="N692" s="345">
        <v>10.7</v>
      </c>
      <c r="O692" s="345">
        <v>1.95</v>
      </c>
      <c r="P692" s="345">
        <v>15.2</v>
      </c>
      <c r="Q692" s="345">
        <v>8.3000000000000007</v>
      </c>
      <c r="R692" s="345">
        <f t="shared" si="34"/>
        <v>12.055971158888864</v>
      </c>
      <c r="S692" s="345">
        <f t="shared" si="35"/>
        <v>10.202028841111135</v>
      </c>
    </row>
    <row r="693" spans="11:19" x14ac:dyDescent="0.3">
      <c r="K693" s="344">
        <v>10</v>
      </c>
      <c r="L693" s="344">
        <v>22</v>
      </c>
      <c r="M693" s="345">
        <v>13.691000000000001</v>
      </c>
      <c r="N693" s="345">
        <v>12.7</v>
      </c>
      <c r="O693" s="345">
        <v>4.9169999999999998</v>
      </c>
      <c r="P693" s="345">
        <v>33</v>
      </c>
      <c r="Q693" s="345">
        <v>7.5</v>
      </c>
      <c r="R693" s="345">
        <f t="shared" si="34"/>
        <v>15.745683527748252</v>
      </c>
      <c r="S693" s="345">
        <f t="shared" si="35"/>
        <v>11.63631647225175</v>
      </c>
    </row>
    <row r="694" spans="11:19" x14ac:dyDescent="0.3">
      <c r="K694" s="344">
        <v>11</v>
      </c>
      <c r="L694" s="344">
        <v>21</v>
      </c>
      <c r="M694" s="345">
        <v>15.21</v>
      </c>
      <c r="N694" s="345">
        <v>14.7</v>
      </c>
      <c r="O694" s="345">
        <v>3.3919999999999999</v>
      </c>
      <c r="P694" s="345">
        <v>21.8</v>
      </c>
      <c r="Q694" s="345">
        <v>9.3000000000000007</v>
      </c>
      <c r="R694" s="345">
        <f t="shared" si="34"/>
        <v>16.660782364013755</v>
      </c>
      <c r="S694" s="345">
        <f t="shared" si="35"/>
        <v>13.759217635986248</v>
      </c>
    </row>
    <row r="695" spans="11:19" x14ac:dyDescent="0.3">
      <c r="K695" s="344">
        <v>12</v>
      </c>
      <c r="L695" s="344">
        <v>39</v>
      </c>
      <c r="M695" s="345">
        <v>16.079000000000001</v>
      </c>
      <c r="N695" s="345">
        <v>16.2</v>
      </c>
      <c r="O695" s="345">
        <v>3.33</v>
      </c>
      <c r="P695" s="345">
        <v>25.7</v>
      </c>
      <c r="Q695" s="345">
        <v>10.4</v>
      </c>
      <c r="R695" s="345">
        <f t="shared" si="34"/>
        <v>17.124124434255044</v>
      </c>
      <c r="S695" s="345">
        <f t="shared" si="35"/>
        <v>15.033875565744959</v>
      </c>
    </row>
    <row r="696" spans="11:19" x14ac:dyDescent="0.3">
      <c r="K696" s="344">
        <v>13</v>
      </c>
      <c r="L696" s="344">
        <v>41</v>
      </c>
      <c r="M696" s="345">
        <v>18.161000000000001</v>
      </c>
      <c r="N696" s="345">
        <v>17.7</v>
      </c>
      <c r="O696" s="345">
        <v>3.4430000000000001</v>
      </c>
      <c r="P696" s="345">
        <v>25.2</v>
      </c>
      <c r="Q696" s="345">
        <v>12.5</v>
      </c>
      <c r="R696" s="345">
        <f t="shared" si="34"/>
        <v>19.214904273877643</v>
      </c>
      <c r="S696" s="345">
        <f t="shared" si="35"/>
        <v>17.10709572612236</v>
      </c>
    </row>
    <row r="697" spans="11:19" x14ac:dyDescent="0.3">
      <c r="K697" s="344">
        <v>14</v>
      </c>
      <c r="L697" s="344">
        <v>45</v>
      </c>
      <c r="M697" s="345">
        <v>19.257999999999999</v>
      </c>
      <c r="N697" s="345">
        <v>18.3</v>
      </c>
      <c r="O697" s="345">
        <v>3.4460000000000002</v>
      </c>
      <c r="P697" s="345">
        <v>28.2</v>
      </c>
      <c r="Q697" s="345">
        <v>13.4</v>
      </c>
      <c r="R697" s="345">
        <f t="shared" si="34"/>
        <v>20.264850726060665</v>
      </c>
      <c r="S697" s="345">
        <f t="shared" si="35"/>
        <v>18.251149273939333</v>
      </c>
    </row>
    <row r="698" spans="11:19" x14ac:dyDescent="0.3">
      <c r="K698" s="344">
        <v>15</v>
      </c>
      <c r="L698" s="344">
        <v>12</v>
      </c>
      <c r="M698" s="345">
        <v>19.074999999999999</v>
      </c>
      <c r="N698" s="345">
        <v>19.899999999999999</v>
      </c>
      <c r="O698" s="345">
        <v>2.339</v>
      </c>
      <c r="P698" s="345">
        <v>21.5</v>
      </c>
      <c r="Q698" s="345">
        <v>14.8</v>
      </c>
      <c r="R698" s="345">
        <f t="shared" si="34"/>
        <v>20.398413834041843</v>
      </c>
      <c r="S698" s="345">
        <f t="shared" si="35"/>
        <v>17.751586165958155</v>
      </c>
    </row>
    <row r="699" spans="11:19" x14ac:dyDescent="0.3">
      <c r="K699" s="344">
        <v>16</v>
      </c>
      <c r="L699" s="344">
        <v>13</v>
      </c>
      <c r="M699" s="345">
        <v>18.268999999999998</v>
      </c>
      <c r="N699" s="345">
        <v>18.2</v>
      </c>
      <c r="O699" s="345">
        <v>2.2749999999999999</v>
      </c>
      <c r="P699" s="345">
        <v>21.7</v>
      </c>
      <c r="Q699" s="345">
        <v>14.9</v>
      </c>
      <c r="R699" s="345">
        <f t="shared" si="34"/>
        <v>19.505704087484148</v>
      </c>
      <c r="S699" s="345">
        <f t="shared" si="35"/>
        <v>17.032295912515849</v>
      </c>
    </row>
    <row r="700" spans="11:19" x14ac:dyDescent="0.3">
      <c r="K700" s="344">
        <v>17</v>
      </c>
      <c r="L700" s="344">
        <v>4</v>
      </c>
      <c r="M700" s="345">
        <v>17</v>
      </c>
      <c r="N700" s="345">
        <v>18.55</v>
      </c>
      <c r="O700" s="345">
        <v>3.8340000000000001</v>
      </c>
      <c r="P700" s="345">
        <v>19.600000000000001</v>
      </c>
      <c r="Q700" s="345">
        <v>11.3</v>
      </c>
      <c r="R700" s="345">
        <f t="shared" si="34"/>
        <v>20.75732</v>
      </c>
      <c r="S700" s="345">
        <f t="shared" si="35"/>
        <v>13.24268</v>
      </c>
    </row>
    <row r="701" spans="11:19" x14ac:dyDescent="0.3">
      <c r="K701" s="349">
        <v>18</v>
      </c>
      <c r="L701" s="349">
        <v>2</v>
      </c>
      <c r="M701" s="350">
        <v>18.75</v>
      </c>
      <c r="N701" s="350">
        <v>18.75</v>
      </c>
      <c r="O701" s="350">
        <v>4.1719999999999997</v>
      </c>
      <c r="P701" s="350">
        <v>21.7</v>
      </c>
      <c r="Q701" s="350">
        <v>15.8</v>
      </c>
      <c r="R701" s="350">
        <f t="shared" si="34"/>
        <v>24.53209700257614</v>
      </c>
      <c r="S701" s="350">
        <f t="shared" si="35"/>
        <v>12.96790299742386</v>
      </c>
    </row>
    <row r="702" spans="11:19" x14ac:dyDescent="0.3">
      <c r="K702" s="344"/>
      <c r="L702" s="344"/>
      <c r="M702" s="345"/>
      <c r="N702" s="345"/>
      <c r="O702" s="345"/>
      <c r="P702" s="345"/>
      <c r="Q702" s="345"/>
      <c r="R702" s="345"/>
      <c r="S702" s="345"/>
    </row>
    <row r="703" spans="11:19" x14ac:dyDescent="0.3">
      <c r="K703" s="344"/>
      <c r="L703" s="344"/>
      <c r="M703" s="345"/>
      <c r="N703" s="345"/>
      <c r="O703" s="345"/>
      <c r="P703" s="345"/>
      <c r="Q703" s="345"/>
      <c r="R703" s="345"/>
      <c r="S703" s="345"/>
    </row>
    <row r="704" spans="11:19" x14ac:dyDescent="0.3">
      <c r="K704" s="346" t="s">
        <v>711</v>
      </c>
      <c r="L704" s="344"/>
      <c r="M704" s="345"/>
      <c r="N704" s="345"/>
      <c r="O704" s="345"/>
      <c r="P704" s="345"/>
      <c r="Q704" s="345"/>
      <c r="R704" s="345"/>
      <c r="S704" s="345"/>
    </row>
    <row r="705" spans="11:19" x14ac:dyDescent="0.3">
      <c r="K705" s="347" t="s">
        <v>514</v>
      </c>
      <c r="L705" s="347" t="s">
        <v>649</v>
      </c>
      <c r="M705" s="348" t="s">
        <v>650</v>
      </c>
      <c r="N705" s="348" t="s">
        <v>651</v>
      </c>
      <c r="O705" s="348" t="s">
        <v>652</v>
      </c>
      <c r="P705" s="348" t="s">
        <v>653</v>
      </c>
      <c r="Q705" s="348" t="s">
        <v>654</v>
      </c>
      <c r="R705" s="348" t="s">
        <v>655</v>
      </c>
      <c r="S705" s="348" t="s">
        <v>656</v>
      </c>
    </row>
    <row r="706" spans="11:19" x14ac:dyDescent="0.3">
      <c r="K706" s="344">
        <v>7</v>
      </c>
      <c r="L706" s="344">
        <v>1</v>
      </c>
      <c r="M706" s="345">
        <v>3.3</v>
      </c>
      <c r="N706" s="345">
        <v>3.3</v>
      </c>
      <c r="O706" s="345" t="s">
        <v>657</v>
      </c>
      <c r="P706" s="345">
        <v>3.3</v>
      </c>
      <c r="Q706" s="345">
        <v>3.3</v>
      </c>
      <c r="R706" s="345"/>
      <c r="S706" s="345"/>
    </row>
    <row r="707" spans="11:19" x14ac:dyDescent="0.3">
      <c r="K707" s="344">
        <v>8</v>
      </c>
      <c r="L707" s="344">
        <v>10</v>
      </c>
      <c r="M707" s="345">
        <v>2.88</v>
      </c>
      <c r="N707" s="345">
        <v>2.8</v>
      </c>
      <c r="O707" s="345">
        <v>0.39100000000000001</v>
      </c>
      <c r="P707" s="345">
        <v>3.6</v>
      </c>
      <c r="Q707" s="345">
        <v>2.2999999999999998</v>
      </c>
      <c r="R707" s="345">
        <f t="shared" si="34"/>
        <v>3.1223443107646638</v>
      </c>
      <c r="S707" s="345">
        <f t="shared" si="35"/>
        <v>2.637655689235336</v>
      </c>
    </row>
    <row r="708" spans="11:19" x14ac:dyDescent="0.3">
      <c r="K708" s="344">
        <v>9</v>
      </c>
      <c r="L708" s="344">
        <v>17</v>
      </c>
      <c r="M708" s="345">
        <v>3.2290000000000001</v>
      </c>
      <c r="N708" s="345">
        <v>3.1</v>
      </c>
      <c r="O708" s="345">
        <v>0.44400000000000001</v>
      </c>
      <c r="P708" s="345">
        <v>4</v>
      </c>
      <c r="Q708" s="345">
        <v>2.4</v>
      </c>
      <c r="R708" s="345">
        <f t="shared" si="34"/>
        <v>3.4400642023316186</v>
      </c>
      <c r="S708" s="345">
        <f t="shared" si="35"/>
        <v>3.0179357976683816</v>
      </c>
    </row>
    <row r="709" spans="11:19" x14ac:dyDescent="0.3">
      <c r="K709" s="344">
        <v>10</v>
      </c>
      <c r="L709" s="344">
        <v>22</v>
      </c>
      <c r="M709" s="345">
        <v>3.7</v>
      </c>
      <c r="N709" s="345">
        <v>3.3</v>
      </c>
      <c r="O709" s="345">
        <v>1.2030000000000001</v>
      </c>
      <c r="P709" s="345">
        <v>8.3000000000000007</v>
      </c>
      <c r="Q709" s="345">
        <v>2.6</v>
      </c>
      <c r="R709" s="345">
        <f t="shared" si="34"/>
        <v>4.2027017050805666</v>
      </c>
      <c r="S709" s="345">
        <f t="shared" si="35"/>
        <v>3.1972982949194333</v>
      </c>
    </row>
    <row r="710" spans="11:19" x14ac:dyDescent="0.3">
      <c r="K710" s="344">
        <v>11</v>
      </c>
      <c r="L710" s="344">
        <v>21</v>
      </c>
      <c r="M710" s="345">
        <v>3.9430000000000001</v>
      </c>
      <c r="N710" s="345">
        <v>4</v>
      </c>
      <c r="O710" s="345">
        <v>0.749</v>
      </c>
      <c r="P710" s="345">
        <v>5.4</v>
      </c>
      <c r="Q710" s="345">
        <v>2.5</v>
      </c>
      <c r="R710" s="345">
        <f t="shared" si="34"/>
        <v>4.2633525915820467</v>
      </c>
      <c r="S710" s="345">
        <f t="shared" si="35"/>
        <v>3.6226474084179539</v>
      </c>
    </row>
    <row r="711" spans="11:19" x14ac:dyDescent="0.3">
      <c r="K711" s="344">
        <v>12</v>
      </c>
      <c r="L711" s="344">
        <v>39</v>
      </c>
      <c r="M711" s="345">
        <v>4.0789999999999997</v>
      </c>
      <c r="N711" s="345">
        <v>4</v>
      </c>
      <c r="O711" s="345">
        <v>0.78700000000000003</v>
      </c>
      <c r="P711" s="345">
        <v>7.4</v>
      </c>
      <c r="Q711" s="345">
        <v>2.9</v>
      </c>
      <c r="R711" s="345">
        <f t="shared" si="34"/>
        <v>4.326000879807423</v>
      </c>
      <c r="S711" s="345">
        <f t="shared" si="35"/>
        <v>3.8319991201925765</v>
      </c>
    </row>
    <row r="712" spans="11:19" x14ac:dyDescent="0.3">
      <c r="K712" s="344">
        <v>13</v>
      </c>
      <c r="L712" s="344">
        <v>41</v>
      </c>
      <c r="M712" s="345">
        <v>4.2709999999999999</v>
      </c>
      <c r="N712" s="345">
        <v>4.0999999999999996</v>
      </c>
      <c r="O712" s="345">
        <v>0.92300000000000004</v>
      </c>
      <c r="P712" s="345">
        <v>7.7</v>
      </c>
      <c r="Q712" s="345">
        <v>2.7</v>
      </c>
      <c r="R712" s="345">
        <f t="shared" si="34"/>
        <v>4.553530829157439</v>
      </c>
      <c r="S712" s="345">
        <f t="shared" si="35"/>
        <v>3.9884691708425604</v>
      </c>
    </row>
    <row r="713" spans="11:19" x14ac:dyDescent="0.3">
      <c r="K713" s="344">
        <v>14</v>
      </c>
      <c r="L713" s="344">
        <v>45</v>
      </c>
      <c r="M713" s="345">
        <v>4.5670000000000002</v>
      </c>
      <c r="N713" s="345">
        <v>4.3</v>
      </c>
      <c r="O713" s="345">
        <v>0.72299999999999998</v>
      </c>
      <c r="P713" s="345">
        <v>6.5</v>
      </c>
      <c r="Q713" s="345">
        <v>3.6</v>
      </c>
      <c r="R713" s="345">
        <f t="shared" si="34"/>
        <v>4.7782458139703605</v>
      </c>
      <c r="S713" s="345">
        <f t="shared" si="35"/>
        <v>4.3557541860296398</v>
      </c>
    </row>
    <row r="714" spans="11:19" x14ac:dyDescent="0.3">
      <c r="K714" s="344">
        <v>15</v>
      </c>
      <c r="L714" s="344">
        <v>12</v>
      </c>
      <c r="M714" s="345">
        <v>4.133</v>
      </c>
      <c r="N714" s="345">
        <v>4.25</v>
      </c>
      <c r="O714" s="345">
        <v>0.66700000000000004</v>
      </c>
      <c r="P714" s="345">
        <v>5.4</v>
      </c>
      <c r="Q714" s="345">
        <v>3.1</v>
      </c>
      <c r="R714" s="345">
        <f t="shared" si="34"/>
        <v>4.5103907769584906</v>
      </c>
      <c r="S714" s="345">
        <f t="shared" si="35"/>
        <v>3.755609223041509</v>
      </c>
    </row>
    <row r="715" spans="11:19" x14ac:dyDescent="0.3">
      <c r="K715" s="344">
        <v>16</v>
      </c>
      <c r="L715" s="344">
        <v>13</v>
      </c>
      <c r="M715" s="345">
        <v>4.492</v>
      </c>
      <c r="N715" s="345">
        <v>4.2</v>
      </c>
      <c r="O715" s="345">
        <v>0.98499999999999999</v>
      </c>
      <c r="P715" s="345">
        <v>7.1</v>
      </c>
      <c r="Q715" s="345">
        <v>3.2</v>
      </c>
      <c r="R715" s="345">
        <f t="shared" si="34"/>
        <v>5.0274520994162133</v>
      </c>
      <c r="S715" s="345">
        <f t="shared" si="35"/>
        <v>3.9565479005837862</v>
      </c>
    </row>
    <row r="716" spans="11:19" x14ac:dyDescent="0.3">
      <c r="K716" s="344">
        <v>17</v>
      </c>
      <c r="L716" s="344">
        <v>4</v>
      </c>
      <c r="M716" s="345">
        <v>3.875</v>
      </c>
      <c r="N716" s="345">
        <v>3.8</v>
      </c>
      <c r="O716" s="345">
        <v>0.222</v>
      </c>
      <c r="P716" s="345">
        <v>4.2</v>
      </c>
      <c r="Q716" s="345">
        <v>3.7</v>
      </c>
      <c r="R716" s="345">
        <f t="shared" si="34"/>
        <v>4.0925599999999998</v>
      </c>
      <c r="S716" s="345">
        <f t="shared" si="35"/>
        <v>3.6574399999999998</v>
      </c>
    </row>
    <row r="717" spans="11:19" x14ac:dyDescent="0.3">
      <c r="K717" s="349">
        <v>18</v>
      </c>
      <c r="L717" s="349">
        <v>2</v>
      </c>
      <c r="M717" s="350">
        <v>4.3</v>
      </c>
      <c r="N717" s="350">
        <v>4.3</v>
      </c>
      <c r="O717" s="350">
        <v>0.56599999999999995</v>
      </c>
      <c r="P717" s="350">
        <v>4.7</v>
      </c>
      <c r="Q717" s="350">
        <v>3.9</v>
      </c>
      <c r="R717" s="350">
        <f t="shared" si="34"/>
        <v>5.0844359787771083</v>
      </c>
      <c r="S717" s="350">
        <f t="shared" si="35"/>
        <v>3.5155640212228914</v>
      </c>
    </row>
    <row r="718" spans="11:19" x14ac:dyDescent="0.3">
      <c r="K718" s="344"/>
      <c r="L718" s="344"/>
      <c r="M718" s="345"/>
      <c r="N718" s="345"/>
      <c r="O718" s="345"/>
      <c r="P718" s="345"/>
      <c r="Q718" s="345"/>
      <c r="R718" s="345"/>
      <c r="S718" s="345"/>
    </row>
    <row r="719" spans="11:19" x14ac:dyDescent="0.3">
      <c r="K719" s="344"/>
      <c r="L719" s="344"/>
      <c r="M719" s="345"/>
      <c r="N719" s="345"/>
      <c r="O719" s="345"/>
      <c r="P719" s="345"/>
      <c r="Q719" s="345"/>
      <c r="R719" s="345"/>
      <c r="S719" s="345"/>
    </row>
    <row r="720" spans="11:19" x14ac:dyDescent="0.3">
      <c r="K720" s="346" t="s">
        <v>706</v>
      </c>
      <c r="L720" s="344"/>
      <c r="M720" s="345"/>
      <c r="N720" s="345"/>
      <c r="O720" s="345"/>
      <c r="P720" s="345"/>
      <c r="Q720" s="345"/>
      <c r="R720" s="345"/>
      <c r="S720" s="345"/>
    </row>
    <row r="721" spans="11:19" x14ac:dyDescent="0.3">
      <c r="K721" s="347" t="s">
        <v>514</v>
      </c>
      <c r="L721" s="347" t="s">
        <v>649</v>
      </c>
      <c r="M721" s="348" t="s">
        <v>650</v>
      </c>
      <c r="N721" s="348" t="s">
        <v>651</v>
      </c>
      <c r="O721" s="348" t="s">
        <v>652</v>
      </c>
      <c r="P721" s="348" t="s">
        <v>653</v>
      </c>
      <c r="Q721" s="348" t="s">
        <v>654</v>
      </c>
      <c r="R721" s="348" t="s">
        <v>655</v>
      </c>
      <c r="S721" s="348" t="s">
        <v>656</v>
      </c>
    </row>
    <row r="722" spans="11:19" x14ac:dyDescent="0.3">
      <c r="K722" s="344">
        <v>7</v>
      </c>
      <c r="L722" s="344">
        <v>1</v>
      </c>
      <c r="M722" s="345">
        <v>3.5</v>
      </c>
      <c r="N722" s="345">
        <v>3.5</v>
      </c>
      <c r="O722" s="345" t="s">
        <v>657</v>
      </c>
      <c r="P722" s="345">
        <v>3.5</v>
      </c>
      <c r="Q722" s="345">
        <v>3.5</v>
      </c>
      <c r="R722" s="345"/>
      <c r="S722" s="345"/>
    </row>
    <row r="723" spans="11:19" x14ac:dyDescent="0.3">
      <c r="K723" s="344">
        <v>8</v>
      </c>
      <c r="L723" s="344">
        <v>10</v>
      </c>
      <c r="M723" s="345">
        <v>3.63</v>
      </c>
      <c r="N723" s="345">
        <v>3.8</v>
      </c>
      <c r="O723" s="345">
        <v>0.67200000000000004</v>
      </c>
      <c r="P723" s="345">
        <v>4.8</v>
      </c>
      <c r="Q723" s="345">
        <v>2.6</v>
      </c>
      <c r="R723" s="345">
        <f t="shared" si="34"/>
        <v>4.046509915176097</v>
      </c>
      <c r="S723" s="345">
        <f t="shared" si="35"/>
        <v>3.2134900848239023</v>
      </c>
    </row>
    <row r="724" spans="11:19" x14ac:dyDescent="0.3">
      <c r="K724" s="344">
        <v>9</v>
      </c>
      <c r="L724" s="344">
        <v>17</v>
      </c>
      <c r="M724" s="345">
        <v>4.1710000000000003</v>
      </c>
      <c r="N724" s="345">
        <v>4</v>
      </c>
      <c r="O724" s="345">
        <v>0.57299999999999995</v>
      </c>
      <c r="P724" s="345">
        <v>5.2</v>
      </c>
      <c r="Q724" s="345">
        <v>3.3</v>
      </c>
      <c r="R724" s="345">
        <f t="shared" si="34"/>
        <v>4.4433869097658052</v>
      </c>
      <c r="S724" s="345">
        <f t="shared" si="35"/>
        <v>3.8986130902341953</v>
      </c>
    </row>
    <row r="725" spans="11:19" x14ac:dyDescent="0.3">
      <c r="K725" s="344">
        <v>10</v>
      </c>
      <c r="L725" s="344">
        <v>22</v>
      </c>
      <c r="M725" s="345">
        <v>4.6050000000000004</v>
      </c>
      <c r="N725" s="345">
        <v>4.5</v>
      </c>
      <c r="O725" s="345">
        <v>0.96599999999999997</v>
      </c>
      <c r="P725" s="345">
        <v>7.9</v>
      </c>
      <c r="Q725" s="345">
        <v>3.1</v>
      </c>
      <c r="R725" s="345">
        <f t="shared" si="34"/>
        <v>5.0086657083190591</v>
      </c>
      <c r="S725" s="345">
        <f t="shared" si="35"/>
        <v>4.2013342916809417</v>
      </c>
    </row>
    <row r="726" spans="11:19" x14ac:dyDescent="0.3">
      <c r="K726" s="344">
        <v>11</v>
      </c>
      <c r="L726" s="344">
        <v>21</v>
      </c>
      <c r="M726" s="345">
        <v>5.0670000000000002</v>
      </c>
      <c r="N726" s="345">
        <v>5.0999999999999996</v>
      </c>
      <c r="O726" s="345">
        <v>0.88100000000000001</v>
      </c>
      <c r="P726" s="345">
        <v>6.5</v>
      </c>
      <c r="Q726" s="345">
        <v>3.6</v>
      </c>
      <c r="R726" s="345">
        <f t="shared" si="34"/>
        <v>5.4438099241439026</v>
      </c>
      <c r="S726" s="345">
        <f t="shared" si="35"/>
        <v>4.6901900758560977</v>
      </c>
    </row>
    <row r="727" spans="11:19" x14ac:dyDescent="0.3">
      <c r="K727" s="344">
        <v>12</v>
      </c>
      <c r="L727" s="344">
        <v>39</v>
      </c>
      <c r="M727" s="345">
        <v>5.2850000000000001</v>
      </c>
      <c r="N727" s="345">
        <v>5.4</v>
      </c>
      <c r="O727" s="345">
        <v>0.85099999999999998</v>
      </c>
      <c r="P727" s="345">
        <v>6.9</v>
      </c>
      <c r="Q727" s="345">
        <v>3.2</v>
      </c>
      <c r="R727" s="345">
        <f t="shared" si="34"/>
        <v>5.5520873554207331</v>
      </c>
      <c r="S727" s="345">
        <f t="shared" si="35"/>
        <v>5.0179126445792672</v>
      </c>
    </row>
    <row r="728" spans="11:19" x14ac:dyDescent="0.3">
      <c r="K728" s="344">
        <v>13</v>
      </c>
      <c r="L728" s="344">
        <v>41</v>
      </c>
      <c r="M728" s="345">
        <v>5.62</v>
      </c>
      <c r="N728" s="345">
        <v>5.5</v>
      </c>
      <c r="O728" s="345">
        <v>0.84899999999999998</v>
      </c>
      <c r="P728" s="345">
        <v>7.8</v>
      </c>
      <c r="Q728" s="345">
        <v>4.2</v>
      </c>
      <c r="R728" s="345">
        <f t="shared" si="34"/>
        <v>5.8798793867331165</v>
      </c>
      <c r="S728" s="345">
        <f t="shared" si="35"/>
        <v>5.3601206132668837</v>
      </c>
    </row>
    <row r="729" spans="11:19" x14ac:dyDescent="0.3">
      <c r="K729" s="344">
        <v>14</v>
      </c>
      <c r="L729" s="344">
        <v>45</v>
      </c>
      <c r="M729" s="345">
        <v>5.9960000000000004</v>
      </c>
      <c r="N729" s="345">
        <v>6</v>
      </c>
      <c r="O729" s="345">
        <v>0.78900000000000003</v>
      </c>
      <c r="P729" s="345">
        <v>7.6</v>
      </c>
      <c r="Q729" s="345">
        <v>4.8</v>
      </c>
      <c r="R729" s="345">
        <f t="shared" si="34"/>
        <v>6.2265296642083188</v>
      </c>
      <c r="S729" s="345">
        <f t="shared" si="35"/>
        <v>5.7654703357916821</v>
      </c>
    </row>
    <row r="730" spans="11:19" x14ac:dyDescent="0.3">
      <c r="K730" s="344">
        <v>15</v>
      </c>
      <c r="L730" s="344">
        <v>12</v>
      </c>
      <c r="M730" s="345">
        <v>5.4080000000000004</v>
      </c>
      <c r="N730" s="345">
        <v>5.35</v>
      </c>
      <c r="O730" s="345">
        <v>0.60499999999999998</v>
      </c>
      <c r="P730" s="345">
        <v>6.7</v>
      </c>
      <c r="Q730" s="345">
        <v>4.3</v>
      </c>
      <c r="R730" s="345">
        <f t="shared" si="34"/>
        <v>5.7503109746025292</v>
      </c>
      <c r="S730" s="345">
        <f t="shared" si="35"/>
        <v>5.0656890253974716</v>
      </c>
    </row>
    <row r="731" spans="11:19" x14ac:dyDescent="0.3">
      <c r="K731" s="344">
        <v>16</v>
      </c>
      <c r="L731" s="344">
        <v>13</v>
      </c>
      <c r="M731" s="345">
        <v>5.6230000000000002</v>
      </c>
      <c r="N731" s="345">
        <v>5.5</v>
      </c>
      <c r="O731" s="345">
        <v>0.68700000000000006</v>
      </c>
      <c r="P731" s="345">
        <v>7.2</v>
      </c>
      <c r="Q731" s="345">
        <v>4.8</v>
      </c>
      <c r="R731" s="345">
        <f t="shared" si="34"/>
        <v>5.9964574541105984</v>
      </c>
      <c r="S731" s="345">
        <f t="shared" si="35"/>
        <v>5.2495425458894021</v>
      </c>
    </row>
    <row r="732" spans="11:19" x14ac:dyDescent="0.3">
      <c r="K732" s="344">
        <v>17</v>
      </c>
      <c r="L732" s="344">
        <v>4</v>
      </c>
      <c r="M732" s="345">
        <v>5.3</v>
      </c>
      <c r="N732" s="345">
        <v>5.25</v>
      </c>
      <c r="O732" s="345">
        <v>0.72599999999999998</v>
      </c>
      <c r="P732" s="345">
        <v>6.2</v>
      </c>
      <c r="Q732" s="345">
        <v>4.5</v>
      </c>
      <c r="R732" s="345">
        <f t="shared" si="34"/>
        <v>6.0114799999999997</v>
      </c>
      <c r="S732" s="345">
        <f t="shared" si="35"/>
        <v>4.5885199999999999</v>
      </c>
    </row>
    <row r="733" spans="11:19" x14ac:dyDescent="0.3">
      <c r="K733" s="349">
        <v>18</v>
      </c>
      <c r="L733" s="349">
        <v>2</v>
      </c>
      <c r="M733" s="350">
        <v>6.15</v>
      </c>
      <c r="N733" s="350">
        <v>6.15</v>
      </c>
      <c r="O733" s="350">
        <v>0.63600000000000001</v>
      </c>
      <c r="P733" s="350">
        <v>6.6</v>
      </c>
      <c r="Q733" s="350">
        <v>5.7</v>
      </c>
      <c r="R733" s="350">
        <f t="shared" si="34"/>
        <v>7.0314510291559031</v>
      </c>
      <c r="S733" s="350">
        <f t="shared" si="35"/>
        <v>5.2685489708440976</v>
      </c>
    </row>
    <row r="734" spans="11:19" x14ac:dyDescent="0.3">
      <c r="K734" s="344"/>
      <c r="L734" s="344"/>
      <c r="M734" s="345"/>
      <c r="N734" s="345"/>
      <c r="O734" s="345"/>
      <c r="P734" s="345"/>
      <c r="Q734" s="345"/>
      <c r="R734" s="345"/>
      <c r="S734" s="345"/>
    </row>
    <row r="735" spans="11:19" x14ac:dyDescent="0.3">
      <c r="K735" s="344"/>
      <c r="L735" s="344"/>
      <c r="M735" s="345"/>
      <c r="N735" s="345"/>
      <c r="O735" s="345"/>
      <c r="P735" s="345"/>
      <c r="Q735" s="345"/>
      <c r="R735" s="345"/>
      <c r="S735" s="345"/>
    </row>
    <row r="736" spans="11:19" x14ac:dyDescent="0.3">
      <c r="K736" s="346" t="s">
        <v>712</v>
      </c>
      <c r="L736" s="344"/>
      <c r="M736" s="345"/>
      <c r="N736" s="345"/>
      <c r="O736" s="345"/>
      <c r="P736" s="345"/>
      <c r="Q736" s="345"/>
      <c r="R736" s="345"/>
      <c r="S736" s="345"/>
    </row>
    <row r="737" spans="11:19" x14ac:dyDescent="0.3">
      <c r="K737" s="347" t="s">
        <v>514</v>
      </c>
      <c r="L737" s="347" t="s">
        <v>649</v>
      </c>
      <c r="M737" s="348" t="s">
        <v>650</v>
      </c>
      <c r="N737" s="348" t="s">
        <v>651</v>
      </c>
      <c r="O737" s="348" t="s">
        <v>652</v>
      </c>
      <c r="P737" s="348" t="s">
        <v>653</v>
      </c>
      <c r="Q737" s="348" t="s">
        <v>654</v>
      </c>
      <c r="R737" s="348" t="s">
        <v>655</v>
      </c>
      <c r="S737" s="348" t="s">
        <v>656</v>
      </c>
    </row>
    <row r="738" spans="11:19" x14ac:dyDescent="0.3">
      <c r="K738" s="344">
        <v>7</v>
      </c>
      <c r="L738" s="344">
        <v>1</v>
      </c>
      <c r="M738" s="345">
        <v>1.9</v>
      </c>
      <c r="N738" s="345">
        <v>1.9</v>
      </c>
      <c r="O738" s="345" t="s">
        <v>657</v>
      </c>
      <c r="P738" s="345">
        <v>1.9</v>
      </c>
      <c r="Q738" s="345">
        <v>1.9</v>
      </c>
      <c r="R738" s="345"/>
      <c r="S738" s="345"/>
    </row>
    <row r="739" spans="11:19" x14ac:dyDescent="0.3">
      <c r="K739" s="344">
        <v>8</v>
      </c>
      <c r="L739" s="344">
        <v>10</v>
      </c>
      <c r="M739" s="345">
        <v>2.0499999999999998</v>
      </c>
      <c r="N739" s="345">
        <v>2.1</v>
      </c>
      <c r="O739" s="345">
        <v>0.22700000000000001</v>
      </c>
      <c r="P739" s="345">
        <v>2.2999999999999998</v>
      </c>
      <c r="Q739" s="345">
        <v>1.7</v>
      </c>
      <c r="R739" s="345">
        <f t="shared" si="34"/>
        <v>2.1906960576562113</v>
      </c>
      <c r="S739" s="345">
        <f t="shared" si="35"/>
        <v>1.9093039423437883</v>
      </c>
    </row>
    <row r="740" spans="11:19" x14ac:dyDescent="0.3">
      <c r="K740" s="344">
        <v>9</v>
      </c>
      <c r="L740" s="344">
        <v>17</v>
      </c>
      <c r="M740" s="345">
        <v>2.2759999999999998</v>
      </c>
      <c r="N740" s="345">
        <v>2.2000000000000002</v>
      </c>
      <c r="O740" s="345">
        <v>0.20499999999999999</v>
      </c>
      <c r="P740" s="345">
        <v>2.6</v>
      </c>
      <c r="Q740" s="345">
        <v>1.9</v>
      </c>
      <c r="R740" s="345">
        <f t="shared" si="34"/>
        <v>2.3734508141395985</v>
      </c>
      <c r="S740" s="345">
        <f t="shared" si="35"/>
        <v>2.1785491858604011</v>
      </c>
    </row>
    <row r="741" spans="11:19" x14ac:dyDescent="0.3">
      <c r="K741" s="344">
        <v>10</v>
      </c>
      <c r="L741" s="344">
        <v>22</v>
      </c>
      <c r="M741" s="345">
        <v>2.4089999999999998</v>
      </c>
      <c r="N741" s="345">
        <v>2.4</v>
      </c>
      <c r="O741" s="345">
        <v>0.30499999999999999</v>
      </c>
      <c r="P741" s="345">
        <v>3.4</v>
      </c>
      <c r="Q741" s="345">
        <v>2</v>
      </c>
      <c r="R741" s="345">
        <f t="shared" si="34"/>
        <v>2.5364513882373836</v>
      </c>
      <c r="S741" s="345">
        <f t="shared" si="35"/>
        <v>2.281548611762616</v>
      </c>
    </row>
    <row r="742" spans="11:19" x14ac:dyDescent="0.3">
      <c r="K742" s="344">
        <v>11</v>
      </c>
      <c r="L742" s="344">
        <v>21</v>
      </c>
      <c r="M742" s="345">
        <v>2.5950000000000002</v>
      </c>
      <c r="N742" s="345">
        <v>2.6</v>
      </c>
      <c r="O742" s="345">
        <v>0.307</v>
      </c>
      <c r="P742" s="345">
        <v>3</v>
      </c>
      <c r="Q742" s="345">
        <v>2</v>
      </c>
      <c r="R742" s="345">
        <f t="shared" si="34"/>
        <v>2.7263060689128014</v>
      </c>
      <c r="S742" s="345">
        <f t="shared" si="35"/>
        <v>2.463693931087199</v>
      </c>
    </row>
    <row r="743" spans="11:19" x14ac:dyDescent="0.3">
      <c r="K743" s="344">
        <v>12</v>
      </c>
      <c r="L743" s="344">
        <v>39</v>
      </c>
      <c r="M743" s="345">
        <v>2.7970000000000002</v>
      </c>
      <c r="N743" s="345">
        <v>2.8</v>
      </c>
      <c r="O743" s="345">
        <v>0.30099999999999999</v>
      </c>
      <c r="P743" s="345">
        <v>3.4</v>
      </c>
      <c r="Q743" s="345">
        <v>2.1</v>
      </c>
      <c r="R743" s="345">
        <f t="shared" si="34"/>
        <v>2.8914692056188493</v>
      </c>
      <c r="S743" s="345">
        <f t="shared" si="35"/>
        <v>2.702530794381151</v>
      </c>
    </row>
    <row r="744" spans="11:19" x14ac:dyDescent="0.3">
      <c r="K744" s="344">
        <v>13</v>
      </c>
      <c r="L744" s="344">
        <v>41</v>
      </c>
      <c r="M744" s="345">
        <v>2.9319999999999999</v>
      </c>
      <c r="N744" s="345">
        <v>2.9</v>
      </c>
      <c r="O744" s="345">
        <v>0.311</v>
      </c>
      <c r="P744" s="345">
        <v>3.6</v>
      </c>
      <c r="Q744" s="345">
        <v>2.2999999999999998</v>
      </c>
      <c r="R744" s="345">
        <f t="shared" si="34"/>
        <v>3.0271972782968186</v>
      </c>
      <c r="S744" s="345">
        <f t="shared" si="35"/>
        <v>2.8368027217031813</v>
      </c>
    </row>
    <row r="745" spans="11:19" x14ac:dyDescent="0.3">
      <c r="K745" s="344">
        <v>14</v>
      </c>
      <c r="L745" s="344">
        <v>45</v>
      </c>
      <c r="M745" s="345">
        <v>3.069</v>
      </c>
      <c r="N745" s="345">
        <v>3</v>
      </c>
      <c r="O745" s="345">
        <v>0.23100000000000001</v>
      </c>
      <c r="P745" s="345">
        <v>3.6</v>
      </c>
      <c r="Q745" s="345">
        <v>2.6</v>
      </c>
      <c r="R745" s="345">
        <f t="shared" si="34"/>
        <v>3.1364934758328538</v>
      </c>
      <c r="S745" s="345">
        <f t="shared" si="35"/>
        <v>3.0015065241671461</v>
      </c>
    </row>
    <row r="746" spans="11:19" x14ac:dyDescent="0.3">
      <c r="K746" s="344">
        <v>15</v>
      </c>
      <c r="L746" s="344">
        <v>12</v>
      </c>
      <c r="M746" s="345">
        <v>3.0830000000000002</v>
      </c>
      <c r="N746" s="345">
        <v>3.05</v>
      </c>
      <c r="O746" s="345">
        <v>0.17</v>
      </c>
      <c r="P746" s="345">
        <v>3.4</v>
      </c>
      <c r="Q746" s="345">
        <v>2.8</v>
      </c>
      <c r="R746" s="345">
        <f t="shared" si="34"/>
        <v>3.179186554846992</v>
      </c>
      <c r="S746" s="345">
        <f t="shared" si="35"/>
        <v>2.9868134451530084</v>
      </c>
    </row>
    <row r="747" spans="11:19" x14ac:dyDescent="0.3">
      <c r="K747" s="344">
        <v>16</v>
      </c>
      <c r="L747" s="344">
        <v>13</v>
      </c>
      <c r="M747" s="345">
        <v>3.0459999999999998</v>
      </c>
      <c r="N747" s="345">
        <v>3.1</v>
      </c>
      <c r="O747" s="345">
        <v>0.18099999999999999</v>
      </c>
      <c r="P747" s="345">
        <v>3.3</v>
      </c>
      <c r="Q747" s="345">
        <v>2.8</v>
      </c>
      <c r="R747" s="345">
        <f t="shared" si="34"/>
        <v>3.1443927208064308</v>
      </c>
      <c r="S747" s="345">
        <f t="shared" si="35"/>
        <v>2.9476072791935688</v>
      </c>
    </row>
    <row r="748" spans="11:19" x14ac:dyDescent="0.3">
      <c r="K748" s="344">
        <v>17</v>
      </c>
      <c r="L748" s="344">
        <v>4</v>
      </c>
      <c r="M748" s="345">
        <v>3.2</v>
      </c>
      <c r="N748" s="345">
        <v>3.1</v>
      </c>
      <c r="O748" s="345">
        <v>0.27100000000000002</v>
      </c>
      <c r="P748" s="345">
        <v>3.6</v>
      </c>
      <c r="Q748" s="345">
        <v>3</v>
      </c>
      <c r="R748" s="345">
        <f t="shared" si="34"/>
        <v>3.4655800000000001</v>
      </c>
      <c r="S748" s="345">
        <f t="shared" si="35"/>
        <v>2.9344200000000003</v>
      </c>
    </row>
    <row r="749" spans="11:19" x14ac:dyDescent="0.3">
      <c r="K749" s="349">
        <v>18</v>
      </c>
      <c r="L749" s="349">
        <v>2</v>
      </c>
      <c r="M749" s="350">
        <v>3.05</v>
      </c>
      <c r="N749" s="350">
        <v>3.05</v>
      </c>
      <c r="O749" s="350">
        <v>0.35399999999999998</v>
      </c>
      <c r="P749" s="350">
        <v>3.3</v>
      </c>
      <c r="Q749" s="350">
        <v>2.8</v>
      </c>
      <c r="R749" s="350">
        <f t="shared" si="34"/>
        <v>3.5406189690584737</v>
      </c>
      <c r="S749" s="350">
        <f t="shared" si="35"/>
        <v>2.5593810309415259</v>
      </c>
    </row>
    <row r="750" spans="11:19" x14ac:dyDescent="0.3">
      <c r="K750" s="344"/>
      <c r="L750" s="344"/>
      <c r="M750" s="345"/>
      <c r="N750" s="345"/>
      <c r="O750" s="345"/>
      <c r="P750" s="345"/>
      <c r="Q750" s="345"/>
      <c r="R750" s="345"/>
      <c r="S750" s="345"/>
    </row>
    <row r="751" spans="11:19" x14ac:dyDescent="0.3">
      <c r="K751" s="344"/>
      <c r="L751" s="344"/>
      <c r="M751" s="345"/>
      <c r="N751" s="345"/>
      <c r="O751" s="345"/>
      <c r="P751" s="345"/>
      <c r="Q751" s="345"/>
      <c r="R751" s="345"/>
      <c r="S751" s="345"/>
    </row>
    <row r="752" spans="11:19" x14ac:dyDescent="0.3">
      <c r="K752" s="346" t="s">
        <v>713</v>
      </c>
      <c r="L752" s="344"/>
      <c r="M752" s="345"/>
      <c r="N752" s="345"/>
      <c r="O752" s="345"/>
      <c r="P752" s="345"/>
      <c r="Q752" s="345"/>
      <c r="R752" s="345"/>
      <c r="S752" s="345"/>
    </row>
    <row r="753" spans="11:19" x14ac:dyDescent="0.3">
      <c r="K753" s="347" t="s">
        <v>514</v>
      </c>
      <c r="L753" s="347" t="s">
        <v>649</v>
      </c>
      <c r="M753" s="348" t="s">
        <v>650</v>
      </c>
      <c r="N753" s="348" t="s">
        <v>651</v>
      </c>
      <c r="O753" s="348" t="s">
        <v>652</v>
      </c>
      <c r="P753" s="348" t="s">
        <v>653</v>
      </c>
      <c r="Q753" s="348" t="s">
        <v>654</v>
      </c>
      <c r="R753" s="348" t="s">
        <v>655</v>
      </c>
      <c r="S753" s="348" t="s">
        <v>656</v>
      </c>
    </row>
    <row r="754" spans="11:19" x14ac:dyDescent="0.3">
      <c r="K754" s="344">
        <v>7</v>
      </c>
      <c r="L754" s="344">
        <v>1</v>
      </c>
      <c r="M754" s="345">
        <v>18.29</v>
      </c>
      <c r="N754" s="345">
        <v>18.29</v>
      </c>
      <c r="O754" s="345" t="s">
        <v>657</v>
      </c>
      <c r="P754" s="345">
        <v>18.29</v>
      </c>
      <c r="Q754" s="345">
        <v>18.29</v>
      </c>
      <c r="R754" s="345"/>
      <c r="S754" s="345"/>
    </row>
    <row r="755" spans="11:19" x14ac:dyDescent="0.3">
      <c r="K755" s="344">
        <v>8</v>
      </c>
      <c r="L755" s="344">
        <v>10</v>
      </c>
      <c r="M755" s="345">
        <v>17.172999999999998</v>
      </c>
      <c r="N755" s="345">
        <v>16.695</v>
      </c>
      <c r="O755" s="345">
        <v>2.5106999999999999</v>
      </c>
      <c r="P755" s="345">
        <v>21.77</v>
      </c>
      <c r="Q755" s="345">
        <v>14.4</v>
      </c>
      <c r="R755" s="345">
        <f t="shared" ref="R755:R813" si="36">M755+(1.96*O755)/(L755)^0.5</f>
        <v>18.72914798219141</v>
      </c>
      <c r="S755" s="345">
        <f t="shared" ref="S755:S813" si="37">M755-(1.96*O755)/(L755)^0.5</f>
        <v>15.616852017808588</v>
      </c>
    </row>
    <row r="756" spans="11:19" x14ac:dyDescent="0.3">
      <c r="K756" s="344">
        <v>9</v>
      </c>
      <c r="L756" s="344">
        <v>17</v>
      </c>
      <c r="M756" s="345">
        <v>17.9818</v>
      </c>
      <c r="N756" s="345">
        <v>17.28</v>
      </c>
      <c r="O756" s="345">
        <v>2.8214999999999999</v>
      </c>
      <c r="P756" s="345">
        <v>23.41</v>
      </c>
      <c r="Q756" s="345">
        <v>15.04</v>
      </c>
      <c r="R756" s="345">
        <f t="shared" si="36"/>
        <v>19.323055961438428</v>
      </c>
      <c r="S756" s="345">
        <f t="shared" si="37"/>
        <v>16.640544038561572</v>
      </c>
    </row>
    <row r="757" spans="11:19" x14ac:dyDescent="0.3">
      <c r="K757" s="344">
        <v>10</v>
      </c>
      <c r="L757" s="344">
        <v>22</v>
      </c>
      <c r="M757" s="345">
        <v>18.932300000000001</v>
      </c>
      <c r="N757" s="345">
        <v>17.344999999999999</v>
      </c>
      <c r="O757" s="345">
        <v>3.9805999999999999</v>
      </c>
      <c r="P757" s="345">
        <v>33.020000000000003</v>
      </c>
      <c r="Q757" s="345">
        <v>13.76</v>
      </c>
      <c r="R757" s="345">
        <f t="shared" si="36"/>
        <v>20.595686872189283</v>
      </c>
      <c r="S757" s="345">
        <f t="shared" si="37"/>
        <v>17.26891312781072</v>
      </c>
    </row>
    <row r="758" spans="11:19" x14ac:dyDescent="0.3">
      <c r="K758" s="344">
        <v>11</v>
      </c>
      <c r="L758" s="344">
        <v>21</v>
      </c>
      <c r="M758" s="345">
        <v>19.4481</v>
      </c>
      <c r="N758" s="345">
        <v>19.420000000000002</v>
      </c>
      <c r="O758" s="345">
        <v>2.8153999999999999</v>
      </c>
      <c r="P758" s="345">
        <v>25.66</v>
      </c>
      <c r="Q758" s="345">
        <v>15.14</v>
      </c>
      <c r="R758" s="345">
        <f t="shared" si="36"/>
        <v>20.652266470414009</v>
      </c>
      <c r="S758" s="345">
        <f t="shared" si="37"/>
        <v>18.243933529585991</v>
      </c>
    </row>
    <row r="759" spans="11:19" x14ac:dyDescent="0.3">
      <c r="K759" s="344">
        <v>12</v>
      </c>
      <c r="L759" s="344">
        <v>39</v>
      </c>
      <c r="M759" s="345">
        <v>19.3262</v>
      </c>
      <c r="N759" s="345">
        <v>19</v>
      </c>
      <c r="O759" s="345">
        <v>3.0966999999999998</v>
      </c>
      <c r="P759" s="345">
        <v>29.08</v>
      </c>
      <c r="Q759" s="345">
        <v>14.21</v>
      </c>
      <c r="R759" s="345">
        <f t="shared" si="36"/>
        <v>20.298102953620898</v>
      </c>
      <c r="S759" s="345">
        <f t="shared" si="37"/>
        <v>18.354297046379102</v>
      </c>
    </row>
    <row r="760" spans="11:19" x14ac:dyDescent="0.3">
      <c r="K760" s="344">
        <v>13</v>
      </c>
      <c r="L760" s="344">
        <v>41</v>
      </c>
      <c r="M760" s="345">
        <v>20.518799999999999</v>
      </c>
      <c r="N760" s="345">
        <v>19.899999999999999</v>
      </c>
      <c r="O760" s="345">
        <v>3.6002000000000001</v>
      </c>
      <c r="P760" s="345">
        <v>31.89</v>
      </c>
      <c r="Q760" s="345">
        <v>14.91</v>
      </c>
      <c r="R760" s="345">
        <f t="shared" si="36"/>
        <v>21.620823284000664</v>
      </c>
      <c r="S760" s="345">
        <f t="shared" si="37"/>
        <v>19.416776715999333</v>
      </c>
    </row>
    <row r="761" spans="11:19" x14ac:dyDescent="0.3">
      <c r="K761" s="344">
        <v>14</v>
      </c>
      <c r="L761" s="344">
        <v>45</v>
      </c>
      <c r="M761" s="345">
        <v>20.8918</v>
      </c>
      <c r="N761" s="345">
        <v>20.45</v>
      </c>
      <c r="O761" s="345">
        <v>2.7368999999999999</v>
      </c>
      <c r="P761" s="345">
        <v>27.04</v>
      </c>
      <c r="Q761" s="345">
        <v>16.16</v>
      </c>
      <c r="R761" s="345">
        <f t="shared" si="36"/>
        <v>21.691466207822238</v>
      </c>
      <c r="S761" s="345">
        <f t="shared" si="37"/>
        <v>20.092133792177762</v>
      </c>
    </row>
    <row r="762" spans="11:19" x14ac:dyDescent="0.3">
      <c r="K762" s="344">
        <v>15</v>
      </c>
      <c r="L762" s="344">
        <v>12</v>
      </c>
      <c r="M762" s="345">
        <v>20.984999999999999</v>
      </c>
      <c r="N762" s="345">
        <v>20.63</v>
      </c>
      <c r="O762" s="345">
        <v>2.6031</v>
      </c>
      <c r="P762" s="345">
        <v>25.49</v>
      </c>
      <c r="Q762" s="345">
        <v>16.170000000000002</v>
      </c>
      <c r="R762" s="345">
        <f t="shared" si="36"/>
        <v>22.457842476012964</v>
      </c>
      <c r="S762" s="345">
        <f t="shared" si="37"/>
        <v>19.512157523987035</v>
      </c>
    </row>
    <row r="763" spans="11:19" x14ac:dyDescent="0.3">
      <c r="K763" s="344">
        <v>16</v>
      </c>
      <c r="L763" s="344">
        <v>13</v>
      </c>
      <c r="M763" s="345">
        <v>21.1</v>
      </c>
      <c r="N763" s="345">
        <v>20.54</v>
      </c>
      <c r="O763" s="345">
        <v>2.9565000000000001</v>
      </c>
      <c r="P763" s="345">
        <v>27.48</v>
      </c>
      <c r="Q763" s="345">
        <v>17.28</v>
      </c>
      <c r="R763" s="345">
        <f t="shared" si="36"/>
        <v>22.707171707537093</v>
      </c>
      <c r="S763" s="345">
        <f t="shared" si="37"/>
        <v>19.49282829246291</v>
      </c>
    </row>
    <row r="764" spans="11:19" x14ac:dyDescent="0.3">
      <c r="K764" s="344">
        <v>17</v>
      </c>
      <c r="L764" s="344">
        <v>4</v>
      </c>
      <c r="M764" s="345">
        <v>18.885000000000002</v>
      </c>
      <c r="N764" s="345">
        <v>19.364999999999998</v>
      </c>
      <c r="O764" s="345">
        <v>1.7313000000000001</v>
      </c>
      <c r="P764" s="345">
        <v>20.399999999999999</v>
      </c>
      <c r="Q764" s="345">
        <v>16.41</v>
      </c>
      <c r="R764" s="345">
        <f t="shared" si="36"/>
        <v>20.581674000000003</v>
      </c>
      <c r="S764" s="345">
        <f t="shared" si="37"/>
        <v>17.188326</v>
      </c>
    </row>
    <row r="765" spans="11:19" x14ac:dyDescent="0.3">
      <c r="K765" s="349">
        <v>18</v>
      </c>
      <c r="L765" s="349">
        <v>2</v>
      </c>
      <c r="M765" s="350">
        <v>21.305</v>
      </c>
      <c r="N765" s="350">
        <v>21.305</v>
      </c>
      <c r="O765" s="350">
        <v>0.45960000000000001</v>
      </c>
      <c r="P765" s="350">
        <v>21.63</v>
      </c>
      <c r="Q765" s="350">
        <v>20.98</v>
      </c>
      <c r="R765" s="350">
        <f t="shared" si="36"/>
        <v>21.941973102201342</v>
      </c>
      <c r="S765" s="350">
        <f t="shared" si="37"/>
        <v>20.668026897798658</v>
      </c>
    </row>
    <row r="766" spans="11:19" x14ac:dyDescent="0.3">
      <c r="K766" s="344"/>
      <c r="L766" s="344"/>
      <c r="M766" s="345"/>
      <c r="N766" s="345"/>
      <c r="O766" s="345"/>
      <c r="P766" s="345"/>
      <c r="Q766" s="345"/>
      <c r="R766" s="345"/>
      <c r="S766" s="345"/>
    </row>
    <row r="767" spans="11:19" x14ac:dyDescent="0.3">
      <c r="K767" s="344"/>
      <c r="L767" s="344"/>
      <c r="M767" s="345"/>
      <c r="N767" s="345"/>
      <c r="O767" s="345"/>
      <c r="P767" s="345"/>
      <c r="Q767" s="345"/>
      <c r="R767" s="345"/>
      <c r="S767" s="345"/>
    </row>
    <row r="768" spans="11:19" x14ac:dyDescent="0.3">
      <c r="K768" s="346" t="s">
        <v>714</v>
      </c>
      <c r="L768" s="344"/>
      <c r="M768" s="345"/>
      <c r="N768" s="345"/>
      <c r="O768" s="345"/>
      <c r="P768" s="345"/>
      <c r="Q768" s="345"/>
      <c r="R768" s="345"/>
      <c r="S768" s="345"/>
    </row>
    <row r="769" spans="11:19" x14ac:dyDescent="0.3">
      <c r="K769" s="347" t="s">
        <v>514</v>
      </c>
      <c r="L769" s="347" t="s">
        <v>649</v>
      </c>
      <c r="M769" s="348" t="s">
        <v>650</v>
      </c>
      <c r="N769" s="348" t="s">
        <v>651</v>
      </c>
      <c r="O769" s="348" t="s">
        <v>652</v>
      </c>
      <c r="P769" s="348" t="s">
        <v>653</v>
      </c>
      <c r="Q769" s="348" t="s">
        <v>654</v>
      </c>
      <c r="R769" s="348" t="s">
        <v>655</v>
      </c>
      <c r="S769" s="348" t="s">
        <v>656</v>
      </c>
    </row>
    <row r="770" spans="11:19" x14ac:dyDescent="0.3">
      <c r="K770" s="344">
        <v>7</v>
      </c>
      <c r="L770" s="344">
        <v>1</v>
      </c>
      <c r="M770" s="351">
        <v>0.55000000000000004</v>
      </c>
      <c r="N770" s="351">
        <v>0.55000000000000004</v>
      </c>
      <c r="O770" s="351" t="s">
        <v>657</v>
      </c>
      <c r="P770" s="351">
        <v>0.55000000000000004</v>
      </c>
      <c r="Q770" s="351">
        <v>0.55000000000000004</v>
      </c>
      <c r="R770" s="345"/>
      <c r="S770" s="345"/>
    </row>
    <row r="771" spans="11:19" x14ac:dyDescent="0.3">
      <c r="K771" s="344">
        <v>8</v>
      </c>
      <c r="L771" s="344">
        <v>10</v>
      </c>
      <c r="M771" s="351">
        <v>0.53900000000000003</v>
      </c>
      <c r="N771" s="351">
        <v>0.53500000000000003</v>
      </c>
      <c r="O771" s="351">
        <v>1.1010000000000001E-2</v>
      </c>
      <c r="P771" s="351">
        <v>0.56000000000000005</v>
      </c>
      <c r="Q771" s="351">
        <v>0.53</v>
      </c>
      <c r="R771" s="351">
        <f t="shared" si="36"/>
        <v>0.54582406869953703</v>
      </c>
      <c r="S771" s="351">
        <f t="shared" si="37"/>
        <v>0.53217593130046303</v>
      </c>
    </row>
    <row r="772" spans="11:19" x14ac:dyDescent="0.3">
      <c r="K772" s="344">
        <v>9</v>
      </c>
      <c r="L772" s="344">
        <v>17</v>
      </c>
      <c r="M772" s="351">
        <v>0.5282</v>
      </c>
      <c r="N772" s="351">
        <v>0.53</v>
      </c>
      <c r="O772" s="351">
        <v>1.468E-2</v>
      </c>
      <c r="P772" s="351">
        <v>0.55000000000000004</v>
      </c>
      <c r="Q772" s="351">
        <v>0.51</v>
      </c>
      <c r="R772" s="351">
        <f t="shared" si="36"/>
        <v>0.53517842903204538</v>
      </c>
      <c r="S772" s="351">
        <f t="shared" si="37"/>
        <v>0.52122157096795463</v>
      </c>
    </row>
    <row r="773" spans="11:19" x14ac:dyDescent="0.3">
      <c r="K773" s="344">
        <v>10</v>
      </c>
      <c r="L773" s="344">
        <v>22</v>
      </c>
      <c r="M773" s="351">
        <v>0.52590000000000003</v>
      </c>
      <c r="N773" s="351">
        <v>0.52500000000000002</v>
      </c>
      <c r="O773" s="351">
        <v>1.1820000000000001E-2</v>
      </c>
      <c r="P773" s="351">
        <v>0.55000000000000004</v>
      </c>
      <c r="Q773" s="351">
        <v>0.5</v>
      </c>
      <c r="R773" s="351">
        <f t="shared" si="36"/>
        <v>0.53083926363595368</v>
      </c>
      <c r="S773" s="351">
        <f t="shared" si="37"/>
        <v>0.52096073636404638</v>
      </c>
    </row>
    <row r="774" spans="11:19" x14ac:dyDescent="0.3">
      <c r="K774" s="344">
        <v>11</v>
      </c>
      <c r="L774" s="344">
        <v>21</v>
      </c>
      <c r="M774" s="351">
        <v>0.53239999999999998</v>
      </c>
      <c r="N774" s="351">
        <v>0.53</v>
      </c>
      <c r="O774" s="351">
        <v>9.9520000000000008E-3</v>
      </c>
      <c r="P774" s="351">
        <v>0.55000000000000004</v>
      </c>
      <c r="Q774" s="351">
        <v>0.51</v>
      </c>
      <c r="R774" s="351">
        <f t="shared" si="36"/>
        <v>0.53665654070951208</v>
      </c>
      <c r="S774" s="351">
        <f t="shared" si="37"/>
        <v>0.52814345929048789</v>
      </c>
    </row>
    <row r="775" spans="11:19" x14ac:dyDescent="0.3">
      <c r="K775" s="344">
        <v>12</v>
      </c>
      <c r="L775" s="344">
        <v>39</v>
      </c>
      <c r="M775" s="351">
        <v>0.52849999999999997</v>
      </c>
      <c r="N775" s="351">
        <v>0.53</v>
      </c>
      <c r="O775" s="351">
        <v>1.5480000000000001E-2</v>
      </c>
      <c r="P775" s="351">
        <v>0.56999999999999995</v>
      </c>
      <c r="Q775" s="351">
        <v>0.49</v>
      </c>
      <c r="R775" s="351">
        <f t="shared" si="36"/>
        <v>0.53335841628896941</v>
      </c>
      <c r="S775" s="351">
        <f t="shared" si="37"/>
        <v>0.52364158371103053</v>
      </c>
    </row>
    <row r="776" spans="11:19" x14ac:dyDescent="0.3">
      <c r="K776" s="344">
        <v>13</v>
      </c>
      <c r="L776" s="344">
        <v>41</v>
      </c>
      <c r="M776" s="351">
        <v>0.53049999999999997</v>
      </c>
      <c r="N776" s="351">
        <v>0.53</v>
      </c>
      <c r="O776" s="351">
        <v>1.303E-2</v>
      </c>
      <c r="P776" s="351">
        <v>0.55000000000000004</v>
      </c>
      <c r="Q776" s="351">
        <v>0.5</v>
      </c>
      <c r="R776" s="351">
        <f t="shared" si="36"/>
        <v>0.5344884904701207</v>
      </c>
      <c r="S776" s="351">
        <f t="shared" si="37"/>
        <v>0.52651150952987924</v>
      </c>
    </row>
    <row r="777" spans="11:19" x14ac:dyDescent="0.3">
      <c r="K777" s="344">
        <v>14</v>
      </c>
      <c r="L777" s="344">
        <v>45</v>
      </c>
      <c r="M777" s="351">
        <v>0.53380000000000005</v>
      </c>
      <c r="N777" s="351">
        <v>0.53</v>
      </c>
      <c r="O777" s="351">
        <v>1.353E-2</v>
      </c>
      <c r="P777" s="351">
        <v>0.56000000000000005</v>
      </c>
      <c r="Q777" s="351">
        <v>0.51</v>
      </c>
      <c r="R777" s="351">
        <f t="shared" si="36"/>
        <v>0.53775318929878146</v>
      </c>
      <c r="S777" s="351">
        <f t="shared" si="37"/>
        <v>0.52984681070121864</v>
      </c>
    </row>
    <row r="778" spans="11:19" x14ac:dyDescent="0.3">
      <c r="K778" s="344">
        <v>15</v>
      </c>
      <c r="L778" s="344">
        <v>12</v>
      </c>
      <c r="M778" s="351">
        <v>0.53669999999999995</v>
      </c>
      <c r="N778" s="351">
        <v>0.54</v>
      </c>
      <c r="O778" s="351">
        <v>1.231E-2</v>
      </c>
      <c r="P778" s="351">
        <v>0.55000000000000004</v>
      </c>
      <c r="Q778" s="351">
        <v>0.51</v>
      </c>
      <c r="R778" s="351">
        <f t="shared" si="36"/>
        <v>0.54366503817744971</v>
      </c>
      <c r="S778" s="351">
        <f t="shared" si="37"/>
        <v>0.5297349618225502</v>
      </c>
    </row>
    <row r="779" spans="11:19" x14ac:dyDescent="0.3">
      <c r="K779" s="344">
        <v>16</v>
      </c>
      <c r="L779" s="344">
        <v>13</v>
      </c>
      <c r="M779" s="351">
        <v>0.53920000000000001</v>
      </c>
      <c r="N779" s="351">
        <v>0.54</v>
      </c>
      <c r="O779" s="351">
        <v>1.4409999999999999E-2</v>
      </c>
      <c r="P779" s="351">
        <v>0.56000000000000005</v>
      </c>
      <c r="Q779" s="351">
        <v>0.52</v>
      </c>
      <c r="R779" s="351">
        <f t="shared" si="36"/>
        <v>0.5470333652310535</v>
      </c>
      <c r="S779" s="351">
        <f t="shared" si="37"/>
        <v>0.53136663476894652</v>
      </c>
    </row>
    <row r="780" spans="11:19" x14ac:dyDescent="0.3">
      <c r="K780" s="344">
        <v>17</v>
      </c>
      <c r="L780" s="344">
        <v>4</v>
      </c>
      <c r="M780" s="353">
        <v>0.52749999999999997</v>
      </c>
      <c r="N780" s="353">
        <v>0.52500000000000002</v>
      </c>
      <c r="O780" s="353">
        <v>9.5739999999999992E-3</v>
      </c>
      <c r="P780" s="353">
        <v>0.54</v>
      </c>
      <c r="Q780" s="353">
        <v>0.52</v>
      </c>
      <c r="R780" s="353">
        <f t="shared" si="36"/>
        <v>0.53688251999999992</v>
      </c>
      <c r="S780" s="353">
        <f t="shared" si="37"/>
        <v>0.51811748000000002</v>
      </c>
    </row>
    <row r="781" spans="11:19" x14ac:dyDescent="0.3">
      <c r="K781" s="349">
        <v>18</v>
      </c>
      <c r="L781" s="349">
        <v>2</v>
      </c>
      <c r="M781" s="352">
        <v>0.56000000000000005</v>
      </c>
      <c r="N781" s="352">
        <v>0.56000000000000005</v>
      </c>
      <c r="O781" s="352">
        <v>1.414E-2</v>
      </c>
      <c r="P781" s="352">
        <v>0.56999999999999995</v>
      </c>
      <c r="Q781" s="352">
        <v>0.55000000000000004</v>
      </c>
      <c r="R781" s="352">
        <f t="shared" si="36"/>
        <v>0.57959704017651648</v>
      </c>
      <c r="S781" s="352">
        <f t="shared" si="37"/>
        <v>0.54040295982348363</v>
      </c>
    </row>
    <row r="782" spans="11:19" x14ac:dyDescent="0.3">
      <c r="K782" s="344"/>
      <c r="L782" s="344"/>
      <c r="M782" s="351"/>
      <c r="N782" s="351"/>
      <c r="O782" s="351"/>
      <c r="P782" s="351"/>
      <c r="Q782" s="351"/>
      <c r="R782" s="345"/>
      <c r="S782" s="345"/>
    </row>
    <row r="783" spans="11:19" x14ac:dyDescent="0.3">
      <c r="K783" s="344"/>
      <c r="L783" s="344"/>
      <c r="M783" s="345"/>
      <c r="N783" s="345"/>
      <c r="O783" s="345"/>
      <c r="P783" s="345"/>
      <c r="Q783" s="345"/>
      <c r="R783" s="345"/>
      <c r="S783" s="345"/>
    </row>
    <row r="784" spans="11:19" x14ac:dyDescent="0.3">
      <c r="K784" s="346" t="s">
        <v>715</v>
      </c>
      <c r="L784" s="344"/>
      <c r="M784" s="345"/>
      <c r="N784" s="345"/>
      <c r="O784" s="345"/>
      <c r="P784" s="345"/>
      <c r="Q784" s="345"/>
      <c r="R784" s="345"/>
      <c r="S784" s="345"/>
    </row>
    <row r="785" spans="11:19" x14ac:dyDescent="0.3">
      <c r="K785" s="347" t="s">
        <v>514</v>
      </c>
      <c r="L785" s="347" t="s">
        <v>649</v>
      </c>
      <c r="M785" s="348" t="s">
        <v>650</v>
      </c>
      <c r="N785" s="348" t="s">
        <v>651</v>
      </c>
      <c r="O785" s="348" t="s">
        <v>652</v>
      </c>
      <c r="P785" s="348" t="s">
        <v>653</v>
      </c>
      <c r="Q785" s="348" t="s">
        <v>654</v>
      </c>
      <c r="R785" s="348" t="s">
        <v>655</v>
      </c>
      <c r="S785" s="348" t="s">
        <v>656</v>
      </c>
    </row>
    <row r="786" spans="11:19" x14ac:dyDescent="0.3">
      <c r="K786" s="344">
        <v>7</v>
      </c>
      <c r="L786" s="344">
        <v>1</v>
      </c>
      <c r="M786" s="345">
        <v>54.1</v>
      </c>
      <c r="N786" s="345">
        <v>54.1</v>
      </c>
      <c r="O786" s="345" t="s">
        <v>657</v>
      </c>
      <c r="P786" s="345">
        <v>54.1</v>
      </c>
      <c r="Q786" s="345">
        <v>54.1</v>
      </c>
      <c r="R786" s="345"/>
      <c r="S786" s="345"/>
    </row>
    <row r="787" spans="11:19" x14ac:dyDescent="0.3">
      <c r="K787" s="344">
        <v>8</v>
      </c>
      <c r="L787" s="344">
        <v>10</v>
      </c>
      <c r="M787" s="345">
        <v>59.024999999999999</v>
      </c>
      <c r="N787" s="345">
        <v>59.8</v>
      </c>
      <c r="O787" s="345">
        <v>3.8578000000000001</v>
      </c>
      <c r="P787" s="345">
        <v>63.2</v>
      </c>
      <c r="Q787" s="345">
        <v>51.45</v>
      </c>
      <c r="R787" s="345">
        <f t="shared" si="36"/>
        <v>61.416089212449926</v>
      </c>
      <c r="S787" s="345">
        <f t="shared" si="37"/>
        <v>56.633910787550072</v>
      </c>
    </row>
    <row r="788" spans="11:19" x14ac:dyDescent="0.3">
      <c r="K788" s="344">
        <v>9</v>
      </c>
      <c r="L788" s="344">
        <v>17</v>
      </c>
      <c r="M788" s="345">
        <v>64.670599999999993</v>
      </c>
      <c r="N788" s="345">
        <v>63.9</v>
      </c>
      <c r="O788" s="345">
        <v>4.7260999999999997</v>
      </c>
      <c r="P788" s="345">
        <v>75</v>
      </c>
      <c r="Q788" s="345">
        <v>58.7</v>
      </c>
      <c r="R788" s="345">
        <f t="shared" si="36"/>
        <v>66.917245330269054</v>
      </c>
      <c r="S788" s="345">
        <f t="shared" si="37"/>
        <v>62.423954669730932</v>
      </c>
    </row>
    <row r="789" spans="11:19" x14ac:dyDescent="0.3">
      <c r="K789" s="344">
        <v>10</v>
      </c>
      <c r="L789" s="344">
        <v>22</v>
      </c>
      <c r="M789" s="345">
        <v>67.011399999999995</v>
      </c>
      <c r="N789" s="345">
        <v>67</v>
      </c>
      <c r="O789" s="345">
        <v>3.2713999999999999</v>
      </c>
      <c r="P789" s="345">
        <v>72.599999999999994</v>
      </c>
      <c r="Q789" s="345">
        <v>59.45</v>
      </c>
      <c r="R789" s="345">
        <f t="shared" si="36"/>
        <v>68.378431054032049</v>
      </c>
      <c r="S789" s="345">
        <f t="shared" si="37"/>
        <v>65.64436894596794</v>
      </c>
    </row>
    <row r="790" spans="11:19" x14ac:dyDescent="0.3">
      <c r="K790" s="344">
        <v>11</v>
      </c>
      <c r="L790" s="344">
        <v>21</v>
      </c>
      <c r="M790" s="345">
        <v>68.861900000000006</v>
      </c>
      <c r="N790" s="345">
        <v>69.3</v>
      </c>
      <c r="O790" s="345">
        <v>3.6291000000000002</v>
      </c>
      <c r="P790" s="345">
        <v>74.05</v>
      </c>
      <c r="Q790" s="345">
        <v>61</v>
      </c>
      <c r="R790" s="345">
        <f t="shared" si="36"/>
        <v>70.414091709092673</v>
      </c>
      <c r="S790" s="345">
        <f t="shared" si="37"/>
        <v>67.309708290907338</v>
      </c>
    </row>
    <row r="791" spans="11:19" x14ac:dyDescent="0.3">
      <c r="K791" s="344">
        <v>12</v>
      </c>
      <c r="L791" s="344">
        <v>39</v>
      </c>
      <c r="M791" s="345">
        <v>71.224400000000003</v>
      </c>
      <c r="N791" s="345">
        <v>70.650000000000006</v>
      </c>
      <c r="O791" s="345">
        <v>4.3956</v>
      </c>
      <c r="P791" s="345">
        <v>81.599999999999994</v>
      </c>
      <c r="Q791" s="345">
        <v>62.5</v>
      </c>
      <c r="R791" s="345">
        <f t="shared" si="36"/>
        <v>72.60396425321666</v>
      </c>
      <c r="S791" s="345">
        <f t="shared" si="37"/>
        <v>69.844835746783346</v>
      </c>
    </row>
    <row r="792" spans="11:19" x14ac:dyDescent="0.3">
      <c r="K792" s="344">
        <v>13</v>
      </c>
      <c r="L792" s="344">
        <v>41</v>
      </c>
      <c r="M792" s="345">
        <v>72.665899999999993</v>
      </c>
      <c r="N792" s="345">
        <v>72.45</v>
      </c>
      <c r="O792" s="345">
        <v>3.6089000000000002</v>
      </c>
      <c r="P792" s="345">
        <v>78.75</v>
      </c>
      <c r="Q792" s="345">
        <v>63.5</v>
      </c>
      <c r="R792" s="345">
        <f t="shared" si="36"/>
        <v>73.770586358988382</v>
      </c>
      <c r="S792" s="345">
        <f t="shared" si="37"/>
        <v>71.561213641011605</v>
      </c>
    </row>
    <row r="793" spans="11:19" x14ac:dyDescent="0.3">
      <c r="K793" s="344">
        <v>14</v>
      </c>
      <c r="L793" s="344">
        <v>45</v>
      </c>
      <c r="M793" s="345">
        <v>73.473799999999997</v>
      </c>
      <c r="N793" s="345">
        <v>74.099999999999994</v>
      </c>
      <c r="O793" s="345">
        <v>3.7719999999999998</v>
      </c>
      <c r="P793" s="345">
        <v>81.95</v>
      </c>
      <c r="Q793" s="345">
        <v>65.900000000000006</v>
      </c>
      <c r="R793" s="345">
        <f t="shared" si="36"/>
        <v>74.57590125905422</v>
      </c>
      <c r="S793" s="345">
        <f t="shared" si="37"/>
        <v>72.371698740945774</v>
      </c>
    </row>
    <row r="794" spans="11:19" x14ac:dyDescent="0.3">
      <c r="K794" s="344">
        <v>15</v>
      </c>
      <c r="L794" s="344">
        <v>12</v>
      </c>
      <c r="M794" s="345">
        <v>73.770799999999994</v>
      </c>
      <c r="N794" s="345">
        <v>72.674999999999997</v>
      </c>
      <c r="O794" s="345">
        <v>4.1044</v>
      </c>
      <c r="P794" s="345">
        <v>83.2</v>
      </c>
      <c r="Q794" s="345">
        <v>68.900000000000006</v>
      </c>
      <c r="R794" s="345">
        <f t="shared" si="36"/>
        <v>76.093082915964658</v>
      </c>
      <c r="S794" s="345">
        <f t="shared" si="37"/>
        <v>71.448517084035331</v>
      </c>
    </row>
    <row r="795" spans="11:19" x14ac:dyDescent="0.3">
      <c r="K795" s="344">
        <v>16</v>
      </c>
      <c r="L795" s="344">
        <v>13</v>
      </c>
      <c r="M795" s="345">
        <v>72.488500000000002</v>
      </c>
      <c r="N795" s="345">
        <v>72.650000000000006</v>
      </c>
      <c r="O795" s="345">
        <v>4.4474999999999998</v>
      </c>
      <c r="P795" s="345">
        <v>79.7</v>
      </c>
      <c r="Q795" s="345">
        <v>65.75</v>
      </c>
      <c r="R795" s="345">
        <f t="shared" si="36"/>
        <v>74.906188540257475</v>
      </c>
      <c r="S795" s="345">
        <f t="shared" si="37"/>
        <v>70.070811459742529</v>
      </c>
    </row>
    <row r="796" spans="11:19" x14ac:dyDescent="0.3">
      <c r="K796" s="344">
        <v>17</v>
      </c>
      <c r="L796" s="344">
        <v>4</v>
      </c>
      <c r="M796" s="345">
        <v>75.462500000000006</v>
      </c>
      <c r="N796" s="345">
        <v>75.3</v>
      </c>
      <c r="O796" s="345">
        <v>3.4359000000000002</v>
      </c>
      <c r="P796" s="345">
        <v>79.55</v>
      </c>
      <c r="Q796" s="345">
        <v>71.7</v>
      </c>
      <c r="R796" s="345">
        <f t="shared" si="36"/>
        <v>78.829682000000005</v>
      </c>
      <c r="S796" s="345">
        <f t="shared" si="37"/>
        <v>72.095318000000006</v>
      </c>
    </row>
    <row r="797" spans="11:19" x14ac:dyDescent="0.3">
      <c r="K797" s="349">
        <v>18</v>
      </c>
      <c r="L797" s="349">
        <v>2</v>
      </c>
      <c r="M797" s="350">
        <v>70.2</v>
      </c>
      <c r="N797" s="350">
        <v>70.2</v>
      </c>
      <c r="O797" s="350">
        <v>6.0811000000000002</v>
      </c>
      <c r="P797" s="350">
        <v>74.5</v>
      </c>
      <c r="Q797" s="350">
        <v>65.900000000000006</v>
      </c>
      <c r="R797" s="350">
        <f t="shared" si="36"/>
        <v>78.627974612264097</v>
      </c>
      <c r="S797" s="350">
        <f t="shared" si="37"/>
        <v>61.772025387735916</v>
      </c>
    </row>
    <row r="798" spans="11:19" x14ac:dyDescent="0.3">
      <c r="K798" s="344"/>
      <c r="L798" s="344"/>
      <c r="M798" s="345"/>
      <c r="N798" s="345"/>
      <c r="O798" s="345"/>
      <c r="P798" s="345"/>
      <c r="Q798" s="345"/>
      <c r="R798" s="345"/>
      <c r="S798" s="345"/>
    </row>
    <row r="799" spans="11:19" x14ac:dyDescent="0.3">
      <c r="K799" s="344"/>
      <c r="L799" s="344"/>
      <c r="M799" s="345"/>
      <c r="N799" s="345"/>
      <c r="O799" s="345"/>
      <c r="P799" s="345"/>
      <c r="Q799" s="345"/>
      <c r="R799" s="345"/>
      <c r="S799" s="345"/>
    </row>
    <row r="800" spans="11:19" x14ac:dyDescent="0.3">
      <c r="K800" s="346" t="s">
        <v>716</v>
      </c>
      <c r="L800" s="344"/>
      <c r="M800" s="345"/>
      <c r="N800" s="345"/>
      <c r="O800" s="345"/>
      <c r="P800" s="345"/>
      <c r="Q800" s="345"/>
      <c r="R800" s="345"/>
      <c r="S800" s="345"/>
    </row>
    <row r="801" spans="11:19" x14ac:dyDescent="0.3">
      <c r="K801" s="347" t="s">
        <v>514</v>
      </c>
      <c r="L801" s="347" t="s">
        <v>649</v>
      </c>
      <c r="M801" s="348" t="s">
        <v>650</v>
      </c>
      <c r="N801" s="348" t="s">
        <v>651</v>
      </c>
      <c r="O801" s="348" t="s">
        <v>652</v>
      </c>
      <c r="P801" s="348" t="s">
        <v>653</v>
      </c>
      <c r="Q801" s="348" t="s">
        <v>654</v>
      </c>
      <c r="R801" s="348" t="s">
        <v>655</v>
      </c>
      <c r="S801" s="348" t="s">
        <v>656</v>
      </c>
    </row>
    <row r="802" spans="11:19" x14ac:dyDescent="0.3">
      <c r="K802" s="354">
        <v>7</v>
      </c>
      <c r="L802" s="354">
        <v>1</v>
      </c>
      <c r="M802" s="355">
        <v>-5.29</v>
      </c>
      <c r="N802" s="355">
        <v>-5.29</v>
      </c>
      <c r="O802" s="355" t="s">
        <v>657</v>
      </c>
      <c r="P802" s="355">
        <v>-5.29</v>
      </c>
      <c r="Q802" s="355">
        <v>-5.29</v>
      </c>
      <c r="R802" s="355"/>
      <c r="S802" s="355"/>
    </row>
    <row r="803" spans="11:19" x14ac:dyDescent="0.3">
      <c r="K803" s="344">
        <v>8</v>
      </c>
      <c r="L803" s="344">
        <v>10</v>
      </c>
      <c r="M803" s="345">
        <v>-4.6479999999999997</v>
      </c>
      <c r="N803" s="345">
        <v>-4.63</v>
      </c>
      <c r="O803" s="345">
        <v>0.29289999999999999</v>
      </c>
      <c r="P803" s="345">
        <v>-4.29</v>
      </c>
      <c r="Q803" s="345">
        <v>-5.14</v>
      </c>
      <c r="R803" s="345">
        <f t="shared" si="36"/>
        <v>-4.4664586991739892</v>
      </c>
      <c r="S803" s="345">
        <f t="shared" si="37"/>
        <v>-4.8295413008260102</v>
      </c>
    </row>
    <row r="804" spans="11:19" x14ac:dyDescent="0.3">
      <c r="K804" s="344">
        <v>9</v>
      </c>
      <c r="L804" s="344">
        <v>17</v>
      </c>
      <c r="M804" s="345">
        <v>-3.9123999999999999</v>
      </c>
      <c r="N804" s="345">
        <v>-4.0599999999999996</v>
      </c>
      <c r="O804" s="345">
        <v>0.3196</v>
      </c>
      <c r="P804" s="345">
        <v>-3.23</v>
      </c>
      <c r="Q804" s="345">
        <v>-4.3099999999999996</v>
      </c>
      <c r="R804" s="345">
        <f t="shared" si="36"/>
        <v>-3.7604718039072402</v>
      </c>
      <c r="S804" s="345">
        <f t="shared" si="37"/>
        <v>-4.0643281960927595</v>
      </c>
    </row>
    <row r="805" spans="11:19" x14ac:dyDescent="0.3">
      <c r="K805" s="344">
        <v>10</v>
      </c>
      <c r="L805" s="344">
        <v>22</v>
      </c>
      <c r="M805" s="345">
        <v>-3.3317999999999999</v>
      </c>
      <c r="N805" s="345">
        <v>-3.3</v>
      </c>
      <c r="O805" s="345">
        <v>0.34489999999999998</v>
      </c>
      <c r="P805" s="345">
        <v>-2.68</v>
      </c>
      <c r="Q805" s="345">
        <v>-3.94</v>
      </c>
      <c r="R805" s="345">
        <f t="shared" si="36"/>
        <v>-3.1876754629407418</v>
      </c>
      <c r="S805" s="345">
        <f t="shared" si="37"/>
        <v>-3.475924537059258</v>
      </c>
    </row>
    <row r="806" spans="11:19" x14ac:dyDescent="0.3">
      <c r="K806" s="344">
        <v>11</v>
      </c>
      <c r="L806" s="344">
        <v>21</v>
      </c>
      <c r="M806" s="345">
        <v>-2.5933000000000002</v>
      </c>
      <c r="N806" s="345">
        <v>-2.56</v>
      </c>
      <c r="O806" s="345">
        <v>0.42259999999999998</v>
      </c>
      <c r="P806" s="345">
        <v>-2.04</v>
      </c>
      <c r="Q806" s="345">
        <v>-3.39</v>
      </c>
      <c r="R806" s="345">
        <f t="shared" si="36"/>
        <v>-2.4125509943890888</v>
      </c>
      <c r="S806" s="345">
        <f t="shared" si="37"/>
        <v>-2.7740490056109115</v>
      </c>
    </row>
    <row r="807" spans="11:19" x14ac:dyDescent="0.3">
      <c r="K807" s="344">
        <v>12</v>
      </c>
      <c r="L807" s="344">
        <v>39</v>
      </c>
      <c r="M807" s="345">
        <v>-1.9258999999999999</v>
      </c>
      <c r="N807" s="345">
        <v>-1.93</v>
      </c>
      <c r="O807" s="345">
        <v>0.43609999999999999</v>
      </c>
      <c r="P807" s="345">
        <v>-0.82</v>
      </c>
      <c r="Q807" s="345">
        <v>-2.61</v>
      </c>
      <c r="R807" s="345">
        <f t="shared" si="36"/>
        <v>-1.7890294997661789</v>
      </c>
      <c r="S807" s="345">
        <f t="shared" si="37"/>
        <v>-2.062770500233821</v>
      </c>
    </row>
    <row r="808" spans="11:19" x14ac:dyDescent="0.3">
      <c r="K808" s="344">
        <v>13</v>
      </c>
      <c r="L808" s="344">
        <v>41</v>
      </c>
      <c r="M808" s="345">
        <v>-1.3875999999999999</v>
      </c>
      <c r="N808" s="345">
        <v>-1.32</v>
      </c>
      <c r="O808" s="345">
        <v>0.43259999999999998</v>
      </c>
      <c r="P808" s="345">
        <v>-0.68</v>
      </c>
      <c r="Q808" s="345">
        <v>-2.4500000000000002</v>
      </c>
      <c r="R808" s="345">
        <f t="shared" si="36"/>
        <v>-1.2551808919896985</v>
      </c>
      <c r="S808" s="345">
        <f t="shared" si="37"/>
        <v>-1.5200191080103014</v>
      </c>
    </row>
    <row r="809" spans="11:19" x14ac:dyDescent="0.3">
      <c r="K809" s="344">
        <v>14</v>
      </c>
      <c r="L809" s="344">
        <v>45</v>
      </c>
      <c r="M809" s="345">
        <v>-0.73640000000000005</v>
      </c>
      <c r="N809" s="345">
        <v>-0.72</v>
      </c>
      <c r="O809" s="345">
        <v>0.30099999999999999</v>
      </c>
      <c r="P809" s="345">
        <v>-0.11</v>
      </c>
      <c r="Q809" s="345">
        <v>-1.36</v>
      </c>
      <c r="R809" s="345">
        <f t="shared" si="36"/>
        <v>-0.64845395573294828</v>
      </c>
      <c r="S809" s="345">
        <f t="shared" si="37"/>
        <v>-0.82434604426705183</v>
      </c>
    </row>
    <row r="810" spans="11:19" x14ac:dyDescent="0.3">
      <c r="K810" s="344">
        <v>15</v>
      </c>
      <c r="L810" s="344">
        <v>12</v>
      </c>
      <c r="M810" s="345">
        <v>-0.1125</v>
      </c>
      <c r="N810" s="345">
        <v>-0.155</v>
      </c>
      <c r="O810" s="345">
        <v>0.46160000000000001</v>
      </c>
      <c r="P810" s="345">
        <v>0.69</v>
      </c>
      <c r="Q810" s="345">
        <v>-0.87</v>
      </c>
      <c r="R810" s="345">
        <f t="shared" si="36"/>
        <v>0.14867478657277267</v>
      </c>
      <c r="S810" s="345">
        <f t="shared" si="37"/>
        <v>-0.37367478657277264</v>
      </c>
    </row>
    <row r="811" spans="11:19" x14ac:dyDescent="0.3">
      <c r="K811" s="344">
        <v>16</v>
      </c>
      <c r="L811" s="344">
        <v>13</v>
      </c>
      <c r="M811" s="345">
        <v>0.3846</v>
      </c>
      <c r="N811" s="345">
        <v>0.42</v>
      </c>
      <c r="O811" s="345">
        <v>0.49430000000000002</v>
      </c>
      <c r="P811" s="345">
        <v>1.2</v>
      </c>
      <c r="Q811" s="345">
        <v>-0.37</v>
      </c>
      <c r="R811" s="345">
        <f t="shared" si="36"/>
        <v>0.65330454085424816</v>
      </c>
      <c r="S811" s="345">
        <f t="shared" si="37"/>
        <v>0.11589545914575183</v>
      </c>
    </row>
    <row r="812" spans="11:19" x14ac:dyDescent="0.3">
      <c r="K812" s="344">
        <v>17</v>
      </c>
      <c r="L812" s="344">
        <v>4</v>
      </c>
      <c r="M812" s="345">
        <v>1.2749999999999999</v>
      </c>
      <c r="N812" s="345">
        <v>1.26</v>
      </c>
      <c r="O812" s="345">
        <v>0.25419999999999998</v>
      </c>
      <c r="P812" s="345">
        <v>1.55</v>
      </c>
      <c r="Q812" s="345">
        <v>1.03</v>
      </c>
      <c r="R812" s="345">
        <f t="shared" si="36"/>
        <v>1.5241159999999998</v>
      </c>
      <c r="S812" s="345">
        <f t="shared" si="37"/>
        <v>1.025884</v>
      </c>
    </row>
    <row r="813" spans="11:19" x14ac:dyDescent="0.3">
      <c r="K813" s="349">
        <v>18</v>
      </c>
      <c r="L813" s="349">
        <v>2</v>
      </c>
      <c r="M813" s="350">
        <v>1.575</v>
      </c>
      <c r="N813" s="350">
        <v>1.575</v>
      </c>
      <c r="O813" s="350">
        <v>0.7</v>
      </c>
      <c r="P813" s="350">
        <v>2.0699999999999998</v>
      </c>
      <c r="Q813" s="350">
        <v>1.08</v>
      </c>
      <c r="R813" s="350">
        <f t="shared" si="36"/>
        <v>2.5451505037879429</v>
      </c>
      <c r="S813" s="350">
        <f t="shared" si="37"/>
        <v>0.60484949621205686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70"/>
  <sheetViews>
    <sheetView zoomScale="70" zoomScaleNormal="70" workbookViewId="0">
      <selection activeCell="S58" sqref="S58"/>
    </sheetView>
  </sheetViews>
  <sheetFormatPr baseColWidth="10" defaultRowHeight="14.4" x14ac:dyDescent="0.3"/>
  <cols>
    <col min="1" max="1" width="20.88671875" customWidth="1"/>
    <col min="5" max="5" width="17.88671875" customWidth="1"/>
    <col min="7" max="7" width="21.6640625" customWidth="1"/>
    <col min="8" max="8" width="20" customWidth="1"/>
    <col min="9" max="9" width="17.6640625" customWidth="1"/>
    <col min="10" max="10" width="20.33203125" customWidth="1"/>
    <col min="11" max="11" width="18.5546875" customWidth="1"/>
    <col min="12" max="12" width="16.88671875" customWidth="1"/>
    <col min="13" max="13" width="18.33203125" customWidth="1"/>
    <col min="15" max="15" width="11.33203125" customWidth="1"/>
    <col min="16" max="16" width="13.44140625" customWidth="1"/>
    <col min="17" max="17" width="15.33203125" customWidth="1"/>
    <col min="18" max="18" width="14.6640625" customWidth="1"/>
    <col min="19" max="19" width="9.33203125" customWidth="1"/>
    <col min="20" max="20" width="15.5546875" customWidth="1"/>
  </cols>
  <sheetData>
    <row r="1" spans="1:24" ht="27.6" x14ac:dyDescent="0.3">
      <c r="A1" s="729" t="s">
        <v>258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67"/>
      <c r="T1" s="11"/>
      <c r="U1" s="11"/>
      <c r="V1" s="11"/>
      <c r="W1" s="11"/>
      <c r="X1" s="11"/>
    </row>
    <row r="2" spans="1:24" ht="15" thickBot="1" x14ac:dyDescent="0.35">
      <c r="A2" s="11"/>
      <c r="B2" s="11"/>
      <c r="C2" s="11"/>
      <c r="D2" s="11"/>
      <c r="E2" s="10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9.2" thickTop="1" thickBot="1" x14ac:dyDescent="0.55000000000000004">
      <c r="A3" s="256" t="s">
        <v>257</v>
      </c>
      <c r="B3" s="261">
        <f>'ANTROPOMETRÍA DEPORTISTAS'!B7</f>
        <v>0</v>
      </c>
      <c r="C3" s="191" t="s">
        <v>312</v>
      </c>
      <c r="D3" s="137" t="e">
        <f>'ANTROPOMETRÍA DEPORTISTAS'!#REF!</f>
        <v>#REF!</v>
      </c>
      <c r="E3" s="175" t="s">
        <v>255</v>
      </c>
      <c r="F3" s="137"/>
      <c r="G3" s="175" t="s">
        <v>256</v>
      </c>
      <c r="H3" s="138" t="e">
        <f>'ANTROPOMETRÍA DEPORTISTAS'!#REF!</f>
        <v>#REF!</v>
      </c>
      <c r="I3" s="176" t="s">
        <v>254</v>
      </c>
      <c r="J3" s="227"/>
      <c r="K3" s="114"/>
      <c r="L3" s="114"/>
      <c r="M3" s="114"/>
      <c r="N3" s="114"/>
      <c r="O3" s="114"/>
      <c r="P3" s="114"/>
      <c r="Q3" s="114"/>
      <c r="R3" s="114"/>
      <c r="S3" s="11"/>
      <c r="T3" s="11"/>
      <c r="U3" s="11"/>
      <c r="V3" s="11"/>
      <c r="W3" s="11"/>
      <c r="X3" s="11"/>
    </row>
    <row r="4" spans="1:24" ht="20.399999999999999" thickTop="1" thickBot="1" x14ac:dyDescent="0.55000000000000004">
      <c r="A4" s="193" t="s">
        <v>263</v>
      </c>
      <c r="B4" s="262">
        <f>'ANTROPOMETRÍA DEPORTISTAS'!B9</f>
        <v>0</v>
      </c>
      <c r="C4" s="139"/>
      <c r="D4" s="140"/>
      <c r="E4" s="141"/>
      <c r="F4" s="140"/>
      <c r="G4" s="141"/>
      <c r="H4" s="140"/>
      <c r="I4" s="228" t="s">
        <v>359</v>
      </c>
      <c r="J4" s="229">
        <f>'ANTROPOMETRÍA DEPORTISTAS'!B58</f>
        <v>0</v>
      </c>
      <c r="K4" s="731" t="s">
        <v>360</v>
      </c>
      <c r="L4" s="731"/>
      <c r="M4" s="731"/>
      <c r="N4" s="114"/>
      <c r="O4" s="364" t="s">
        <v>732</v>
      </c>
      <c r="P4" s="365" t="s">
        <v>732</v>
      </c>
      <c r="Q4" s="114"/>
      <c r="R4" s="114"/>
      <c r="S4" s="11"/>
      <c r="T4" s="11"/>
      <c r="U4" s="11"/>
      <c r="V4" s="11"/>
      <c r="W4" s="11"/>
      <c r="X4" s="11"/>
    </row>
    <row r="5" spans="1:24" ht="18.600000000000001" thickBot="1" x14ac:dyDescent="0.55000000000000004">
      <c r="A5" s="139"/>
      <c r="B5" s="196"/>
      <c r="C5" s="139"/>
      <c r="D5" s="140"/>
      <c r="E5" s="141"/>
      <c r="F5" s="140"/>
      <c r="G5" s="141"/>
      <c r="H5" s="140"/>
      <c r="I5" s="114"/>
      <c r="J5" s="114"/>
      <c r="K5" s="230" t="s">
        <v>361</v>
      </c>
      <c r="L5" s="231" t="s">
        <v>362</v>
      </c>
      <c r="M5" s="232" t="s">
        <v>363</v>
      </c>
      <c r="O5" s="114"/>
      <c r="P5" s="114"/>
      <c r="Q5" s="114"/>
      <c r="R5" s="114"/>
      <c r="S5" s="11"/>
      <c r="T5" s="11"/>
      <c r="U5" s="11"/>
      <c r="V5" s="11"/>
      <c r="W5" s="11"/>
      <c r="X5" s="11"/>
    </row>
    <row r="6" spans="1:24" ht="19.8" thickBot="1" x14ac:dyDescent="0.55000000000000004">
      <c r="A6" s="732" t="s">
        <v>259</v>
      </c>
      <c r="B6" s="733"/>
      <c r="C6" s="733"/>
      <c r="D6" s="734"/>
      <c r="E6" s="732" t="s">
        <v>259</v>
      </c>
      <c r="F6" s="733"/>
      <c r="G6" s="733"/>
      <c r="H6" s="734"/>
      <c r="I6" s="735" t="s">
        <v>265</v>
      </c>
      <c r="J6" s="736"/>
      <c r="K6" s="233" t="s">
        <v>364</v>
      </c>
      <c r="L6" s="234" t="s">
        <v>365</v>
      </c>
      <c r="M6" s="234" t="s">
        <v>366</v>
      </c>
      <c r="O6" s="114"/>
      <c r="P6" s="114"/>
      <c r="Q6" s="114"/>
      <c r="R6" s="114"/>
      <c r="S6" s="11"/>
      <c r="T6" s="11"/>
      <c r="U6" s="11"/>
      <c r="V6" s="11"/>
      <c r="W6" s="11"/>
      <c r="X6" s="11"/>
    </row>
    <row r="7" spans="1:24" ht="18.600000000000001" thickBot="1" x14ac:dyDescent="0.55000000000000004">
      <c r="A7" s="737" t="s">
        <v>260</v>
      </c>
      <c r="B7" s="738"/>
      <c r="C7" s="578" t="s">
        <v>264</v>
      </c>
      <c r="D7" s="579"/>
      <c r="E7" s="737" t="s">
        <v>367</v>
      </c>
      <c r="F7" s="738"/>
      <c r="G7" s="578"/>
      <c r="H7" s="579"/>
      <c r="I7" s="723" t="e">
        <f>((D3-B3)/D3)*100</f>
        <v>#REF!</v>
      </c>
      <c r="J7" s="723"/>
      <c r="K7" s="233" t="s">
        <v>368</v>
      </c>
      <c r="L7" s="234" t="s">
        <v>369</v>
      </c>
      <c r="M7" s="234" t="s">
        <v>370</v>
      </c>
      <c r="O7" s="114"/>
      <c r="P7" s="114"/>
      <c r="Q7" s="114"/>
      <c r="R7" s="114"/>
      <c r="S7" s="11"/>
      <c r="T7" s="11"/>
      <c r="U7" s="11"/>
      <c r="V7" s="11"/>
      <c r="W7" s="11"/>
      <c r="X7" s="11"/>
    </row>
    <row r="8" spans="1:24" ht="19.8" thickBot="1" x14ac:dyDescent="0.55000000000000004">
      <c r="A8" s="142" t="s">
        <v>261</v>
      </c>
      <c r="B8" s="194">
        <f>22.1*(POWER(B4/100,2))</f>
        <v>0</v>
      </c>
      <c r="C8" s="143" t="s">
        <v>261</v>
      </c>
      <c r="D8" s="144">
        <f>23*(POWER(B3/100,2))</f>
        <v>0</v>
      </c>
      <c r="E8" s="142" t="s">
        <v>261</v>
      </c>
      <c r="F8" s="194">
        <f>(B4-152)*1.08+48.5</f>
        <v>-115.66000000000003</v>
      </c>
      <c r="G8" s="143" t="s">
        <v>261</v>
      </c>
      <c r="H8" s="144">
        <f>23*(POWER(F4/100,2))</f>
        <v>0</v>
      </c>
      <c r="I8" s="721" t="s">
        <v>371</v>
      </c>
      <c r="J8" s="722"/>
      <c r="K8" s="233" t="s">
        <v>372</v>
      </c>
      <c r="L8" s="234" t="s">
        <v>373</v>
      </c>
      <c r="M8" s="234" t="s">
        <v>374</v>
      </c>
      <c r="O8" s="114"/>
      <c r="P8" s="114"/>
      <c r="Q8" s="114"/>
      <c r="R8" s="114"/>
      <c r="S8" s="11"/>
      <c r="T8" s="11"/>
      <c r="U8" s="11"/>
      <c r="V8" s="11"/>
      <c r="W8" s="11"/>
      <c r="X8" s="11"/>
    </row>
    <row r="9" spans="1:24" ht="18.600000000000001" thickBot="1" x14ac:dyDescent="0.55000000000000004">
      <c r="A9" s="142" t="s">
        <v>262</v>
      </c>
      <c r="B9" s="194">
        <f>20.6*(POWER(B4/100,2))</f>
        <v>0</v>
      </c>
      <c r="C9" s="142" t="s">
        <v>262</v>
      </c>
      <c r="D9" s="145">
        <f>21.5*(POWER(B3/100,2))</f>
        <v>0</v>
      </c>
      <c r="E9" s="142" t="s">
        <v>262</v>
      </c>
      <c r="F9" s="194">
        <f>(B4-152)*0.88+45.5</f>
        <v>-88.259999999999991</v>
      </c>
      <c r="G9" s="142" t="s">
        <v>262</v>
      </c>
      <c r="H9" s="145">
        <f>21.5*(POWER(F4/100,2))</f>
        <v>0</v>
      </c>
      <c r="I9" s="723">
        <f>(B3-F9)*0.25+F9</f>
        <v>-66.194999999999993</v>
      </c>
      <c r="J9" s="723"/>
      <c r="K9" s="233" t="s">
        <v>375</v>
      </c>
      <c r="L9" s="234" t="s">
        <v>376</v>
      </c>
      <c r="M9" s="234" t="s">
        <v>377</v>
      </c>
      <c r="O9" s="114"/>
      <c r="P9" s="114"/>
      <c r="Q9" s="114"/>
      <c r="R9" s="114"/>
      <c r="S9" s="11"/>
      <c r="T9" s="11"/>
      <c r="U9" s="11"/>
      <c r="V9" s="11"/>
      <c r="W9" s="11"/>
      <c r="X9" s="11"/>
    </row>
    <row r="10" spans="1:24" ht="18" x14ac:dyDescent="0.5">
      <c r="A10" s="139"/>
      <c r="B10" s="196"/>
      <c r="C10" s="139"/>
      <c r="D10" s="140"/>
      <c r="E10" s="141"/>
      <c r="H10" s="140"/>
      <c r="K10" s="114"/>
      <c r="O10" s="114"/>
      <c r="P10" s="114"/>
      <c r="Q10" s="114"/>
      <c r="R10" s="114"/>
      <c r="S10" s="11"/>
      <c r="T10" s="11"/>
      <c r="U10" s="11"/>
      <c r="V10" s="11"/>
      <c r="W10" s="11"/>
      <c r="X10" s="11"/>
    </row>
    <row r="11" spans="1:24" ht="18.600000000000001" thickBot="1" x14ac:dyDescent="0.55000000000000004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"/>
      <c r="T11" s="11"/>
      <c r="U11" s="11"/>
      <c r="V11" s="11"/>
      <c r="W11" s="11"/>
      <c r="X11" s="11"/>
    </row>
    <row r="12" spans="1:24" ht="19.2" thickTop="1" thickBot="1" x14ac:dyDescent="0.55000000000000004">
      <c r="A12" s="724" t="s">
        <v>82</v>
      </c>
      <c r="B12" s="724"/>
      <c r="C12" s="724"/>
      <c r="D12" s="146"/>
      <c r="E12" s="724" t="s">
        <v>306</v>
      </c>
      <c r="F12" s="724"/>
      <c r="G12" s="724"/>
      <c r="H12" s="724"/>
      <c r="I12" s="114"/>
      <c r="J12" s="724" t="s">
        <v>92</v>
      </c>
      <c r="K12" s="724"/>
      <c r="L12" s="725"/>
      <c r="M12" s="725"/>
      <c r="N12" s="725"/>
      <c r="P12" s="726" t="s">
        <v>378</v>
      </c>
      <c r="Q12" s="727"/>
      <c r="R12" s="727"/>
      <c r="S12" s="728"/>
      <c r="T12" s="11"/>
      <c r="U12" s="696" t="s">
        <v>731</v>
      </c>
      <c r="V12" s="697"/>
      <c r="W12" s="698"/>
      <c r="X12" s="699"/>
    </row>
    <row r="13" spans="1:24" ht="19.2" thickTop="1" thickBot="1" x14ac:dyDescent="0.55000000000000004">
      <c r="A13" s="710" t="s">
        <v>83</v>
      </c>
      <c r="B13" s="711"/>
      <c r="C13" s="235">
        <f>J3</f>
        <v>0</v>
      </c>
      <c r="D13" s="114"/>
      <c r="E13" s="191" t="s">
        <v>307</v>
      </c>
      <c r="F13" s="197"/>
      <c r="G13" s="148">
        <f>(J3*F13)</f>
        <v>0</v>
      </c>
      <c r="H13" s="149" t="s">
        <v>89</v>
      </c>
      <c r="I13" s="114"/>
      <c r="J13" s="712" t="s">
        <v>267</v>
      </c>
      <c r="K13" s="700"/>
      <c r="L13" s="563">
        <f>(66.47+(13.75*J3)+(5*B4)-(6.75*HISTORIA!C7))</f>
        <v>-784.71424657534249</v>
      </c>
      <c r="M13" s="564"/>
      <c r="N13" s="713"/>
      <c r="O13" s="236"/>
      <c r="P13" s="700" t="s">
        <v>267</v>
      </c>
      <c r="Q13" s="701"/>
      <c r="R13" s="714">
        <f>88.362+(13.397*J3)+(4.799*B4)-(5.677*HISTORIA!C7)</f>
        <v>-627.51547671232879</v>
      </c>
      <c r="S13" s="715"/>
      <c r="T13" s="96"/>
      <c r="U13" s="700" t="s">
        <v>267</v>
      </c>
      <c r="V13" s="701"/>
      <c r="W13" s="693">
        <f>(500+(22*O5))</f>
        <v>500</v>
      </c>
      <c r="X13" s="694"/>
    </row>
    <row r="14" spans="1:24" ht="19.2" thickTop="1" thickBot="1" x14ac:dyDescent="0.55000000000000004">
      <c r="A14" s="716" t="s">
        <v>267</v>
      </c>
      <c r="B14" s="717"/>
      <c r="C14" s="150">
        <f>(J3*24*1)</f>
        <v>0</v>
      </c>
      <c r="D14" s="114"/>
      <c r="E14" s="191" t="s">
        <v>308</v>
      </c>
      <c r="F14" s="197"/>
      <c r="G14" s="151">
        <f>F14*J3</f>
        <v>0</v>
      </c>
      <c r="H14" s="194" t="s">
        <v>90</v>
      </c>
      <c r="I14" s="114"/>
      <c r="J14" s="718" t="s">
        <v>268</v>
      </c>
      <c r="K14" s="718"/>
      <c r="L14" s="719">
        <f>(655.1+(9.56*J3)+(1.85*B4)-(4.7*HISTORIA!C7))</f>
        <v>62.423561643835569</v>
      </c>
      <c r="M14" s="719"/>
      <c r="N14" s="719"/>
      <c r="P14" s="702" t="s">
        <v>268</v>
      </c>
      <c r="Q14" s="703"/>
      <c r="R14" s="720">
        <f>447.593+(9.247*J3)+(3.098*B4)-(4.33*HISTORIA!C7)</f>
        <v>-98.425931506849281</v>
      </c>
      <c r="S14" s="517"/>
      <c r="T14" s="96"/>
      <c r="U14" s="702" t="s">
        <v>268</v>
      </c>
      <c r="V14" s="703"/>
      <c r="W14" s="693">
        <f>(500+(22*P5))</f>
        <v>500</v>
      </c>
      <c r="X14" s="694"/>
    </row>
    <row r="15" spans="1:24" ht="19.2" thickTop="1" thickBot="1" x14ac:dyDescent="0.55000000000000004">
      <c r="A15" s="739" t="s">
        <v>268</v>
      </c>
      <c r="B15" s="740"/>
      <c r="C15" s="152">
        <f>(J3*24*0.98)</f>
        <v>0</v>
      </c>
      <c r="D15" s="114"/>
      <c r="E15" s="191" t="s">
        <v>309</v>
      </c>
      <c r="F15" s="197"/>
      <c r="G15" s="151">
        <f>F15*J3</f>
        <v>0</v>
      </c>
      <c r="H15" s="194" t="s">
        <v>91</v>
      </c>
      <c r="I15" s="114"/>
      <c r="J15" s="741" t="s">
        <v>93</v>
      </c>
      <c r="K15" s="741"/>
      <c r="L15" s="742"/>
      <c r="M15" s="742"/>
      <c r="N15" s="742"/>
      <c r="P15" s="704" t="s">
        <v>93</v>
      </c>
      <c r="Q15" s="705"/>
      <c r="R15" s="743">
        <f>L15</f>
        <v>0</v>
      </c>
      <c r="S15" s="744"/>
      <c r="T15" s="11"/>
      <c r="U15" s="704" t="s">
        <v>93</v>
      </c>
      <c r="V15" s="705"/>
      <c r="W15" s="706">
        <f>S7</f>
        <v>0</v>
      </c>
      <c r="X15" s="707"/>
    </row>
    <row r="16" spans="1:24" ht="19.2" thickTop="1" thickBot="1" x14ac:dyDescent="0.55000000000000004">
      <c r="A16" s="745" t="s">
        <v>269</v>
      </c>
      <c r="B16" s="746"/>
      <c r="C16" s="153">
        <f>C14/10</f>
        <v>0</v>
      </c>
      <c r="D16" s="114"/>
      <c r="E16" s="114"/>
      <c r="F16" s="114"/>
      <c r="G16" s="114"/>
      <c r="H16" s="114"/>
      <c r="I16" s="114"/>
      <c r="J16" s="747" t="s">
        <v>276</v>
      </c>
      <c r="K16" s="748"/>
      <c r="L16" s="749">
        <v>1</v>
      </c>
      <c r="M16" s="750"/>
      <c r="N16" s="751"/>
      <c r="P16" s="708" t="s">
        <v>271</v>
      </c>
      <c r="Q16" s="709"/>
      <c r="R16" s="752">
        <f>R13*R15</f>
        <v>0</v>
      </c>
      <c r="S16" s="753"/>
      <c r="T16" s="11"/>
      <c r="U16" s="708" t="s">
        <v>271</v>
      </c>
      <c r="V16" s="709"/>
      <c r="W16" s="693">
        <f>W13*W15</f>
        <v>0</v>
      </c>
      <c r="X16" s="694"/>
    </row>
    <row r="17" spans="1:50" ht="18.600000000000001" thickBot="1" x14ac:dyDescent="0.55000000000000004">
      <c r="A17" s="691" t="s">
        <v>270</v>
      </c>
      <c r="B17" s="692"/>
      <c r="C17" s="153">
        <f>(C15)/10</f>
        <v>0</v>
      </c>
      <c r="D17" s="114"/>
      <c r="E17" s="767" t="s">
        <v>384</v>
      </c>
      <c r="F17" s="768"/>
      <c r="G17" s="768"/>
      <c r="H17" s="769"/>
      <c r="I17" s="237"/>
      <c r="J17" s="770" t="s">
        <v>271</v>
      </c>
      <c r="K17" s="771"/>
      <c r="L17" s="749">
        <f>L13*L15*L16</f>
        <v>0</v>
      </c>
      <c r="M17" s="750"/>
      <c r="N17" s="751"/>
      <c r="P17" s="691" t="s">
        <v>272</v>
      </c>
      <c r="Q17" s="692"/>
      <c r="R17" s="693">
        <f>R14*R15</f>
        <v>0</v>
      </c>
      <c r="S17" s="694"/>
      <c r="T17" s="11"/>
      <c r="U17" s="691" t="s">
        <v>272</v>
      </c>
      <c r="V17" s="692"/>
      <c r="W17" s="693">
        <f>W14*W15</f>
        <v>0</v>
      </c>
      <c r="X17" s="694"/>
    </row>
    <row r="18" spans="1:50" ht="18.600000000000001" thickBot="1" x14ac:dyDescent="0.55000000000000004">
      <c r="A18" s="754" t="s">
        <v>305</v>
      </c>
      <c r="B18" s="755"/>
      <c r="C18" s="153">
        <v>1.5</v>
      </c>
      <c r="D18" s="114"/>
      <c r="E18" s="195" t="s">
        <v>386</v>
      </c>
      <c r="F18" s="756" t="s">
        <v>387</v>
      </c>
      <c r="G18" s="757"/>
      <c r="H18" s="758"/>
      <c r="I18" s="114"/>
      <c r="J18" s="759" t="s">
        <v>272</v>
      </c>
      <c r="K18" s="760"/>
      <c r="L18" s="714">
        <f>L14*L15*L16</f>
        <v>0</v>
      </c>
      <c r="M18" s="761"/>
      <c r="N18" s="715"/>
      <c r="T18" s="11"/>
      <c r="U18" s="11"/>
      <c r="V18" s="11"/>
      <c r="W18" s="11"/>
    </row>
    <row r="19" spans="1:50" ht="19.2" thickTop="1" thickBot="1" x14ac:dyDescent="0.55000000000000004">
      <c r="A19" s="762" t="s">
        <v>271</v>
      </c>
      <c r="B19" s="763"/>
      <c r="C19" s="150">
        <f>(C14+C16)*C18</f>
        <v>0</v>
      </c>
      <c r="D19" s="114"/>
      <c r="E19" s="192" t="s">
        <v>389</v>
      </c>
      <c r="F19" s="764" t="s">
        <v>390</v>
      </c>
      <c r="G19" s="765"/>
      <c r="H19" s="766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"/>
      <c r="T19" s="11"/>
      <c r="U19" s="11"/>
      <c r="V19" s="11"/>
      <c r="W19" s="11"/>
    </row>
    <row r="20" spans="1:50" ht="19.2" thickTop="1" thickBot="1" x14ac:dyDescent="0.55000000000000004">
      <c r="A20" s="691" t="s">
        <v>272</v>
      </c>
      <c r="B20" s="692"/>
      <c r="C20" s="150">
        <f>(C15+C17)*C18</f>
        <v>0</v>
      </c>
      <c r="D20" s="114"/>
      <c r="E20" s="192" t="s">
        <v>392</v>
      </c>
      <c r="F20" s="764" t="s">
        <v>436</v>
      </c>
      <c r="G20" s="765"/>
      <c r="H20" s="766"/>
      <c r="I20" s="154"/>
      <c r="J20" s="772" t="s">
        <v>393</v>
      </c>
      <c r="K20" s="773"/>
      <c r="L20" s="774"/>
      <c r="M20" s="154"/>
      <c r="N20" s="775" t="s">
        <v>394</v>
      </c>
      <c r="O20" s="776"/>
      <c r="P20" s="776"/>
      <c r="Q20" s="777"/>
      <c r="S20" s="778" t="s">
        <v>395</v>
      </c>
      <c r="T20" s="779"/>
      <c r="U20" s="779"/>
      <c r="V20" s="780"/>
      <c r="W20" s="11"/>
      <c r="Y20" s="66" t="s">
        <v>379</v>
      </c>
      <c r="Z20" s="66"/>
      <c r="AA20" s="11"/>
      <c r="AB20" s="11"/>
      <c r="AC20" s="11"/>
    </row>
    <row r="21" spans="1:50" ht="18.600000000000001" thickBot="1" x14ac:dyDescent="0.55000000000000004">
      <c r="A21" s="139"/>
      <c r="B21" s="139"/>
      <c r="C21" s="114"/>
      <c r="D21" s="114"/>
      <c r="E21" s="781" t="s">
        <v>397</v>
      </c>
      <c r="F21" s="781"/>
      <c r="G21" s="781"/>
      <c r="H21" s="238">
        <v>2040</v>
      </c>
      <c r="I21" s="114"/>
      <c r="J21" s="737" t="s">
        <v>398</v>
      </c>
      <c r="K21" s="782"/>
      <c r="L21" s="155">
        <v>1.2</v>
      </c>
      <c r="M21" s="114"/>
      <c r="N21" s="700" t="s">
        <v>267</v>
      </c>
      <c r="O21" s="701"/>
      <c r="P21" s="693">
        <f>((13.587*'ANTROPOMETRÍA DEPORTISTAS'!B58)+(9.613*'ANTROPOMETRÍA DEPORTISTAS'!B59)+(198*1)-(3.351*HISTORIA!C7)+674)</f>
        <v>449.43430958904111</v>
      </c>
      <c r="Q21" s="694"/>
      <c r="R21" s="11"/>
      <c r="S21" s="783" t="s">
        <v>267</v>
      </c>
      <c r="T21" s="784"/>
      <c r="U21" s="693">
        <f>(9.99*J3)+(6.25*B4)-(4.92*HISTORIA!C7)+5</f>
        <v>-615.41873972602741</v>
      </c>
      <c r="V21" s="694"/>
      <c r="W21" s="11"/>
      <c r="Y21" s="11" t="s">
        <v>380</v>
      </c>
      <c r="Z21" s="11"/>
      <c r="AA21" s="11"/>
      <c r="AB21" s="11"/>
      <c r="AC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9.2" thickTop="1" thickBot="1" x14ac:dyDescent="0.55000000000000004">
      <c r="A22" s="517"/>
      <c r="B22" s="517"/>
      <c r="C22" s="517"/>
      <c r="D22" s="114"/>
      <c r="E22" s="785" t="s">
        <v>400</v>
      </c>
      <c r="F22" s="785"/>
      <c r="G22" s="785"/>
      <c r="H22" s="239" t="e">
        <f>HISTORIA!K41</f>
        <v>#REF!</v>
      </c>
      <c r="I22" s="114"/>
      <c r="J22" s="786" t="s">
        <v>401</v>
      </c>
      <c r="K22" s="787"/>
      <c r="L22" s="240">
        <v>1375</v>
      </c>
      <c r="M22" s="114"/>
      <c r="N22" s="702" t="s">
        <v>268</v>
      </c>
      <c r="O22" s="703"/>
      <c r="P22" s="693">
        <f>((13.587*'ANTROPOMETRÍA DEPORTISTAS'!B58)+(9.613*'ANTROPOMETRÍA DEPORTISTAS'!B59)+(198*0)-(3.351*HISTORIA!C7)+674)</f>
        <v>251.43430958904111</v>
      </c>
      <c r="Q22" s="694"/>
      <c r="R22" s="241"/>
      <c r="S22" s="702" t="s">
        <v>268</v>
      </c>
      <c r="T22" s="703"/>
      <c r="U22" s="693">
        <f>(9.99*J3)+(6.25*B4)-(4.92*HISTORIA!C7)-161</f>
        <v>-781.41873972602741</v>
      </c>
      <c r="V22" s="694"/>
      <c r="W22" s="11"/>
      <c r="Y22" s="66" t="s">
        <v>381</v>
      </c>
      <c r="Z22" s="66"/>
      <c r="AA22" s="11"/>
      <c r="AB22" s="11"/>
      <c r="AC22" s="11"/>
    </row>
    <row r="23" spans="1:50" ht="19.2" thickTop="1" thickBot="1" x14ac:dyDescent="0.55000000000000004">
      <c r="A23" s="796" t="s">
        <v>95</v>
      </c>
      <c r="B23" s="796"/>
      <c r="C23" s="797"/>
      <c r="D23" s="114"/>
      <c r="E23" s="798" t="s">
        <v>403</v>
      </c>
      <c r="F23" s="799"/>
      <c r="G23" s="242"/>
      <c r="H23" s="243"/>
      <c r="I23" s="114"/>
      <c r="J23" s="789" t="s">
        <v>404</v>
      </c>
      <c r="K23" s="790"/>
      <c r="L23" s="156">
        <v>1.55</v>
      </c>
      <c r="M23" s="114"/>
      <c r="N23" s="704" t="s">
        <v>93</v>
      </c>
      <c r="O23" s="705"/>
      <c r="P23" s="706">
        <f>L15</f>
        <v>0</v>
      </c>
      <c r="Q23" s="707"/>
      <c r="S23" s="704" t="s">
        <v>93</v>
      </c>
      <c r="T23" s="705"/>
      <c r="U23" s="706">
        <f>L15</f>
        <v>0</v>
      </c>
      <c r="V23" s="707"/>
      <c r="W23" s="11"/>
      <c r="Y23" s="11" t="s">
        <v>382</v>
      </c>
      <c r="Z23" s="11"/>
      <c r="AA23" s="11"/>
      <c r="AB23" s="11"/>
      <c r="AC23" s="11"/>
    </row>
    <row r="24" spans="1:50" ht="22.8" thickTop="1" thickBot="1" x14ac:dyDescent="0.6">
      <c r="A24" s="791" t="s">
        <v>87</v>
      </c>
      <c r="B24" s="792"/>
      <c r="C24" s="148">
        <v>1</v>
      </c>
      <c r="D24" s="114"/>
      <c r="E24" s="793" t="s">
        <v>406</v>
      </c>
      <c r="F24" s="793"/>
      <c r="G24" s="793"/>
      <c r="H24" s="244"/>
      <c r="I24" s="154"/>
      <c r="J24" s="794" t="s">
        <v>407</v>
      </c>
      <c r="K24" s="795"/>
      <c r="L24" s="156">
        <v>1.7250000000000001</v>
      </c>
      <c r="M24" s="114"/>
      <c r="N24" s="708" t="s">
        <v>271</v>
      </c>
      <c r="O24" s="709"/>
      <c r="P24" s="693">
        <f>P21*P23</f>
        <v>0</v>
      </c>
      <c r="Q24" s="694"/>
      <c r="S24" s="708" t="s">
        <v>271</v>
      </c>
      <c r="T24" s="709"/>
      <c r="U24" s="693">
        <f>U21*U23</f>
        <v>0</v>
      </c>
      <c r="V24" s="694"/>
      <c r="W24" s="11"/>
      <c r="Y24" s="11" t="s">
        <v>383</v>
      </c>
      <c r="Z24" s="11"/>
      <c r="AA24" s="11"/>
      <c r="AB24" s="11"/>
      <c r="AC24" s="11"/>
    </row>
    <row r="25" spans="1:50" ht="19.2" thickTop="1" thickBot="1" x14ac:dyDescent="0.55000000000000004">
      <c r="A25" s="566" t="s">
        <v>273</v>
      </c>
      <c r="B25" s="788"/>
      <c r="C25" s="151">
        <v>1.25</v>
      </c>
      <c r="D25" s="114"/>
      <c r="E25" s="114"/>
      <c r="F25" s="114"/>
      <c r="G25" s="154"/>
      <c r="H25" s="114"/>
      <c r="I25" s="114"/>
      <c r="J25" s="789" t="s">
        <v>409</v>
      </c>
      <c r="K25" s="790"/>
      <c r="L25" s="156">
        <v>1.9</v>
      </c>
      <c r="M25" s="114"/>
      <c r="N25" s="691" t="s">
        <v>272</v>
      </c>
      <c r="O25" s="692"/>
      <c r="P25" s="693">
        <f>P22*P23</f>
        <v>0</v>
      </c>
      <c r="Q25" s="694"/>
      <c r="S25" s="691" t="s">
        <v>272</v>
      </c>
      <c r="T25" s="692"/>
      <c r="U25" s="693">
        <f>U22*U23</f>
        <v>0</v>
      </c>
      <c r="V25" s="694"/>
      <c r="W25" s="11"/>
      <c r="Y25" s="66" t="s">
        <v>385</v>
      </c>
      <c r="Z25" s="66"/>
      <c r="AA25" s="11"/>
      <c r="AB25" s="11"/>
      <c r="AC25" s="11"/>
    </row>
    <row r="26" spans="1:50" ht="19.2" thickTop="1" thickBot="1" x14ac:dyDescent="0.55000000000000004">
      <c r="A26" s="566" t="s">
        <v>274</v>
      </c>
      <c r="B26" s="788"/>
      <c r="C26" s="151">
        <v>1.5</v>
      </c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V26" s="11"/>
      <c r="W26" s="11"/>
      <c r="Y26" s="11" t="s">
        <v>388</v>
      </c>
      <c r="Z26" s="11"/>
      <c r="AA26" s="11"/>
      <c r="AB26" s="11"/>
      <c r="AC26" s="11"/>
    </row>
    <row r="27" spans="1:50" ht="19.2" thickTop="1" thickBot="1" x14ac:dyDescent="0.55000000000000004">
      <c r="A27" s="555" t="s">
        <v>275</v>
      </c>
      <c r="B27" s="804"/>
      <c r="C27" s="157">
        <v>1.75</v>
      </c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"/>
      <c r="T27" s="11"/>
      <c r="U27" s="11"/>
      <c r="V27" s="11"/>
      <c r="W27" s="11"/>
      <c r="Y27" s="11" t="s">
        <v>391</v>
      </c>
      <c r="Z27" s="11"/>
      <c r="AA27" s="11"/>
      <c r="AB27" s="11"/>
      <c r="AC27" s="11"/>
    </row>
    <row r="28" spans="1:50" ht="18.600000000000001" thickBot="1" x14ac:dyDescent="0.55000000000000004">
      <c r="A28" s="578" t="s">
        <v>88</v>
      </c>
      <c r="B28" s="805"/>
      <c r="C28" s="194">
        <v>2</v>
      </c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"/>
      <c r="T28" s="800" t="s">
        <v>413</v>
      </c>
      <c r="U28" s="801"/>
      <c r="V28" s="245" t="s">
        <v>414</v>
      </c>
      <c r="W28" s="11"/>
      <c r="X28" s="11"/>
      <c r="Y28" s="11" t="s">
        <v>396</v>
      </c>
      <c r="Z28" s="11"/>
      <c r="AA28" s="11"/>
      <c r="AB28" s="11"/>
      <c r="AC28" s="11"/>
    </row>
    <row r="29" spans="1:50" ht="18.600000000000001" thickBot="1" x14ac:dyDescent="0.55000000000000004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"/>
      <c r="T29" s="802">
        <v>0.1</v>
      </c>
      <c r="U29" s="803"/>
      <c r="V29" s="246">
        <f>0.1</f>
        <v>0.1</v>
      </c>
      <c r="W29" s="11"/>
      <c r="X29" s="11"/>
      <c r="Y29" s="11" t="s">
        <v>399</v>
      </c>
      <c r="Z29" s="11"/>
      <c r="AA29" s="11"/>
      <c r="AB29" s="11"/>
      <c r="AC29" s="11"/>
    </row>
    <row r="30" spans="1:50" ht="20.399999999999999" thickTop="1" thickBot="1" x14ac:dyDescent="0.55000000000000004">
      <c r="A30" s="604"/>
      <c r="B30" s="604"/>
      <c r="C30" s="604"/>
      <c r="D30" s="604"/>
      <c r="E30" s="604"/>
      <c r="F30" s="695"/>
      <c r="G30" s="808" t="s">
        <v>94</v>
      </c>
      <c r="H30" s="808"/>
      <c r="I30" s="808"/>
      <c r="J30" s="808"/>
      <c r="K30" s="808"/>
      <c r="L30" s="455"/>
      <c r="M30" s="247" t="s">
        <v>331</v>
      </c>
      <c r="N30" s="11"/>
      <c r="O30" s="11"/>
      <c r="P30" s="11"/>
      <c r="Q30" s="11"/>
      <c r="R30" s="11"/>
      <c r="S30" s="66"/>
      <c r="T30" s="802">
        <v>0.12</v>
      </c>
      <c r="U30" s="803"/>
      <c r="V30" s="246">
        <f>0.12</f>
        <v>0.12</v>
      </c>
      <c r="W30" s="11"/>
      <c r="X30" s="11"/>
      <c r="Y30" s="66" t="s">
        <v>402</v>
      </c>
      <c r="Z30" s="66"/>
      <c r="AA30" s="11"/>
      <c r="AB30" s="11"/>
      <c r="AC30" s="11"/>
    </row>
    <row r="31" spans="1:50" ht="19.2" thickTop="1" thickBot="1" x14ac:dyDescent="0.55000000000000004">
      <c r="A31" s="604"/>
      <c r="B31" s="604"/>
      <c r="C31" s="604"/>
      <c r="D31" s="604"/>
      <c r="E31" s="604"/>
      <c r="F31" s="695"/>
      <c r="G31" s="808" t="s">
        <v>96</v>
      </c>
      <c r="H31" s="808"/>
      <c r="I31" s="808"/>
      <c r="J31" s="811"/>
      <c r="K31" s="811"/>
      <c r="L31" s="812"/>
      <c r="M31" s="248"/>
      <c r="N31" s="11"/>
      <c r="O31" s="11"/>
      <c r="P31" s="11"/>
      <c r="Q31" s="11"/>
      <c r="R31" s="11"/>
      <c r="S31" s="11"/>
      <c r="T31" s="802">
        <v>0.15</v>
      </c>
      <c r="U31" s="803"/>
      <c r="V31" s="246">
        <f>0.15</f>
        <v>0.15</v>
      </c>
      <c r="W31" s="11"/>
      <c r="Y31" s="11" t="s">
        <v>405</v>
      </c>
      <c r="Z31" s="11"/>
      <c r="AA31" s="11"/>
      <c r="AB31" s="11"/>
      <c r="AC31" s="11"/>
    </row>
    <row r="32" spans="1:50" ht="19.2" thickTop="1" thickBot="1" x14ac:dyDescent="0.55000000000000004">
      <c r="A32" s="604"/>
      <c r="B32" s="604"/>
      <c r="C32" s="604"/>
      <c r="D32" s="604"/>
      <c r="E32" s="604"/>
      <c r="F32" s="695"/>
      <c r="G32" s="819"/>
      <c r="H32" s="820"/>
      <c r="I32" s="199" t="s">
        <v>52</v>
      </c>
      <c r="J32" s="198" t="s">
        <v>98</v>
      </c>
      <c r="K32" s="198" t="s">
        <v>99</v>
      </c>
      <c r="L32" s="200" t="s">
        <v>100</v>
      </c>
      <c r="M32" s="249" t="s">
        <v>415</v>
      </c>
      <c r="N32" s="11"/>
      <c r="O32" s="11"/>
      <c r="P32" s="11"/>
      <c r="Q32" s="11"/>
      <c r="R32" s="11"/>
      <c r="S32" s="11"/>
      <c r="T32" s="802">
        <v>0.2</v>
      </c>
      <c r="U32" s="803"/>
      <c r="V32" s="246">
        <f>0.2</f>
        <v>0.2</v>
      </c>
      <c r="Y32" s="11" t="s">
        <v>408</v>
      </c>
      <c r="Z32" s="11"/>
      <c r="AA32" s="11"/>
      <c r="AB32" s="11"/>
      <c r="AC32" s="11"/>
    </row>
    <row r="33" spans="1:29" ht="19.2" thickTop="1" thickBot="1" x14ac:dyDescent="0.55000000000000004">
      <c r="A33" s="604"/>
      <c r="B33" s="604"/>
      <c r="C33" s="604"/>
      <c r="D33" s="604"/>
      <c r="E33" s="604"/>
      <c r="F33" s="695"/>
      <c r="G33" s="809" t="s">
        <v>310</v>
      </c>
      <c r="H33" s="810"/>
      <c r="I33" s="159">
        <v>15</v>
      </c>
      <c r="J33" s="158">
        <f>(I33/100)*J31</f>
        <v>0</v>
      </c>
      <c r="K33" s="250">
        <f>J33/4 +M33</f>
        <v>0</v>
      </c>
      <c r="L33" s="251" t="e">
        <f>K33/J3</f>
        <v>#DIV/0!</v>
      </c>
      <c r="M33" s="252"/>
      <c r="N33" s="11"/>
      <c r="O33" s="11"/>
      <c r="P33" s="11"/>
      <c r="Q33" s="11"/>
      <c r="R33" s="11"/>
      <c r="S33" s="11"/>
      <c r="T33" s="802">
        <v>0.25</v>
      </c>
      <c r="U33" s="803"/>
      <c r="V33" s="246">
        <f>0.25</f>
        <v>0.25</v>
      </c>
      <c r="Y33" s="66" t="s">
        <v>410</v>
      </c>
      <c r="Z33" s="66"/>
      <c r="AA33" s="11"/>
      <c r="AB33" s="11"/>
      <c r="AC33" s="11"/>
    </row>
    <row r="34" spans="1:29" ht="19.2" thickTop="1" thickBot="1" x14ac:dyDescent="0.55000000000000004">
      <c r="A34" s="604"/>
      <c r="B34" s="604"/>
      <c r="C34" s="604"/>
      <c r="D34" s="604"/>
      <c r="E34" s="604"/>
      <c r="F34" s="695"/>
      <c r="G34" s="809" t="s">
        <v>97</v>
      </c>
      <c r="H34" s="810"/>
      <c r="I34" s="151">
        <v>35</v>
      </c>
      <c r="J34" s="161">
        <f>(I34*J31)/100</f>
        <v>0</v>
      </c>
      <c r="K34" s="162">
        <f>J34/9 + M34</f>
        <v>0</v>
      </c>
      <c r="L34" s="160" t="e">
        <f>K34/J3</f>
        <v>#DIV/0!</v>
      </c>
      <c r="M34" s="252"/>
      <c r="N34" s="11"/>
      <c r="O34" s="11"/>
      <c r="P34" s="11"/>
      <c r="Q34" s="11"/>
      <c r="R34" s="11"/>
      <c r="S34" s="11"/>
      <c r="T34" s="802">
        <v>0.3</v>
      </c>
      <c r="U34" s="803"/>
      <c r="V34" s="246">
        <f>0.3</f>
        <v>0.3</v>
      </c>
      <c r="Y34" s="11" t="s">
        <v>411</v>
      </c>
      <c r="Z34" s="11"/>
      <c r="AA34" s="11"/>
      <c r="AB34" s="11"/>
      <c r="AC34" s="11"/>
    </row>
    <row r="35" spans="1:29" ht="19.2" thickTop="1" thickBot="1" x14ac:dyDescent="0.55000000000000004">
      <c r="A35" s="604"/>
      <c r="B35" s="604"/>
      <c r="C35" s="604"/>
      <c r="D35" s="604"/>
      <c r="E35" s="604"/>
      <c r="F35" s="695"/>
      <c r="G35" s="809" t="s">
        <v>51</v>
      </c>
      <c r="H35" s="810"/>
      <c r="I35" s="253">
        <f>100-I33-I34</f>
        <v>50</v>
      </c>
      <c r="J35" s="161">
        <f>(I35*J31)/100</f>
        <v>0</v>
      </c>
      <c r="K35" s="163">
        <f>J35/4 + M35</f>
        <v>0</v>
      </c>
      <c r="L35" s="174" t="e">
        <f>K35/J3</f>
        <v>#DIV/0!</v>
      </c>
      <c r="M35" s="252"/>
      <c r="N35" s="11"/>
      <c r="O35" s="11"/>
      <c r="P35" s="11"/>
      <c r="Q35" s="11"/>
      <c r="R35" s="11"/>
      <c r="S35" s="11"/>
      <c r="Y35" s="11" t="s">
        <v>412</v>
      </c>
      <c r="Z35" s="11"/>
      <c r="AA35" s="11"/>
      <c r="AB35" s="11"/>
      <c r="AC35" s="11"/>
    </row>
    <row r="36" spans="1:29" ht="19.2" thickTop="1" thickBot="1" x14ac:dyDescent="0.55000000000000004">
      <c r="A36" s="604"/>
      <c r="B36" s="604"/>
      <c r="C36" s="604"/>
      <c r="D36" s="604"/>
      <c r="E36" s="604"/>
      <c r="F36" s="695"/>
      <c r="G36" s="809" t="s">
        <v>103</v>
      </c>
      <c r="H36" s="816"/>
      <c r="I36" s="824"/>
      <c r="J36" s="825"/>
      <c r="K36" s="825"/>
      <c r="L36" s="165"/>
      <c r="M36" s="114"/>
      <c r="N36" s="11"/>
      <c r="O36" s="11"/>
      <c r="P36" s="11"/>
      <c r="Q36" s="11"/>
      <c r="R36" s="11"/>
      <c r="S36" s="11"/>
    </row>
    <row r="37" spans="1:29" ht="19.2" thickTop="1" thickBot="1" x14ac:dyDescent="0.55000000000000004">
      <c r="A37" s="604"/>
      <c r="B37" s="604"/>
      <c r="C37" s="604"/>
      <c r="D37" s="604"/>
      <c r="E37" s="604"/>
      <c r="F37" s="695"/>
      <c r="G37" s="809" t="s">
        <v>101</v>
      </c>
      <c r="H37" s="816"/>
      <c r="I37" s="821">
        <f>(L37*J31)/1000</f>
        <v>0</v>
      </c>
      <c r="J37" s="822"/>
      <c r="K37" s="823"/>
      <c r="L37" s="164"/>
      <c r="M37" s="114"/>
      <c r="N37" s="114"/>
      <c r="O37" s="114"/>
      <c r="P37" s="114"/>
      <c r="Q37" s="114"/>
      <c r="R37" s="114"/>
      <c r="S37" s="11"/>
    </row>
    <row r="38" spans="1:29" ht="19.2" thickTop="1" thickBot="1" x14ac:dyDescent="0.55000000000000004">
      <c r="A38" s="604"/>
      <c r="B38" s="604"/>
      <c r="C38" s="604"/>
      <c r="D38" s="604"/>
      <c r="E38" s="604"/>
      <c r="F38" s="695"/>
      <c r="G38" s="809" t="s">
        <v>102</v>
      </c>
      <c r="H38" s="816"/>
      <c r="I38" s="821"/>
      <c r="J38" s="822"/>
      <c r="K38" s="823"/>
      <c r="L38" s="165"/>
      <c r="M38" s="114"/>
      <c r="N38" s="114"/>
      <c r="O38" s="114"/>
      <c r="P38" s="114"/>
      <c r="Q38" s="114"/>
      <c r="R38" s="114"/>
      <c r="S38" s="11"/>
    </row>
    <row r="39" spans="1:29" ht="19.2" thickTop="1" thickBot="1" x14ac:dyDescent="0.55000000000000004">
      <c r="A39" s="139"/>
      <c r="B39" s="139"/>
      <c r="C39" s="196"/>
      <c r="D39" s="196"/>
      <c r="E39" s="196"/>
      <c r="F39" s="196"/>
      <c r="G39" s="809" t="s">
        <v>104</v>
      </c>
      <c r="H39" s="816"/>
      <c r="I39" s="813">
        <f>L39*C13</f>
        <v>0</v>
      </c>
      <c r="J39" s="814"/>
      <c r="K39" s="815"/>
      <c r="L39" s="166"/>
      <c r="M39" s="114"/>
      <c r="N39" s="114"/>
      <c r="O39" s="114"/>
      <c r="P39" s="114"/>
      <c r="Q39" s="114"/>
      <c r="R39" s="114"/>
      <c r="S39" s="11"/>
    </row>
    <row r="40" spans="1:29" ht="18.600000000000001" thickTop="1" x14ac:dyDescent="0.5">
      <c r="A40" s="139"/>
      <c r="B40" s="139"/>
      <c r="C40" s="196"/>
      <c r="D40" s="196"/>
      <c r="E40" s="196"/>
      <c r="F40" s="196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"/>
    </row>
    <row r="41" spans="1:29" ht="18" x14ac:dyDescent="0.5">
      <c r="A41" s="254"/>
      <c r="B41" s="254"/>
      <c r="C41" s="826" t="s">
        <v>416</v>
      </c>
      <c r="D41" s="826"/>
      <c r="E41" s="826"/>
      <c r="F41" s="826"/>
      <c r="G41" s="826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"/>
    </row>
    <row r="42" spans="1:29" ht="18" x14ac:dyDescent="0.5">
      <c r="A42" s="827" t="s">
        <v>417</v>
      </c>
      <c r="B42" s="828"/>
      <c r="C42" s="255" t="s">
        <v>418</v>
      </c>
      <c r="D42" s="255" t="s">
        <v>419</v>
      </c>
      <c r="E42" s="255" t="s">
        <v>420</v>
      </c>
      <c r="F42" s="255" t="s">
        <v>421</v>
      </c>
      <c r="G42" s="255" t="s">
        <v>422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"/>
    </row>
    <row r="43" spans="1:29" ht="18" x14ac:dyDescent="0.5">
      <c r="A43" s="817" t="s">
        <v>423</v>
      </c>
      <c r="B43" s="818"/>
      <c r="C43" s="194" t="s">
        <v>424</v>
      </c>
      <c r="D43" s="194" t="s">
        <v>425</v>
      </c>
      <c r="E43" s="194" t="s">
        <v>426</v>
      </c>
      <c r="F43" s="194" t="s">
        <v>427</v>
      </c>
      <c r="G43" s="194" t="s">
        <v>428</v>
      </c>
      <c r="H43" s="254" t="s">
        <v>429</v>
      </c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"/>
    </row>
    <row r="44" spans="1:29" ht="18" x14ac:dyDescent="0.5">
      <c r="A44" s="817" t="s">
        <v>430</v>
      </c>
      <c r="B44" s="818"/>
      <c r="C44" s="194" t="s">
        <v>431</v>
      </c>
      <c r="D44" s="194" t="s">
        <v>432</v>
      </c>
      <c r="E44" s="194" t="s">
        <v>433</v>
      </c>
      <c r="F44" s="194" t="s">
        <v>434</v>
      </c>
      <c r="G44" s="194" t="s">
        <v>435</v>
      </c>
      <c r="H44" s="254" t="s">
        <v>429</v>
      </c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"/>
    </row>
    <row r="45" spans="1:29" ht="18.600000000000001" thickBot="1" x14ac:dyDescent="0.55000000000000004">
      <c r="A45" s="254"/>
      <c r="B45" s="254"/>
      <c r="C45" s="254"/>
      <c r="D45" s="254"/>
      <c r="E45" s="254"/>
      <c r="F45" s="254"/>
      <c r="G45" s="114"/>
      <c r="H45" s="190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"/>
    </row>
    <row r="46" spans="1:29" ht="19.2" thickTop="1" thickBot="1" x14ac:dyDescent="0.55000000000000004">
      <c r="A46" s="808" t="s">
        <v>105</v>
      </c>
      <c r="B46" s="808"/>
      <c r="C46" s="808"/>
      <c r="D46" s="808"/>
      <c r="E46" s="808"/>
      <c r="F46" s="808"/>
      <c r="G46" s="808"/>
      <c r="H46" s="808"/>
      <c r="I46" s="114"/>
      <c r="J46" s="807" t="s">
        <v>116</v>
      </c>
      <c r="K46" s="807"/>
      <c r="L46" s="807"/>
      <c r="M46" s="807"/>
      <c r="N46" s="807"/>
      <c r="O46" s="807"/>
      <c r="P46" s="807"/>
      <c r="Q46" s="807"/>
      <c r="R46" s="807"/>
      <c r="S46" s="807"/>
      <c r="T46" s="807"/>
    </row>
    <row r="47" spans="1:29" ht="19.2" thickTop="1" thickBot="1" x14ac:dyDescent="0.55000000000000004">
      <c r="A47" s="198" t="s">
        <v>106</v>
      </c>
      <c r="B47" s="198" t="s">
        <v>109</v>
      </c>
      <c r="C47" s="198" t="s">
        <v>310</v>
      </c>
      <c r="D47" s="198" t="s">
        <v>110</v>
      </c>
      <c r="E47" s="198" t="s">
        <v>51</v>
      </c>
      <c r="F47" s="198" t="s">
        <v>101</v>
      </c>
      <c r="G47" s="198" t="s">
        <v>111</v>
      </c>
      <c r="H47" s="198" t="s">
        <v>102</v>
      </c>
      <c r="I47" s="114"/>
      <c r="J47" s="263" t="s">
        <v>117</v>
      </c>
      <c r="K47" s="263" t="s">
        <v>118</v>
      </c>
      <c r="L47" s="263" t="s">
        <v>119</v>
      </c>
      <c r="M47" s="263" t="s">
        <v>120</v>
      </c>
      <c r="N47" s="807" t="s">
        <v>121</v>
      </c>
      <c r="O47" s="807"/>
      <c r="P47" s="263" t="s">
        <v>120</v>
      </c>
      <c r="Q47" s="263" t="s">
        <v>122</v>
      </c>
      <c r="R47" s="263" t="s">
        <v>120</v>
      </c>
      <c r="S47" s="263" t="s">
        <v>114</v>
      </c>
      <c r="T47" s="263" t="s">
        <v>115</v>
      </c>
      <c r="U47" s="11"/>
      <c r="V47" s="11"/>
      <c r="W47" s="11"/>
      <c r="X47" s="11"/>
    </row>
    <row r="48" spans="1:29" ht="19.2" thickTop="1" thickBot="1" x14ac:dyDescent="0.55000000000000004">
      <c r="A48" s="177" t="s">
        <v>67</v>
      </c>
      <c r="B48" s="147"/>
      <c r="C48" s="150">
        <f>B48*8</f>
        <v>0</v>
      </c>
      <c r="D48" s="167">
        <f>B48*8</f>
        <v>0</v>
      </c>
      <c r="E48" s="167">
        <f>B48*12</f>
        <v>0</v>
      </c>
      <c r="F48" s="167">
        <f>B48*0</f>
        <v>0</v>
      </c>
      <c r="G48" s="167">
        <f>B48*33</f>
        <v>0</v>
      </c>
      <c r="H48" s="168">
        <f>B48*115</f>
        <v>0</v>
      </c>
      <c r="I48" s="169"/>
      <c r="J48" s="264" t="s">
        <v>123</v>
      </c>
      <c r="K48" s="161"/>
      <c r="L48" s="161"/>
      <c r="M48" s="161"/>
      <c r="N48" s="806"/>
      <c r="O48" s="806"/>
      <c r="P48" s="335"/>
      <c r="Q48" s="335"/>
      <c r="R48" s="161"/>
      <c r="S48" s="194">
        <f t="shared" ref="S48:S52" si="0">SUM(K48:R48)</f>
        <v>0</v>
      </c>
      <c r="T48" s="194">
        <f>B48</f>
        <v>0</v>
      </c>
      <c r="U48" s="11"/>
      <c r="V48" s="11"/>
      <c r="W48" s="11"/>
      <c r="X48" s="11"/>
    </row>
    <row r="49" spans="1:24" ht="19.2" thickTop="1" thickBot="1" x14ac:dyDescent="0.55000000000000004">
      <c r="A49" s="177" t="s">
        <v>68</v>
      </c>
      <c r="B49" s="147"/>
      <c r="C49" s="153">
        <f>B49*8</f>
        <v>0</v>
      </c>
      <c r="D49" s="128">
        <f>B49*2.5</f>
        <v>0</v>
      </c>
      <c r="E49" s="128">
        <f>B49*12</f>
        <v>0</v>
      </c>
      <c r="F49" s="128">
        <f>B49*0</f>
        <v>0</v>
      </c>
      <c r="G49" s="128">
        <f>B49*13.5</f>
        <v>0</v>
      </c>
      <c r="H49" s="170">
        <f>B49*138</f>
        <v>0</v>
      </c>
      <c r="I49" s="114"/>
      <c r="J49" s="264" t="s">
        <v>107</v>
      </c>
      <c r="K49" s="161"/>
      <c r="L49" s="161"/>
      <c r="M49" s="161"/>
      <c r="N49" s="806"/>
      <c r="O49" s="806"/>
      <c r="P49" s="335"/>
      <c r="Q49" s="335"/>
      <c r="R49" s="161"/>
      <c r="S49" s="194">
        <f t="shared" si="0"/>
        <v>0</v>
      </c>
      <c r="T49" s="194">
        <f>B50</f>
        <v>0</v>
      </c>
      <c r="U49" s="11"/>
      <c r="V49" s="11"/>
      <c r="W49" s="11"/>
      <c r="X49" s="11"/>
    </row>
    <row r="50" spans="1:24" ht="19.2" thickTop="1" thickBot="1" x14ac:dyDescent="0.55000000000000004">
      <c r="A50" s="177" t="s">
        <v>107</v>
      </c>
      <c r="B50" s="147"/>
      <c r="C50" s="153">
        <f>B50*2</f>
        <v>0</v>
      </c>
      <c r="D50" s="128">
        <f>B50*0</f>
        <v>0</v>
      </c>
      <c r="E50" s="128">
        <f>B50*5</f>
        <v>0</v>
      </c>
      <c r="F50" s="128">
        <f>B50*1</f>
        <v>0</v>
      </c>
      <c r="G50" s="128">
        <f>B50*0</f>
        <v>0</v>
      </c>
      <c r="H50" s="170">
        <f>B50*11.5</f>
        <v>0</v>
      </c>
      <c r="I50" s="114"/>
      <c r="J50" s="264" t="s">
        <v>108</v>
      </c>
      <c r="K50" s="161"/>
      <c r="L50" s="161"/>
      <c r="M50" s="161"/>
      <c r="N50" s="806"/>
      <c r="O50" s="806"/>
      <c r="P50" s="335"/>
      <c r="Q50" s="335"/>
      <c r="R50" s="161"/>
      <c r="S50" s="194">
        <f t="shared" si="0"/>
        <v>0</v>
      </c>
      <c r="T50" s="194">
        <f>B51</f>
        <v>0</v>
      </c>
      <c r="U50" s="11"/>
      <c r="V50" s="11"/>
      <c r="W50" s="11"/>
      <c r="X50" s="11"/>
    </row>
    <row r="51" spans="1:24" ht="19.2" thickTop="1" thickBot="1" x14ac:dyDescent="0.55000000000000004">
      <c r="A51" s="177" t="s">
        <v>108</v>
      </c>
      <c r="B51" s="147"/>
      <c r="C51" s="153">
        <f>B51*0</f>
        <v>0</v>
      </c>
      <c r="D51" s="128">
        <f>B51*0</f>
        <v>0</v>
      </c>
      <c r="E51" s="128">
        <f>B51*15</f>
        <v>0</v>
      </c>
      <c r="F51" s="128">
        <f>B51*2</f>
        <v>0</v>
      </c>
      <c r="G51" s="128">
        <f>B51*0</f>
        <v>0</v>
      </c>
      <c r="H51" s="170">
        <f>B51*0</f>
        <v>0</v>
      </c>
      <c r="I51" s="114"/>
      <c r="J51" s="264" t="s">
        <v>112</v>
      </c>
      <c r="K51" s="161"/>
      <c r="L51" s="161"/>
      <c r="M51" s="161"/>
      <c r="N51" s="806"/>
      <c r="O51" s="806"/>
      <c r="P51" s="335"/>
      <c r="Q51" s="335"/>
      <c r="R51" s="161"/>
      <c r="S51" s="194">
        <f t="shared" si="0"/>
        <v>0</v>
      </c>
      <c r="T51" s="194">
        <f>B53</f>
        <v>0</v>
      </c>
      <c r="U51" s="11"/>
      <c r="V51" s="11"/>
      <c r="W51" s="11"/>
      <c r="X51" s="11"/>
    </row>
    <row r="52" spans="1:24" thickTop="1" thickBot="1" x14ac:dyDescent="0.55000000000000004">
      <c r="A52" s="179" t="s">
        <v>113</v>
      </c>
      <c r="B52" s="180">
        <f>(K35-E52)/15</f>
        <v>0</v>
      </c>
      <c r="C52" s="181">
        <f t="shared" ref="C52:H52" si="1">SUM(C48:C51)</f>
        <v>0</v>
      </c>
      <c r="D52" s="181">
        <f t="shared" si="1"/>
        <v>0</v>
      </c>
      <c r="E52" s="181">
        <f t="shared" si="1"/>
        <v>0</v>
      </c>
      <c r="F52" s="181">
        <f t="shared" si="1"/>
        <v>0</v>
      </c>
      <c r="G52" s="181">
        <f t="shared" si="1"/>
        <v>0</v>
      </c>
      <c r="H52" s="182">
        <f t="shared" si="1"/>
        <v>0</v>
      </c>
      <c r="I52" s="114"/>
      <c r="J52" s="264" t="s">
        <v>453</v>
      </c>
      <c r="K52" s="161"/>
      <c r="L52" s="161"/>
      <c r="M52" s="161"/>
      <c r="N52" s="806"/>
      <c r="O52" s="806"/>
      <c r="P52" s="335"/>
      <c r="Q52" s="335"/>
      <c r="R52" s="161"/>
      <c r="S52" s="194">
        <f t="shared" si="0"/>
        <v>0</v>
      </c>
      <c r="T52" s="194">
        <f>B55</f>
        <v>0</v>
      </c>
      <c r="U52" s="11"/>
      <c r="V52" s="11"/>
      <c r="W52" s="11"/>
      <c r="X52" s="11"/>
    </row>
    <row r="53" spans="1:24" ht="19.2" thickTop="1" thickBot="1" x14ac:dyDescent="0.55000000000000004">
      <c r="A53" s="177" t="s">
        <v>112</v>
      </c>
      <c r="B53" s="147"/>
      <c r="C53" s="153">
        <f>B53*2</f>
        <v>0</v>
      </c>
      <c r="D53" s="128">
        <f>B53*0</f>
        <v>0</v>
      </c>
      <c r="E53" s="128">
        <f>B53*15</f>
        <v>0</v>
      </c>
      <c r="F53" s="128">
        <f>B53*2.5</f>
        <v>0</v>
      </c>
      <c r="G53" s="128">
        <f>B53*0</f>
        <v>0</v>
      </c>
      <c r="H53" s="170">
        <f>B53*46</f>
        <v>0</v>
      </c>
      <c r="I53" s="114"/>
      <c r="J53" s="264" t="s">
        <v>454</v>
      </c>
      <c r="K53" s="161"/>
      <c r="L53" s="161"/>
      <c r="M53" s="161"/>
      <c r="N53" s="806"/>
      <c r="O53" s="806"/>
      <c r="P53" s="335"/>
      <c r="Q53" s="335"/>
      <c r="R53" s="161"/>
      <c r="S53" s="194">
        <f t="shared" ref="S53" si="2">SUM(K53:R53)</f>
        <v>0</v>
      </c>
      <c r="T53" s="194">
        <f>B56</f>
        <v>0</v>
      </c>
      <c r="U53" s="11"/>
      <c r="V53" s="11"/>
      <c r="W53" s="11"/>
      <c r="X53" s="11"/>
    </row>
    <row r="54" spans="1:24" ht="19.2" thickTop="1" thickBot="1" x14ac:dyDescent="0.55000000000000004">
      <c r="A54" s="179" t="s">
        <v>113</v>
      </c>
      <c r="B54" s="180">
        <f>(K33-C54)/7</f>
        <v>0</v>
      </c>
      <c r="C54" s="181">
        <f t="shared" ref="C54:H54" si="3">SUM(C48:C51,C53)</f>
        <v>0</v>
      </c>
      <c r="D54" s="181">
        <f t="shared" si="3"/>
        <v>0</v>
      </c>
      <c r="E54" s="181">
        <f t="shared" si="3"/>
        <v>0</v>
      </c>
      <c r="F54" s="181">
        <f t="shared" si="3"/>
        <v>0</v>
      </c>
      <c r="G54" s="181">
        <f t="shared" si="3"/>
        <v>0</v>
      </c>
      <c r="H54" s="182">
        <f t="shared" si="3"/>
        <v>0</v>
      </c>
      <c r="I54" s="114"/>
      <c r="J54" s="264" t="s">
        <v>97</v>
      </c>
      <c r="K54" s="161"/>
      <c r="L54" s="161"/>
      <c r="M54" s="161"/>
      <c r="N54" s="806"/>
      <c r="O54" s="806"/>
      <c r="P54" s="335"/>
      <c r="Q54" s="335"/>
      <c r="R54" s="161"/>
      <c r="S54" s="194">
        <f>SUM(K54:R54)</f>
        <v>0</v>
      </c>
      <c r="T54" s="194">
        <f>B58</f>
        <v>0</v>
      </c>
      <c r="U54" s="11"/>
      <c r="V54" s="11"/>
      <c r="W54" s="11"/>
      <c r="X54" s="11"/>
    </row>
    <row r="55" spans="1:24" ht="19.2" thickTop="1" thickBot="1" x14ac:dyDescent="0.55000000000000004">
      <c r="A55" s="177" t="s">
        <v>453</v>
      </c>
      <c r="B55" s="147"/>
      <c r="C55" s="153">
        <f>B55*7</f>
        <v>0</v>
      </c>
      <c r="D55" s="128">
        <f>B55*3</f>
        <v>0</v>
      </c>
      <c r="E55" s="128">
        <f>B55*0</f>
        <v>0</v>
      </c>
      <c r="F55" s="128">
        <f>B55*0</f>
        <v>0</v>
      </c>
      <c r="G55" s="128">
        <f>B55*25</f>
        <v>0</v>
      </c>
      <c r="H55" s="170">
        <f>B55*2</f>
        <v>0</v>
      </c>
      <c r="I55" s="114"/>
      <c r="J55" s="264" t="s">
        <v>736</v>
      </c>
      <c r="K55" s="161"/>
      <c r="L55" s="161"/>
      <c r="M55" s="161"/>
      <c r="N55" s="806"/>
      <c r="O55" s="806"/>
      <c r="P55" s="335"/>
      <c r="Q55" s="335"/>
      <c r="R55" s="161"/>
      <c r="S55" s="194">
        <f>SUM(K55:R55)</f>
        <v>0</v>
      </c>
      <c r="T55" s="194">
        <f>B59</f>
        <v>0</v>
      </c>
      <c r="U55" s="11"/>
      <c r="V55" s="11"/>
      <c r="W55" s="11"/>
      <c r="X55" s="11"/>
    </row>
    <row r="56" spans="1:24" ht="19.2" thickTop="1" thickBot="1" x14ac:dyDescent="0.55000000000000004">
      <c r="A56" s="177" t="s">
        <v>454</v>
      </c>
      <c r="B56" s="266">
        <f>B54-B55</f>
        <v>0</v>
      </c>
      <c r="C56" s="153">
        <f>B56*7</f>
        <v>0</v>
      </c>
      <c r="D56" s="128">
        <f>B56*4</f>
        <v>0</v>
      </c>
      <c r="E56" s="128">
        <f>B56*0</f>
        <v>0</v>
      </c>
      <c r="F56" s="128">
        <f>B56*0</f>
        <v>0</v>
      </c>
      <c r="G56" s="128">
        <f>B56*25</f>
        <v>0</v>
      </c>
      <c r="H56" s="170">
        <f>B56*2</f>
        <v>0</v>
      </c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"/>
      <c r="T56" s="11"/>
      <c r="U56" s="11"/>
      <c r="V56" s="11"/>
      <c r="W56" s="11"/>
      <c r="X56" s="11"/>
    </row>
    <row r="57" spans="1:24" ht="19.2" thickTop="1" thickBot="1" x14ac:dyDescent="0.55000000000000004">
      <c r="A57" s="179" t="s">
        <v>113</v>
      </c>
      <c r="B57" s="180">
        <f>(K34-D57)/5</f>
        <v>0</v>
      </c>
      <c r="C57" s="181">
        <f>SUM(C54:C56)</f>
        <v>0</v>
      </c>
      <c r="D57" s="181">
        <f t="shared" ref="D57:H57" si="4">SUM(D54:D56)</f>
        <v>0</v>
      </c>
      <c r="E57" s="181">
        <f t="shared" si="4"/>
        <v>0</v>
      </c>
      <c r="F57" s="181">
        <f t="shared" si="4"/>
        <v>0</v>
      </c>
      <c r="G57" s="181">
        <f t="shared" si="4"/>
        <v>0</v>
      </c>
      <c r="H57" s="181">
        <f t="shared" si="4"/>
        <v>0</v>
      </c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">
        <f>(S48*90)+(S49*25)+(S50*60)+(S51*80)+(S52*55)+(S53*70)+(S54*45)+(S55*60)</f>
        <v>0</v>
      </c>
      <c r="T57" s="11"/>
      <c r="U57" s="11"/>
      <c r="V57" s="11"/>
      <c r="W57" s="11"/>
      <c r="X57" s="11"/>
    </row>
    <row r="58" spans="1:24" ht="19.2" thickTop="1" thickBot="1" x14ac:dyDescent="0.55000000000000004">
      <c r="A58" s="177" t="s">
        <v>97</v>
      </c>
      <c r="B58" s="171"/>
      <c r="C58" s="152">
        <f>B58*0</f>
        <v>0</v>
      </c>
      <c r="D58" s="172">
        <f>B58*5</f>
        <v>0</v>
      </c>
      <c r="E58" s="172">
        <f>B58*0</f>
        <v>0</v>
      </c>
      <c r="F58" s="172">
        <f>B58*0</f>
        <v>0</v>
      </c>
      <c r="G58" s="172">
        <f>B58*2</f>
        <v>0</v>
      </c>
      <c r="H58" s="173">
        <f>B58*2</f>
        <v>0</v>
      </c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"/>
      <c r="T58" s="11"/>
      <c r="U58" s="11"/>
      <c r="V58" s="11"/>
      <c r="W58" s="11"/>
      <c r="X58" s="11"/>
    </row>
    <row r="59" spans="1:24" ht="19.2" thickTop="1" thickBot="1" x14ac:dyDescent="0.55000000000000004">
      <c r="A59" s="177" t="s">
        <v>114</v>
      </c>
      <c r="B59" s="178"/>
      <c r="C59" s="177">
        <f t="shared" ref="C59:H59" si="5">C57+C58</f>
        <v>0</v>
      </c>
      <c r="D59" s="177">
        <f t="shared" si="5"/>
        <v>0</v>
      </c>
      <c r="E59" s="177">
        <f>E57+E58</f>
        <v>0</v>
      </c>
      <c r="F59" s="177">
        <f t="shared" si="5"/>
        <v>0</v>
      </c>
      <c r="G59" s="177">
        <f t="shared" si="5"/>
        <v>0</v>
      </c>
      <c r="H59" s="177">
        <f t="shared" si="5"/>
        <v>0</v>
      </c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"/>
      <c r="T59" s="11"/>
      <c r="U59" s="11"/>
      <c r="V59" s="11"/>
      <c r="W59" s="11"/>
      <c r="X59" s="11"/>
    </row>
    <row r="60" spans="1:24" ht="19.2" thickTop="1" thickBot="1" x14ac:dyDescent="0.55000000000000004">
      <c r="A60" s="185" t="s">
        <v>115</v>
      </c>
      <c r="B60" s="186"/>
      <c r="C60" s="187">
        <f>K33-M33</f>
        <v>0</v>
      </c>
      <c r="D60" s="187">
        <f>K34-M34</f>
        <v>0</v>
      </c>
      <c r="E60" s="187">
        <f>K35-M35</f>
        <v>0</v>
      </c>
      <c r="F60" s="185">
        <f>I37</f>
        <v>0</v>
      </c>
      <c r="G60" s="185">
        <f>I36</f>
        <v>0</v>
      </c>
      <c r="H60" s="185">
        <f>I38</f>
        <v>0</v>
      </c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"/>
      <c r="T60" s="11"/>
      <c r="U60" s="11"/>
      <c r="V60" s="11"/>
      <c r="W60" s="11"/>
      <c r="X60" s="11"/>
    </row>
    <row r="61" spans="1:24" ht="19.2" thickTop="1" thickBot="1" x14ac:dyDescent="0.55000000000000004">
      <c r="A61" s="179" t="s">
        <v>311</v>
      </c>
      <c r="B61" s="183"/>
      <c r="C61" s="184" t="e">
        <f t="shared" ref="C61:H61" si="6">(C59*100)/C60</f>
        <v>#DIV/0!</v>
      </c>
      <c r="D61" s="184" t="e">
        <f t="shared" si="6"/>
        <v>#DIV/0!</v>
      </c>
      <c r="E61" s="184" t="e">
        <f t="shared" si="6"/>
        <v>#DIV/0!</v>
      </c>
      <c r="F61" s="184" t="e">
        <f t="shared" si="6"/>
        <v>#DIV/0!</v>
      </c>
      <c r="G61" s="184" t="e">
        <f t="shared" si="6"/>
        <v>#DIV/0!</v>
      </c>
      <c r="H61" s="184" t="e">
        <f t="shared" si="6"/>
        <v>#DIV/0!</v>
      </c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"/>
      <c r="T61" s="11"/>
      <c r="U61" s="11"/>
      <c r="V61" s="11"/>
      <c r="W61" s="11"/>
      <c r="X61" s="11"/>
    </row>
    <row r="62" spans="1:24" ht="18.600000000000001" thickTop="1" x14ac:dyDescent="0.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"/>
      <c r="T62" s="11"/>
      <c r="U62" s="11"/>
      <c r="V62" s="11"/>
      <c r="W62" s="11"/>
      <c r="X62" s="11"/>
    </row>
    <row r="63" spans="1:24" ht="18" x14ac:dyDescent="0.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"/>
      <c r="T63" s="11"/>
      <c r="U63" s="11"/>
      <c r="V63" s="11"/>
      <c r="W63" s="11"/>
      <c r="X63" s="11"/>
    </row>
    <row r="64" spans="1:24" ht="18" x14ac:dyDescent="0.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"/>
      <c r="T64" s="11"/>
      <c r="U64" s="11"/>
      <c r="V64" s="11"/>
      <c r="W64" s="11"/>
      <c r="X64" s="11"/>
    </row>
    <row r="65" spans="1:18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</sheetData>
  <mergeCells count="138">
    <mergeCell ref="N53:O53"/>
    <mergeCell ref="N55:O55"/>
    <mergeCell ref="I39:K39"/>
    <mergeCell ref="G39:H39"/>
    <mergeCell ref="A44:B44"/>
    <mergeCell ref="T31:U31"/>
    <mergeCell ref="G32:H32"/>
    <mergeCell ref="T32:U32"/>
    <mergeCell ref="N54:O54"/>
    <mergeCell ref="G37:H37"/>
    <mergeCell ref="I37:K37"/>
    <mergeCell ref="G35:H35"/>
    <mergeCell ref="N51:O51"/>
    <mergeCell ref="G36:H36"/>
    <mergeCell ref="I36:K36"/>
    <mergeCell ref="N52:O52"/>
    <mergeCell ref="A46:H46"/>
    <mergeCell ref="G38:H38"/>
    <mergeCell ref="I38:K38"/>
    <mergeCell ref="C41:G41"/>
    <mergeCell ref="A42:B42"/>
    <mergeCell ref="A43:B43"/>
    <mergeCell ref="N49:O49"/>
    <mergeCell ref="N23:O23"/>
    <mergeCell ref="P23:Q23"/>
    <mergeCell ref="S23:T23"/>
    <mergeCell ref="T28:U28"/>
    <mergeCell ref="T29:U29"/>
    <mergeCell ref="A26:B26"/>
    <mergeCell ref="A27:B27"/>
    <mergeCell ref="A28:B28"/>
    <mergeCell ref="N50:O50"/>
    <mergeCell ref="N47:O47"/>
    <mergeCell ref="N48:O48"/>
    <mergeCell ref="G30:L30"/>
    <mergeCell ref="J46:T46"/>
    <mergeCell ref="T30:U30"/>
    <mergeCell ref="G33:H33"/>
    <mergeCell ref="T33:U33"/>
    <mergeCell ref="T34:U34"/>
    <mergeCell ref="G34:H34"/>
    <mergeCell ref="G31:I31"/>
    <mergeCell ref="J31:L31"/>
    <mergeCell ref="A22:C22"/>
    <mergeCell ref="E22:G22"/>
    <mergeCell ref="J22:K22"/>
    <mergeCell ref="N22:O22"/>
    <mergeCell ref="P22:Q22"/>
    <mergeCell ref="S22:T22"/>
    <mergeCell ref="U22:V22"/>
    <mergeCell ref="A25:B25"/>
    <mergeCell ref="J25:K25"/>
    <mergeCell ref="N25:O25"/>
    <mergeCell ref="P25:Q25"/>
    <mergeCell ref="S25:T25"/>
    <mergeCell ref="U25:V25"/>
    <mergeCell ref="U23:V23"/>
    <mergeCell ref="A24:B24"/>
    <mergeCell ref="E24:G24"/>
    <mergeCell ref="J24:K24"/>
    <mergeCell ref="N24:O24"/>
    <mergeCell ref="P24:Q24"/>
    <mergeCell ref="S24:T24"/>
    <mergeCell ref="U24:V24"/>
    <mergeCell ref="A23:C23"/>
    <mergeCell ref="E23:F23"/>
    <mergeCell ref="J23:K23"/>
    <mergeCell ref="A20:B20"/>
    <mergeCell ref="F20:H20"/>
    <mergeCell ref="J20:L20"/>
    <mergeCell ref="N20:Q20"/>
    <mergeCell ref="S20:V20"/>
    <mergeCell ref="E21:G21"/>
    <mergeCell ref="J21:K21"/>
    <mergeCell ref="N21:O21"/>
    <mergeCell ref="P21:Q21"/>
    <mergeCell ref="S21:T21"/>
    <mergeCell ref="U21:V21"/>
    <mergeCell ref="A18:B18"/>
    <mergeCell ref="F18:H18"/>
    <mergeCell ref="J18:K18"/>
    <mergeCell ref="L18:N18"/>
    <mergeCell ref="A19:B19"/>
    <mergeCell ref="F19:H19"/>
    <mergeCell ref="A17:B17"/>
    <mergeCell ref="E17:H17"/>
    <mergeCell ref="J17:K17"/>
    <mergeCell ref="L17:N17"/>
    <mergeCell ref="A15:B15"/>
    <mergeCell ref="J15:K15"/>
    <mergeCell ref="L15:N15"/>
    <mergeCell ref="P15:Q15"/>
    <mergeCell ref="R15:S15"/>
    <mergeCell ref="A16:B16"/>
    <mergeCell ref="J16:K16"/>
    <mergeCell ref="L16:N16"/>
    <mergeCell ref="P16:Q16"/>
    <mergeCell ref="R16:S16"/>
    <mergeCell ref="I8:J8"/>
    <mergeCell ref="I9:J9"/>
    <mergeCell ref="A12:C12"/>
    <mergeCell ref="E12:H12"/>
    <mergeCell ref="J12:N12"/>
    <mergeCell ref="P12:S12"/>
    <mergeCell ref="A1:R1"/>
    <mergeCell ref="K4:M4"/>
    <mergeCell ref="A6:D6"/>
    <mergeCell ref="E6:H6"/>
    <mergeCell ref="I6:J6"/>
    <mergeCell ref="A7:B7"/>
    <mergeCell ref="C7:D7"/>
    <mergeCell ref="E7:F7"/>
    <mergeCell ref="G7:H7"/>
    <mergeCell ref="I7:J7"/>
    <mergeCell ref="U17:V17"/>
    <mergeCell ref="W17:X17"/>
    <mergeCell ref="A30:F38"/>
    <mergeCell ref="U12:X12"/>
    <mergeCell ref="U13:V13"/>
    <mergeCell ref="W13:X13"/>
    <mergeCell ref="U14:V14"/>
    <mergeCell ref="W14:X14"/>
    <mergeCell ref="U15:V15"/>
    <mergeCell ref="W15:X15"/>
    <mergeCell ref="U16:V16"/>
    <mergeCell ref="W16:X16"/>
    <mergeCell ref="A13:B13"/>
    <mergeCell ref="J13:K13"/>
    <mergeCell ref="L13:N13"/>
    <mergeCell ref="P13:Q13"/>
    <mergeCell ref="R13:S13"/>
    <mergeCell ref="A14:B14"/>
    <mergeCell ref="J14:K14"/>
    <mergeCell ref="L14:N14"/>
    <mergeCell ref="P14:Q14"/>
    <mergeCell ref="R14:S14"/>
    <mergeCell ref="P17:Q17"/>
    <mergeCell ref="R17:S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9"/>
  <sheetViews>
    <sheetView tabSelected="1" workbookViewId="0">
      <selection activeCell="O15" sqref="O15"/>
    </sheetView>
  </sheetViews>
  <sheetFormatPr baseColWidth="10" defaultRowHeight="14.4" x14ac:dyDescent="0.3"/>
  <cols>
    <col min="2" max="2" width="18" customWidth="1"/>
    <col min="3" max="3" width="8.21875" customWidth="1"/>
    <col min="4" max="4" width="13.6640625" customWidth="1"/>
    <col min="5" max="5" width="13.109375" customWidth="1"/>
    <col min="6" max="6" width="12.44140625" customWidth="1"/>
    <col min="7" max="7" width="13.6640625" customWidth="1"/>
  </cols>
  <sheetData>
    <row r="1" spans="2:14" ht="15" customHeight="1" thickBot="1" x14ac:dyDescent="0.35"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2:14" ht="15" customHeight="1" thickTop="1" thickBot="1" x14ac:dyDescent="0.35">
      <c r="B2" s="849" t="s">
        <v>438</v>
      </c>
      <c r="C2" s="849"/>
      <c r="D2" s="380" t="s">
        <v>437</v>
      </c>
      <c r="E2" s="380" t="s">
        <v>724</v>
      </c>
      <c r="F2" s="380" t="s">
        <v>725</v>
      </c>
      <c r="G2" s="380" t="s">
        <v>726</v>
      </c>
      <c r="H2" s="380" t="s">
        <v>727</v>
      </c>
      <c r="I2" s="380" t="s">
        <v>728</v>
      </c>
      <c r="J2" s="380" t="s">
        <v>729</v>
      </c>
      <c r="K2" s="380" t="s">
        <v>718</v>
      </c>
      <c r="L2" s="380" t="s">
        <v>719</v>
      </c>
      <c r="M2" s="380" t="s">
        <v>720</v>
      </c>
      <c r="N2" s="265"/>
    </row>
    <row r="3" spans="2:14" ht="15" customHeight="1" thickTop="1" thickBot="1" x14ac:dyDescent="0.35">
      <c r="B3" s="850" t="s">
        <v>332</v>
      </c>
      <c r="C3" s="850"/>
      <c r="D3" s="381">
        <f>'ANTROPOMETRÍA DEPORTISTAS'!B6</f>
        <v>0</v>
      </c>
      <c r="E3" s="381">
        <f>'ANTROPOMETRÍA DEPORTISTAS'!C6</f>
        <v>0</v>
      </c>
      <c r="F3" s="381">
        <f>'ANTROPOMETRÍA DEPORTISTAS'!D6</f>
        <v>0</v>
      </c>
      <c r="G3" s="381">
        <f>'ANTROPOMETRÍA DEPORTISTAS'!E6</f>
        <v>0</v>
      </c>
      <c r="H3" s="381">
        <f>'ANTROPOMETRÍA DEPORTISTAS'!F6</f>
        <v>0</v>
      </c>
      <c r="I3" s="381">
        <f>'ANTROPOMETRÍA DEPORTISTAS'!G6</f>
        <v>0</v>
      </c>
      <c r="J3" s="381">
        <f>'ANTROPOMETRÍA DEPORTISTAS'!H6</f>
        <v>0</v>
      </c>
      <c r="K3" s="381">
        <f>'ANTROPOMETRÍA DEPORTISTAS'!I6</f>
        <v>0</v>
      </c>
      <c r="L3" s="381">
        <f>'ANTROPOMETRÍA DEPORTISTAS'!J6</f>
        <v>0</v>
      </c>
      <c r="M3" s="381">
        <f>'ANTROPOMETRÍA DEPORTISTAS'!K6</f>
        <v>0</v>
      </c>
      <c r="N3" s="265"/>
    </row>
    <row r="4" spans="2:14" ht="15" customHeight="1" thickTop="1" thickBot="1" x14ac:dyDescent="0.35">
      <c r="B4" s="851" t="s">
        <v>730</v>
      </c>
      <c r="C4" s="851"/>
      <c r="D4" s="382">
        <f>'ANTROPOMETRÍA DEPORTISTAS'!B7</f>
        <v>0</v>
      </c>
      <c r="E4" s="382">
        <f>'ANTROPOMETRÍA DEPORTISTAS'!C7</f>
        <v>0</v>
      </c>
      <c r="F4" s="382">
        <f>'ANTROPOMETRÍA DEPORTISTAS'!D7</f>
        <v>0</v>
      </c>
      <c r="G4" s="382">
        <f>'ANTROPOMETRÍA DEPORTISTAS'!E7</f>
        <v>0</v>
      </c>
      <c r="H4" s="382">
        <f>'ANTROPOMETRÍA DEPORTISTAS'!F7</f>
        <v>0</v>
      </c>
      <c r="I4" s="382">
        <f>'ANTROPOMETRÍA DEPORTISTAS'!G7</f>
        <v>0</v>
      </c>
      <c r="J4" s="382">
        <f>'ANTROPOMETRÍA DEPORTISTAS'!H7</f>
        <v>0</v>
      </c>
      <c r="K4" s="382">
        <f>'ANTROPOMETRÍA DEPORTISTAS'!I7</f>
        <v>0</v>
      </c>
      <c r="L4" s="382">
        <f>'ANTROPOMETRÍA DEPORTISTAS'!J7</f>
        <v>0</v>
      </c>
      <c r="M4" s="382">
        <f>'ANTROPOMETRÍA DEPORTISTAS'!K7</f>
        <v>0</v>
      </c>
      <c r="N4" s="265"/>
    </row>
    <row r="5" spans="2:14" ht="15" customHeight="1" thickTop="1" thickBot="1" x14ac:dyDescent="0.35">
      <c r="B5" s="851" t="s">
        <v>721</v>
      </c>
      <c r="C5" s="851"/>
      <c r="D5" s="383">
        <f>'ANTROPOMETRÍA DEPORTISTAS'!B9</f>
        <v>0</v>
      </c>
      <c r="E5" s="383">
        <f>'ANTROPOMETRÍA DEPORTISTAS'!C9</f>
        <v>0</v>
      </c>
      <c r="F5" s="383">
        <f>'ANTROPOMETRÍA DEPORTISTAS'!D9</f>
        <v>0</v>
      </c>
      <c r="G5" s="383">
        <f>'ANTROPOMETRÍA DEPORTISTAS'!E9</f>
        <v>0</v>
      </c>
      <c r="H5" s="383">
        <f>'ANTROPOMETRÍA DEPORTISTAS'!F9</f>
        <v>0</v>
      </c>
      <c r="I5" s="383">
        <f>'ANTROPOMETRÍA DEPORTISTAS'!G9</f>
        <v>0</v>
      </c>
      <c r="J5" s="383">
        <f>'ANTROPOMETRÍA DEPORTISTAS'!H9</f>
        <v>0</v>
      </c>
      <c r="K5" s="383">
        <f>'ANTROPOMETRÍA DEPORTISTAS'!I9</f>
        <v>0</v>
      </c>
      <c r="L5" s="383">
        <f>'ANTROPOMETRÍA DEPORTISTAS'!J9</f>
        <v>0</v>
      </c>
      <c r="M5" s="383">
        <f>'ANTROPOMETRÍA DEPORTISTAS'!K9</f>
        <v>0</v>
      </c>
    </row>
    <row r="6" spans="2:14" ht="15" customHeight="1" thickTop="1" thickBot="1" x14ac:dyDescent="0.35">
      <c r="B6" s="946" t="str">
        <f>'ANTROPOMETRÍA DEPORTISTAS'!A52</f>
        <v xml:space="preserve"> % Grasa (Carter 1986)</v>
      </c>
      <c r="C6" s="946"/>
      <c r="D6" s="947">
        <f>'ANTROPOMETRÍA DEPORTISTAS'!B52</f>
        <v>3.5802999999999998</v>
      </c>
      <c r="E6" s="947">
        <f>'ANTROPOMETRÍA DEPORTISTAS'!C52</f>
        <v>3.5802999999999998</v>
      </c>
      <c r="F6" s="947">
        <f>'ANTROPOMETRÍA DEPORTISTAS'!D52</f>
        <v>3.5802999999999998</v>
      </c>
      <c r="G6" s="947">
        <f>'ANTROPOMETRÍA DEPORTISTAS'!E52</f>
        <v>3.5802999999999998</v>
      </c>
      <c r="H6" s="947">
        <f>'ANTROPOMETRÍA DEPORTISTAS'!F52</f>
        <v>3.5802999999999998</v>
      </c>
      <c r="I6" s="947">
        <f>'ANTROPOMETRÍA DEPORTISTAS'!G52</f>
        <v>3.5802999999999998</v>
      </c>
      <c r="J6" s="947">
        <f>'ANTROPOMETRÍA DEPORTISTAS'!H52</f>
        <v>3.5802999999999998</v>
      </c>
      <c r="K6" s="947">
        <f>'ANTROPOMETRÍA DEPORTISTAS'!I52</f>
        <v>3.5802999999999998</v>
      </c>
      <c r="L6" s="947">
        <f>'ANTROPOMETRÍA DEPORTISTAS'!J52</f>
        <v>3.5802999999999998</v>
      </c>
      <c r="M6" s="947">
        <f>'ANTROPOMETRÍA DEPORTISTAS'!K52</f>
        <v>3.5802999999999998</v>
      </c>
    </row>
    <row r="7" spans="2:14" ht="15" customHeight="1" thickTop="1" thickBot="1" x14ac:dyDescent="0.35">
      <c r="B7" s="946" t="str">
        <f>'ANTROPOMETRÍA DEPORTISTAS'!A53</f>
        <v>% Grasa (Durnin y W. 1974)</v>
      </c>
      <c r="C7" s="946"/>
      <c r="D7" s="947" t="e">
        <f>'ANTROPOMETRÍA DEPORTISTAS'!B53</f>
        <v>#NUM!</v>
      </c>
      <c r="E7" s="947">
        <f>'ANTROPOMETRÍA DEPORTISTAS'!C52</f>
        <v>3.5802999999999998</v>
      </c>
      <c r="F7" s="947">
        <f>'ANTROPOMETRÍA DEPORTISTAS'!D52</f>
        <v>3.5802999999999998</v>
      </c>
      <c r="G7" s="947">
        <f>'ANTROPOMETRÍA DEPORTISTAS'!E52</f>
        <v>3.5802999999999998</v>
      </c>
      <c r="H7" s="947">
        <f>'ANTROPOMETRÍA DEPORTISTAS'!F52</f>
        <v>3.5802999999999998</v>
      </c>
      <c r="I7" s="947">
        <f>'ANTROPOMETRÍA DEPORTISTAS'!G52</f>
        <v>3.5802999999999998</v>
      </c>
      <c r="J7" s="947">
        <f>'ANTROPOMETRÍA DEPORTISTAS'!H52</f>
        <v>3.5802999999999998</v>
      </c>
      <c r="K7" s="947">
        <f>'ANTROPOMETRÍA DEPORTISTAS'!I52</f>
        <v>3.5802999999999998</v>
      </c>
      <c r="L7" s="947">
        <f>'ANTROPOMETRÍA DEPORTISTAS'!J52</f>
        <v>3.5802999999999998</v>
      </c>
      <c r="M7" s="947">
        <f>'ANTROPOMETRÍA DEPORTISTAS'!K52</f>
        <v>3.5802999999999998</v>
      </c>
    </row>
    <row r="8" spans="2:14" ht="15" customHeight="1" thickTop="1" thickBot="1" x14ac:dyDescent="0.35">
      <c r="B8" s="943" t="s">
        <v>848</v>
      </c>
      <c r="C8" s="944"/>
      <c r="D8" s="945" t="e">
        <f>IF('ANTROPOMETRÍA DEPORTISTAS'!B53&lt;21, "Excelente", IF('ANTROPOMETRÍA DEPORTISTAS'!B53=34, "Saludable/Normal", IF('ANTROPOMETRÍA DEPORTISTAS'!B53=40, "Sobrepeso", "Sobrepeso II")))</f>
        <v>#NUM!</v>
      </c>
      <c r="E8" s="945"/>
      <c r="F8" s="945"/>
      <c r="G8" s="945"/>
      <c r="H8" s="945"/>
      <c r="I8" s="945"/>
      <c r="J8" s="945"/>
      <c r="K8" s="945"/>
      <c r="L8" s="945"/>
      <c r="M8" s="945"/>
    </row>
    <row r="9" spans="2:14" ht="15" customHeight="1" thickTop="1" thickBot="1" x14ac:dyDescent="0.35">
      <c r="B9" s="852" t="s">
        <v>439</v>
      </c>
      <c r="C9" s="852"/>
      <c r="D9" s="383">
        <f>'ANTROPOMETRÍA DEPORTISTAS'!B58</f>
        <v>0</v>
      </c>
      <c r="E9" s="383">
        <f>'ANTROPOMETRÍA DEPORTISTAS'!C58</f>
        <v>0</v>
      </c>
      <c r="F9" s="383">
        <f>'ANTROPOMETRÍA DEPORTISTAS'!D58</f>
        <v>0</v>
      </c>
      <c r="G9" s="383">
        <f>'ANTROPOMETRÍA DEPORTISTAS'!E58</f>
        <v>0</v>
      </c>
      <c r="H9" s="383">
        <f>'ANTROPOMETRÍA DEPORTISTAS'!F58</f>
        <v>0</v>
      </c>
      <c r="I9" s="383">
        <f>'ANTROPOMETRÍA DEPORTISTAS'!G58</f>
        <v>0</v>
      </c>
      <c r="J9" s="383">
        <f>'ANTROPOMETRÍA DEPORTISTAS'!H58</f>
        <v>0</v>
      </c>
      <c r="K9" s="383">
        <f>'ANTROPOMETRÍA DEPORTISTAS'!I58</f>
        <v>0</v>
      </c>
      <c r="L9" s="383">
        <f>'ANTROPOMETRÍA DEPORTISTAS'!J58</f>
        <v>0</v>
      </c>
      <c r="M9" s="383">
        <f>'ANTROPOMETRÍA DEPORTISTAS'!K58</f>
        <v>0</v>
      </c>
    </row>
    <row r="10" spans="2:14" ht="15" customHeight="1" thickTop="1" thickBot="1" x14ac:dyDescent="0.35">
      <c r="B10" s="852" t="s">
        <v>440</v>
      </c>
      <c r="C10" s="852"/>
      <c r="D10" s="383">
        <f>'ANTROPOMETRÍA DEPORTISTAS'!B59</f>
        <v>0</v>
      </c>
      <c r="E10" s="383">
        <f>'ANTROPOMETRÍA DEPORTISTAS'!C59</f>
        <v>0</v>
      </c>
      <c r="F10" s="383">
        <f>'ANTROPOMETRÍA DEPORTISTAS'!D59</f>
        <v>0</v>
      </c>
      <c r="G10" s="383">
        <f>'ANTROPOMETRÍA DEPORTISTAS'!E59</f>
        <v>0</v>
      </c>
      <c r="H10" s="383">
        <f>'ANTROPOMETRÍA DEPORTISTAS'!F59</f>
        <v>0</v>
      </c>
      <c r="I10" s="383">
        <f>'ANTROPOMETRÍA DEPORTISTAS'!G59</f>
        <v>0</v>
      </c>
      <c r="J10" s="383">
        <f>'ANTROPOMETRÍA DEPORTISTAS'!H59</f>
        <v>0</v>
      </c>
      <c r="K10" s="383">
        <f>'ANTROPOMETRÍA DEPORTISTAS'!I59</f>
        <v>0</v>
      </c>
      <c r="L10" s="383">
        <f>'ANTROPOMETRÍA DEPORTISTAS'!J59</f>
        <v>0</v>
      </c>
      <c r="M10" s="383">
        <f>'ANTROPOMETRÍA DEPORTISTAS'!K59</f>
        <v>0</v>
      </c>
    </row>
    <row r="11" spans="2:14" ht="15" customHeight="1" thickTop="1" thickBot="1" x14ac:dyDescent="0.35">
      <c r="B11" s="950" t="s">
        <v>496</v>
      </c>
      <c r="C11" s="950"/>
      <c r="D11" s="951" t="e">
        <f>'ANTROPOMETRÍA DEPORTISTAS'!B64</f>
        <v>#DIV/0!</v>
      </c>
      <c r="E11" s="951" t="e">
        <f>'ANTROPOMETRÍA DEPORTISTAS'!C64</f>
        <v>#DIV/0!</v>
      </c>
      <c r="F11" s="951" t="e">
        <f>'ANTROPOMETRÍA DEPORTISTAS'!D64</f>
        <v>#DIV/0!</v>
      </c>
      <c r="G11" s="951" t="e">
        <f>'ANTROPOMETRÍA DEPORTISTAS'!E64</f>
        <v>#DIV/0!</v>
      </c>
      <c r="H11" s="951" t="e">
        <f>'ANTROPOMETRÍA DEPORTISTAS'!F64</f>
        <v>#DIV/0!</v>
      </c>
      <c r="I11" s="951" t="e">
        <f>'ANTROPOMETRÍA DEPORTISTAS'!G64</f>
        <v>#DIV/0!</v>
      </c>
      <c r="J11" s="951" t="e">
        <f>'ANTROPOMETRÍA DEPORTISTAS'!H64</f>
        <v>#DIV/0!</v>
      </c>
      <c r="K11" s="951" t="e">
        <f>'ANTROPOMETRÍA DEPORTISTAS'!I64</f>
        <v>#DIV/0!</v>
      </c>
      <c r="L11" s="951" t="e">
        <f>'ANTROPOMETRÍA DEPORTISTAS'!J64</f>
        <v>#DIV/0!</v>
      </c>
      <c r="M11" s="951" t="e">
        <f>'ANTROPOMETRÍA DEPORTISTAS'!K64</f>
        <v>#DIV/0!</v>
      </c>
    </row>
    <row r="12" spans="2:14" ht="15" customHeight="1" thickTop="1" thickBot="1" x14ac:dyDescent="0.35">
      <c r="B12" s="948" t="s">
        <v>495</v>
      </c>
      <c r="C12" s="948"/>
      <c r="D12" s="949" t="e">
        <f>'ANTROPOMETRÍA DEPORTISTAS'!B63</f>
        <v>#DIV/0!</v>
      </c>
      <c r="E12" s="949" t="e">
        <f>'ANTROPOMETRÍA DEPORTISTAS'!C63</f>
        <v>#DIV/0!</v>
      </c>
      <c r="F12" s="949" t="e">
        <f>'ANTROPOMETRÍA DEPORTISTAS'!D63</f>
        <v>#DIV/0!</v>
      </c>
      <c r="G12" s="949" t="e">
        <f>'ANTROPOMETRÍA DEPORTISTAS'!E63</f>
        <v>#DIV/0!</v>
      </c>
      <c r="H12" s="949" t="e">
        <f>'ANTROPOMETRÍA DEPORTISTAS'!F63</f>
        <v>#DIV/0!</v>
      </c>
      <c r="I12" s="949" t="e">
        <f>'ANTROPOMETRÍA DEPORTISTAS'!G63</f>
        <v>#DIV/0!</v>
      </c>
      <c r="J12" s="949" t="e">
        <f>'ANTROPOMETRÍA DEPORTISTAS'!H63</f>
        <v>#DIV/0!</v>
      </c>
      <c r="K12" s="949" t="e">
        <f>'ANTROPOMETRÍA DEPORTISTAS'!I63</f>
        <v>#DIV/0!</v>
      </c>
      <c r="L12" s="949" t="e">
        <f>'ANTROPOMETRÍA DEPORTISTAS'!J63</f>
        <v>#DIV/0!</v>
      </c>
      <c r="M12" s="949" t="e">
        <f>'ANTROPOMETRÍA DEPORTISTAS'!K63</f>
        <v>#DIV/0!</v>
      </c>
    </row>
    <row r="13" spans="2:14" ht="15" customHeight="1" thickTop="1" thickBot="1" x14ac:dyDescent="0.35">
      <c r="B13" s="853" t="s">
        <v>722</v>
      </c>
      <c r="C13" s="853"/>
      <c r="D13" s="384">
        <f>'ANTROPOMETRÍA DEPORTISTAS'!B54</f>
        <v>0</v>
      </c>
      <c r="E13" s="384">
        <f>'ANTROPOMETRÍA DEPORTISTAS'!C54</f>
        <v>0</v>
      </c>
      <c r="F13" s="384">
        <f>'ANTROPOMETRÍA DEPORTISTAS'!D54</f>
        <v>0</v>
      </c>
      <c r="G13" s="384">
        <f>'ANTROPOMETRÍA DEPORTISTAS'!E54</f>
        <v>0</v>
      </c>
      <c r="H13" s="384">
        <f>'ANTROPOMETRÍA DEPORTISTAS'!F54</f>
        <v>0</v>
      </c>
      <c r="I13" s="384">
        <f>'ANTROPOMETRÍA DEPORTISTAS'!G54</f>
        <v>0</v>
      </c>
      <c r="J13" s="384">
        <f>'ANTROPOMETRÍA DEPORTISTAS'!H54</f>
        <v>0</v>
      </c>
      <c r="K13" s="384">
        <f>'ANTROPOMETRÍA DEPORTISTAS'!I54</f>
        <v>0</v>
      </c>
      <c r="L13" s="384">
        <f>'ANTROPOMETRÍA DEPORTISTAS'!J54</f>
        <v>0</v>
      </c>
      <c r="M13" s="384">
        <f>'ANTROPOMETRÍA DEPORTISTAS'!K54</f>
        <v>0</v>
      </c>
    </row>
    <row r="14" spans="2:14" ht="15.6" thickTop="1" thickBot="1" x14ac:dyDescent="0.35">
      <c r="B14" s="840" t="s">
        <v>723</v>
      </c>
      <c r="C14" s="840"/>
      <c r="D14" s="383" t="e">
        <f>IF(AND('ANTROPOMETRÍA DEPORTISTAS'!B68&gt;'ANTROPOMETRÍA DEPORTISTAS'!B67, 'ANTROPOMETRÍA DEPORTISTAS'!B68&gt;'ANTROPOMETRÍA DEPORTISTAS'!B66), "Endomorfo", IF(AND('ANTROPOMETRÍA DEPORTISTAS'!B67&gt;'ANTROPOMETRÍA DEPORTISTAS'!B68, 'ANTROPOMETRÍA DEPORTISTAS'!B67&gt;'ANTROPOMETRÍA DEPORTISTAS'!B66), "Mesomorfo", IF(AND('ANTROPOMETRÍA DEPORTISTAS'!B66&gt;'ANTROPOMETRÍA DEPORTISTAS'!B68, 'ANTROPOMETRÍA DEPORTISTAS'!B66&gt;'ANTROPOMETRÍA DEPORTISTAS'!B67), "Ectomorfo", "Somatotipo Balanceado")))</f>
        <v>#DIV/0!</v>
      </c>
      <c r="E14" s="383" t="e">
        <f>IF(AND('ANTROPOMETRÍA DEPORTISTAS'!C68&gt;'ANTROPOMETRÍA DEPORTISTAS'!C67, 'ANTROPOMETRÍA DEPORTISTAS'!C68&gt;'ANTROPOMETRÍA DEPORTISTAS'!C66), "Endomorfo", IF(AND('ANTROPOMETRÍA DEPORTISTAS'!C67&gt;'ANTROPOMETRÍA DEPORTISTAS'!C68, 'ANTROPOMETRÍA DEPORTISTAS'!C67&gt;'ANTROPOMETRÍA DEPORTISTAS'!C66), "Mesomorfo", IF(AND('ANTROPOMETRÍA DEPORTISTAS'!C66&gt;'ANTROPOMETRÍA DEPORTISTAS'!C68, 'ANTROPOMETRÍA DEPORTISTAS'!C66&gt;'ANTROPOMETRÍA DEPORTISTAS'!C67), "Ectomorfo", "Somatotipo Balanceado")))</f>
        <v>#DIV/0!</v>
      </c>
      <c r="F14" s="383" t="e">
        <f>IF(AND('ANTROPOMETRÍA DEPORTISTAS'!D68&gt;'ANTROPOMETRÍA DEPORTISTAS'!D67, 'ANTROPOMETRÍA DEPORTISTAS'!D68&gt;'ANTROPOMETRÍA DEPORTISTAS'!D66), "Endomorfo", IF(AND('ANTROPOMETRÍA DEPORTISTAS'!D67&gt;'ANTROPOMETRÍA DEPORTISTAS'!D68, 'ANTROPOMETRÍA DEPORTISTAS'!D67&gt;'ANTROPOMETRÍA DEPORTISTAS'!D66), "Mesomorfo", IF(AND('ANTROPOMETRÍA DEPORTISTAS'!D66&gt;'ANTROPOMETRÍA DEPORTISTAS'!D68, 'ANTROPOMETRÍA DEPORTISTAS'!D66&gt;'ANTROPOMETRÍA DEPORTISTAS'!D67), "Ectomorfo", "Somatotipo Balanceado")))</f>
        <v>#DIV/0!</v>
      </c>
      <c r="G14" s="383" t="e">
        <f>IF(AND('ANTROPOMETRÍA DEPORTISTAS'!E68&gt;'ANTROPOMETRÍA DEPORTISTAS'!E67, 'ANTROPOMETRÍA DEPORTISTAS'!E68&gt;'ANTROPOMETRÍA DEPORTISTAS'!E66), "Endomorfo", IF(AND('ANTROPOMETRÍA DEPORTISTAS'!E67&gt;'ANTROPOMETRÍA DEPORTISTAS'!E68, 'ANTROPOMETRÍA DEPORTISTAS'!E67&gt;'ANTROPOMETRÍA DEPORTISTAS'!E66), "Mesomorfo", IF(AND('ANTROPOMETRÍA DEPORTISTAS'!E66&gt;'ANTROPOMETRÍA DEPORTISTAS'!E68, 'ANTROPOMETRÍA DEPORTISTAS'!E66&gt;'ANTROPOMETRÍA DEPORTISTAS'!E67), "Ectomorfo", "Somatotipo Balanceado")))</f>
        <v>#DIV/0!</v>
      </c>
      <c r="H14" s="383" t="e">
        <f>IF(AND('ANTROPOMETRÍA DEPORTISTAS'!F68&gt;'ANTROPOMETRÍA DEPORTISTAS'!F67, 'ANTROPOMETRÍA DEPORTISTAS'!F68&gt;'ANTROPOMETRÍA DEPORTISTAS'!F66), "Endomorfo", IF(AND('ANTROPOMETRÍA DEPORTISTAS'!F67&gt;'ANTROPOMETRÍA DEPORTISTAS'!F68, 'ANTROPOMETRÍA DEPORTISTAS'!F67&gt;'ANTROPOMETRÍA DEPORTISTAS'!F66), "Mesomorfo", IF(AND('ANTROPOMETRÍA DEPORTISTAS'!F66&gt;'ANTROPOMETRÍA DEPORTISTAS'!F68, 'ANTROPOMETRÍA DEPORTISTAS'!F66&gt;'ANTROPOMETRÍA DEPORTISTAS'!F67), "Ectomorfo", "Somatotipo Balanceado")))</f>
        <v>#DIV/0!</v>
      </c>
      <c r="I14" s="383" t="e">
        <f>IF(AND('ANTROPOMETRÍA DEPORTISTAS'!G68&gt;'ANTROPOMETRÍA DEPORTISTAS'!G67, 'ANTROPOMETRÍA DEPORTISTAS'!G68&gt;'ANTROPOMETRÍA DEPORTISTAS'!G66), "Endomorfo", IF(AND('ANTROPOMETRÍA DEPORTISTAS'!G67&gt;'ANTROPOMETRÍA DEPORTISTAS'!G68, 'ANTROPOMETRÍA DEPORTISTAS'!G67&gt;'ANTROPOMETRÍA DEPORTISTAS'!G66), "Mesomorfo", IF(AND('ANTROPOMETRÍA DEPORTISTAS'!G66&gt;'ANTROPOMETRÍA DEPORTISTAS'!G68, 'ANTROPOMETRÍA DEPORTISTAS'!G66&gt;'ANTROPOMETRÍA DEPORTISTAS'!G67), "Ectomorfo", "Somatotipo Balanceado")))</f>
        <v>#DIV/0!</v>
      </c>
      <c r="J14" s="383" t="e">
        <f>IF(AND('ANTROPOMETRÍA DEPORTISTAS'!H68&gt;'ANTROPOMETRÍA DEPORTISTAS'!H67, 'ANTROPOMETRÍA DEPORTISTAS'!H68&gt;'ANTROPOMETRÍA DEPORTISTAS'!H66), "Endomorfo", IF(AND('ANTROPOMETRÍA DEPORTISTAS'!H67&gt;'ANTROPOMETRÍA DEPORTISTAS'!H68, 'ANTROPOMETRÍA DEPORTISTAS'!H67&gt;'ANTROPOMETRÍA DEPORTISTAS'!H66), "Mesomorfo", IF(AND('ANTROPOMETRÍA DEPORTISTAS'!H66&gt;'ANTROPOMETRÍA DEPORTISTAS'!H68, 'ANTROPOMETRÍA DEPORTISTAS'!H66&gt;'ANTROPOMETRÍA DEPORTISTAS'!H67), "Ectomorfo", "Somatotipo Balanceado")))</f>
        <v>#DIV/0!</v>
      </c>
      <c r="K14" s="383" t="e">
        <f>IF(AND('ANTROPOMETRÍA DEPORTISTAS'!I68&gt;'ANTROPOMETRÍA DEPORTISTAS'!I67, 'ANTROPOMETRÍA DEPORTISTAS'!I68&gt;'ANTROPOMETRÍA DEPORTISTAS'!I66), "Endomorfo", IF(AND('ANTROPOMETRÍA DEPORTISTAS'!I67&gt;'ANTROPOMETRÍA DEPORTISTAS'!I68, 'ANTROPOMETRÍA DEPORTISTAS'!I67&gt;'ANTROPOMETRÍA DEPORTISTAS'!I66), "Mesomorfo", IF(AND('ANTROPOMETRÍA DEPORTISTAS'!I66&gt;'ANTROPOMETRÍA DEPORTISTAS'!I68, 'ANTROPOMETRÍA DEPORTISTAS'!I66&gt;'ANTROPOMETRÍA DEPORTISTAS'!I67), "Ectomorfo", "Somatotipo Balanceado")))</f>
        <v>#DIV/0!</v>
      </c>
      <c r="L14" s="383" t="e">
        <f>IF(AND('ANTROPOMETRÍA DEPORTISTAS'!J68&gt;'ANTROPOMETRÍA DEPORTISTAS'!J67, 'ANTROPOMETRÍA DEPORTISTAS'!J68&gt;'ANTROPOMETRÍA DEPORTISTAS'!J66), "Endomorfo", IF(AND('ANTROPOMETRÍA DEPORTISTAS'!J67&gt;'ANTROPOMETRÍA DEPORTISTAS'!J68, 'ANTROPOMETRÍA DEPORTISTAS'!J67&gt;'ANTROPOMETRÍA DEPORTISTAS'!J66), "Mesomorfo", IF(AND('ANTROPOMETRÍA DEPORTISTAS'!J66&gt;'ANTROPOMETRÍA DEPORTISTAS'!J68, 'ANTROPOMETRÍA DEPORTISTAS'!J66&gt;'ANTROPOMETRÍA DEPORTISTAS'!J67), "Ectomorfo", "Somatotipo Balanceado")))</f>
        <v>#DIV/0!</v>
      </c>
      <c r="M14" s="383" t="e">
        <f>IF(AND('ANTROPOMETRÍA DEPORTISTAS'!K68&gt;'ANTROPOMETRÍA DEPORTISTAS'!K67, 'ANTROPOMETRÍA DEPORTISTAS'!K68&gt;'ANTROPOMETRÍA DEPORTISTAS'!K66), "Endomorfo", IF(AND('ANTROPOMETRÍA DEPORTISTAS'!K67&gt;'ANTROPOMETRÍA DEPORTISTAS'!K68, 'ANTROPOMETRÍA DEPORTISTAS'!K67&gt;'ANTROPOMETRÍA DEPORTISTAS'!K66), "Mesomorfo", IF(AND('ANTROPOMETRÍA DEPORTISTAS'!K66&gt;'ANTROPOMETRÍA DEPORTISTAS'!K68, 'ANTROPOMETRÍA DEPORTISTAS'!K66&gt;'ANTROPOMETRÍA DEPORTISTAS'!K67), "Ectomorfo", "Somatotipo Balanceado")))</f>
        <v>#DIV/0!</v>
      </c>
    </row>
    <row r="15" spans="2:14" ht="15" thickTop="1" x14ac:dyDescent="0.3"/>
    <row r="16" spans="2:14" ht="15" thickBot="1" x14ac:dyDescent="0.35">
      <c r="B16" s="366"/>
      <c r="C16" s="366"/>
      <c r="D16" s="366"/>
      <c r="E16" s="366"/>
      <c r="F16" s="366"/>
      <c r="G16" s="366"/>
      <c r="H16" s="366"/>
      <c r="I16" s="366"/>
      <c r="J16" s="366"/>
      <c r="K16" s="366"/>
      <c r="L16" s="366"/>
      <c r="M16" s="366"/>
    </row>
    <row r="17" spans="2:21" ht="15" thickBot="1" x14ac:dyDescent="0.35">
      <c r="B17" s="841" t="s">
        <v>733</v>
      </c>
      <c r="C17" s="842"/>
      <c r="D17" s="842"/>
      <c r="E17" s="842"/>
      <c r="F17" s="842"/>
      <c r="G17" s="842"/>
      <c r="H17" s="842"/>
      <c r="I17" s="842"/>
      <c r="J17" s="842"/>
      <c r="K17" s="842"/>
      <c r="L17" s="842"/>
      <c r="M17" s="843"/>
      <c r="N17" s="367"/>
    </row>
    <row r="18" spans="2:21" ht="15" thickBot="1" x14ac:dyDescent="0.35">
      <c r="B18" s="844"/>
      <c r="C18" s="845"/>
      <c r="D18" s="845"/>
      <c r="E18" s="845"/>
      <c r="F18" s="845"/>
      <c r="G18" s="845"/>
      <c r="H18" s="845"/>
      <c r="I18" s="845"/>
      <c r="J18" s="845"/>
      <c r="K18" s="845"/>
      <c r="L18" s="845"/>
      <c r="M18" s="846"/>
      <c r="N18" s="367"/>
    </row>
    <row r="19" spans="2:21" ht="15" customHeight="1" x14ac:dyDescent="0.3">
      <c r="B19" s="831" t="s">
        <v>332</v>
      </c>
      <c r="C19" s="832"/>
      <c r="D19" s="363">
        <f>'ANTROPOMETRÍA DEPORTISTAS'!B6</f>
        <v>0</v>
      </c>
      <c r="E19" s="363">
        <f>'ANTROPOMETRÍA DEPORTISTAS'!C6</f>
        <v>0</v>
      </c>
      <c r="F19" s="363">
        <f>'ANTROPOMETRÍA DEPORTISTAS'!D6</f>
        <v>0</v>
      </c>
      <c r="G19" s="363">
        <f>'ANTROPOMETRÍA DEPORTISTAS'!E6</f>
        <v>0</v>
      </c>
      <c r="H19" s="363">
        <f>'ANTROPOMETRÍA DEPORTISTAS'!F6</f>
        <v>0</v>
      </c>
      <c r="I19" s="363">
        <f>'ANTROPOMETRÍA DEPORTISTAS'!G6</f>
        <v>0</v>
      </c>
      <c r="J19" s="363">
        <f>'ANTROPOMETRÍA DEPORTISTAS'!H6</f>
        <v>0</v>
      </c>
      <c r="K19" s="363">
        <f>'ANTROPOMETRÍA DEPORTISTAS'!I6</f>
        <v>0</v>
      </c>
      <c r="L19" s="363">
        <f>'ANTROPOMETRÍA DEPORTISTAS'!J6</f>
        <v>0</v>
      </c>
      <c r="M19" s="363">
        <f>'ANTROPOMETRÍA DEPORTISTAS'!K6</f>
        <v>0</v>
      </c>
      <c r="N19" s="363"/>
      <c r="O19" s="363"/>
      <c r="P19" s="363"/>
      <c r="Q19" s="113"/>
      <c r="R19" s="224"/>
      <c r="S19" s="224"/>
      <c r="T19" s="224"/>
      <c r="U19" s="224"/>
    </row>
    <row r="20" spans="2:21" ht="15" customHeight="1" x14ac:dyDescent="0.3">
      <c r="B20" s="847" t="s">
        <v>327</v>
      </c>
      <c r="C20" s="848"/>
      <c r="D20" s="188">
        <f>'ANTROPOMETRÍA DEPORTISTAS'!B7</f>
        <v>0</v>
      </c>
      <c r="E20" s="188">
        <f>'ANTROPOMETRÍA DEPORTISTAS'!C7</f>
        <v>0</v>
      </c>
      <c r="F20" s="188">
        <f>'ANTROPOMETRÍA DEPORTISTAS'!D7</f>
        <v>0</v>
      </c>
      <c r="G20" s="188">
        <f>'ANTROPOMETRÍA DEPORTISTAS'!E7</f>
        <v>0</v>
      </c>
      <c r="H20" s="188">
        <f>'ANTROPOMETRÍA DEPORTISTAS'!F7</f>
        <v>0</v>
      </c>
      <c r="I20" s="188">
        <f>'ANTROPOMETRÍA DEPORTISTAS'!G7</f>
        <v>0</v>
      </c>
      <c r="J20" s="188">
        <f>'ANTROPOMETRÍA DEPORTISTAS'!H7</f>
        <v>0</v>
      </c>
      <c r="K20" s="188">
        <f>'ANTROPOMETRÍA DEPORTISTAS'!I7</f>
        <v>0</v>
      </c>
      <c r="L20" s="188">
        <f>'ANTROPOMETRÍA DEPORTISTAS'!J7</f>
        <v>0</v>
      </c>
      <c r="M20" s="188">
        <f>'ANTROPOMETRÍA DEPORTISTAS'!K7</f>
        <v>0</v>
      </c>
      <c r="N20" s="107"/>
      <c r="O20" s="107"/>
      <c r="P20" s="107"/>
      <c r="Q20" s="107"/>
      <c r="R20" s="224"/>
      <c r="S20" s="224"/>
      <c r="T20" s="224"/>
      <c r="U20" s="224"/>
    </row>
    <row r="21" spans="2:21" ht="16.8" x14ac:dyDescent="0.3">
      <c r="B21" s="835" t="s">
        <v>313</v>
      </c>
      <c r="C21" s="836"/>
      <c r="D21" s="188">
        <f>'ANTROPOMETRÍA DEPORTISTAS'!B8</f>
        <v>0</v>
      </c>
      <c r="E21" s="188">
        <f>'ANTROPOMETRÍA DEPORTISTAS'!C8</f>
        <v>0</v>
      </c>
      <c r="F21" s="188">
        <f>'ANTROPOMETRÍA DEPORTISTAS'!D8</f>
        <v>0</v>
      </c>
      <c r="G21" s="188">
        <f>'ANTROPOMETRÍA DEPORTISTAS'!E8</f>
        <v>0</v>
      </c>
      <c r="H21" s="188">
        <f>'ANTROPOMETRÍA DEPORTISTAS'!F8</f>
        <v>0</v>
      </c>
      <c r="I21" s="188">
        <f>'ANTROPOMETRÍA DEPORTISTAS'!G8</f>
        <v>0</v>
      </c>
      <c r="J21" s="188">
        <f>'ANTROPOMETRÍA DEPORTISTAS'!H8</f>
        <v>0</v>
      </c>
      <c r="K21" s="188">
        <f>'ANTROPOMETRÍA DEPORTISTAS'!I8</f>
        <v>0</v>
      </c>
      <c r="L21" s="188">
        <f>'ANTROPOMETRÍA DEPORTISTAS'!J8</f>
        <v>0</v>
      </c>
      <c r="M21" s="188">
        <f>'ANTROPOMETRÍA DEPORTISTAS'!K8</f>
        <v>0</v>
      </c>
      <c r="N21" s="108"/>
      <c r="O21" s="108"/>
      <c r="P21" s="108"/>
      <c r="Q21" s="108"/>
      <c r="R21" s="224"/>
      <c r="S21" s="224"/>
      <c r="T21" s="224"/>
      <c r="U21" s="224"/>
    </row>
    <row r="22" spans="2:21" ht="16.8" x14ac:dyDescent="0.3">
      <c r="B22" s="835" t="s">
        <v>5</v>
      </c>
      <c r="C22" s="836"/>
      <c r="D22" s="188">
        <f>'ANTROPOMETRÍA DEPORTISTAS'!B9</f>
        <v>0</v>
      </c>
      <c r="E22" s="188">
        <f>'ANTROPOMETRÍA DEPORTISTAS'!C9</f>
        <v>0</v>
      </c>
      <c r="F22" s="188">
        <f>'ANTROPOMETRÍA DEPORTISTAS'!D9</f>
        <v>0</v>
      </c>
      <c r="G22" s="188">
        <f>'ANTROPOMETRÍA DEPORTISTAS'!E9</f>
        <v>0</v>
      </c>
      <c r="H22" s="188">
        <f>'ANTROPOMETRÍA DEPORTISTAS'!F9</f>
        <v>0</v>
      </c>
      <c r="I22" s="188">
        <f>'ANTROPOMETRÍA DEPORTISTAS'!G9</f>
        <v>0</v>
      </c>
      <c r="J22" s="188">
        <f>'ANTROPOMETRÍA DEPORTISTAS'!H9</f>
        <v>0</v>
      </c>
      <c r="K22" s="188">
        <f>'ANTROPOMETRÍA DEPORTISTAS'!I9</f>
        <v>0</v>
      </c>
      <c r="L22" s="188">
        <f>'ANTROPOMETRÍA DEPORTISTAS'!J9</f>
        <v>0</v>
      </c>
      <c r="M22" s="188">
        <f>'ANTROPOMETRÍA DEPORTISTAS'!K9</f>
        <v>0</v>
      </c>
      <c r="N22" s="108"/>
      <c r="O22" s="108"/>
      <c r="P22" s="108"/>
      <c r="Q22" s="108"/>
      <c r="R22" s="224"/>
      <c r="S22" s="224"/>
      <c r="T22" s="224"/>
      <c r="U22" s="224"/>
    </row>
    <row r="23" spans="2:21" ht="17.25" customHeight="1" x14ac:dyDescent="0.3">
      <c r="B23" s="837" t="s">
        <v>474</v>
      </c>
      <c r="C23" s="83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224"/>
      <c r="S23" s="224"/>
      <c r="T23" s="224"/>
      <c r="U23" s="224"/>
    </row>
    <row r="24" spans="2:21" ht="16.8" x14ac:dyDescent="0.3">
      <c r="B24" s="835" t="s">
        <v>457</v>
      </c>
      <c r="C24" s="836"/>
      <c r="D24" s="107">
        <f>'ANTROPOMETRÍA DEPORTISTAS'!B12</f>
        <v>0</v>
      </c>
      <c r="E24" s="107">
        <f>'ANTROPOMETRÍA DEPORTISTAS'!C12</f>
        <v>0</v>
      </c>
      <c r="F24" s="107">
        <f>'ANTROPOMETRÍA DEPORTISTAS'!D12</f>
        <v>0</v>
      </c>
      <c r="G24" s="107">
        <f>'ANTROPOMETRÍA DEPORTISTAS'!E12</f>
        <v>0</v>
      </c>
      <c r="H24" s="107">
        <f>'ANTROPOMETRÍA DEPORTISTAS'!F12</f>
        <v>0</v>
      </c>
      <c r="I24" s="107">
        <f>'ANTROPOMETRÍA DEPORTISTAS'!G12</f>
        <v>0</v>
      </c>
      <c r="J24" s="107">
        <f>'ANTROPOMETRÍA DEPORTISTAS'!H12</f>
        <v>0</v>
      </c>
      <c r="K24" s="107">
        <f>'ANTROPOMETRÍA DEPORTISTAS'!I12</f>
        <v>0</v>
      </c>
      <c r="L24" s="107">
        <f>'ANTROPOMETRÍA DEPORTISTAS'!J12</f>
        <v>0</v>
      </c>
      <c r="M24" s="107">
        <f>'ANTROPOMETRÍA DEPORTISTAS'!K12</f>
        <v>0</v>
      </c>
      <c r="N24" s="107"/>
      <c r="O24" s="107"/>
      <c r="P24" s="107"/>
      <c r="Q24" s="107"/>
      <c r="R24" s="224"/>
      <c r="S24" s="224"/>
      <c r="T24" s="224"/>
      <c r="U24" s="224"/>
    </row>
    <row r="25" spans="2:21" ht="16.8" x14ac:dyDescent="0.3">
      <c r="B25" s="835" t="s">
        <v>740</v>
      </c>
      <c r="C25" s="836"/>
      <c r="D25" s="107">
        <f>'ANTROPOMETRÍA DEPORTISTAS'!B13</f>
        <v>0</v>
      </c>
      <c r="E25" s="107">
        <f>'ANTROPOMETRÍA DEPORTISTAS'!C13</f>
        <v>0</v>
      </c>
      <c r="F25" s="107">
        <f>'ANTROPOMETRÍA DEPORTISTAS'!D13</f>
        <v>0</v>
      </c>
      <c r="G25" s="107">
        <f>'ANTROPOMETRÍA DEPORTISTAS'!E13</f>
        <v>0</v>
      </c>
      <c r="H25" s="107">
        <f>'ANTROPOMETRÍA DEPORTISTAS'!F13</f>
        <v>0</v>
      </c>
      <c r="I25" s="107">
        <f>'ANTROPOMETRÍA DEPORTISTAS'!G13</f>
        <v>0</v>
      </c>
      <c r="J25" s="107">
        <f>'ANTROPOMETRÍA DEPORTISTAS'!H13</f>
        <v>0</v>
      </c>
      <c r="K25" s="107">
        <f>'ANTROPOMETRÍA DEPORTISTAS'!I13</f>
        <v>0</v>
      </c>
      <c r="L25" s="107">
        <f>'ANTROPOMETRÍA DEPORTISTAS'!J13</f>
        <v>0</v>
      </c>
      <c r="M25" s="107">
        <f>'ANTROPOMETRÍA DEPORTISTAS'!K13</f>
        <v>0</v>
      </c>
      <c r="N25" s="107"/>
      <c r="O25" s="107"/>
      <c r="P25" s="107"/>
      <c r="Q25" s="107"/>
      <c r="R25" s="224"/>
      <c r="S25" s="224"/>
      <c r="T25" s="224"/>
      <c r="U25" s="224"/>
    </row>
    <row r="26" spans="2:21" ht="16.8" x14ac:dyDescent="0.3">
      <c r="B26" s="835" t="s">
        <v>458</v>
      </c>
      <c r="C26" s="836"/>
      <c r="D26" s="107">
        <f>'ANTROPOMETRÍA DEPORTISTAS'!B14</f>
        <v>0</v>
      </c>
      <c r="E26" s="107">
        <f>'ANTROPOMETRÍA DEPORTISTAS'!C14</f>
        <v>0</v>
      </c>
      <c r="F26" s="107">
        <f>'ANTROPOMETRÍA DEPORTISTAS'!D14</f>
        <v>0</v>
      </c>
      <c r="G26" s="107">
        <f>'ANTROPOMETRÍA DEPORTISTAS'!E14</f>
        <v>0</v>
      </c>
      <c r="H26" s="107">
        <f>'ANTROPOMETRÍA DEPORTISTAS'!F14</f>
        <v>0</v>
      </c>
      <c r="I26" s="107">
        <f>'ANTROPOMETRÍA DEPORTISTAS'!G14</f>
        <v>0</v>
      </c>
      <c r="J26" s="107">
        <f>'ANTROPOMETRÍA DEPORTISTAS'!H14</f>
        <v>0</v>
      </c>
      <c r="K26" s="107">
        <f>'ANTROPOMETRÍA DEPORTISTAS'!I14</f>
        <v>0</v>
      </c>
      <c r="L26" s="107">
        <f>'ANTROPOMETRÍA DEPORTISTAS'!J14</f>
        <v>0</v>
      </c>
      <c r="M26" s="107">
        <f>'ANTROPOMETRÍA DEPORTISTAS'!K14</f>
        <v>0</v>
      </c>
      <c r="N26" s="107"/>
      <c r="O26" s="107"/>
      <c r="P26" s="107"/>
      <c r="Q26" s="107"/>
      <c r="R26" s="224"/>
      <c r="S26" s="224"/>
      <c r="T26" s="224"/>
      <c r="U26" s="224"/>
    </row>
    <row r="27" spans="2:21" ht="16.8" x14ac:dyDescent="0.3">
      <c r="B27" s="835" t="s">
        <v>462</v>
      </c>
      <c r="C27" s="836"/>
      <c r="D27" s="107">
        <f>'ANTROPOMETRÍA DEPORTISTAS'!B15</f>
        <v>0</v>
      </c>
      <c r="E27" s="107">
        <f>'ANTROPOMETRÍA DEPORTISTAS'!C15</f>
        <v>0</v>
      </c>
      <c r="F27" s="107">
        <f>'ANTROPOMETRÍA DEPORTISTAS'!D15</f>
        <v>0</v>
      </c>
      <c r="G27" s="107">
        <f>'ANTROPOMETRÍA DEPORTISTAS'!E15</f>
        <v>0</v>
      </c>
      <c r="H27" s="107">
        <f>'ANTROPOMETRÍA DEPORTISTAS'!F15</f>
        <v>0</v>
      </c>
      <c r="I27" s="107">
        <f>'ANTROPOMETRÍA DEPORTISTAS'!G15</f>
        <v>0</v>
      </c>
      <c r="J27" s="107">
        <f>'ANTROPOMETRÍA DEPORTISTAS'!H15</f>
        <v>0</v>
      </c>
      <c r="K27" s="107">
        <f>'ANTROPOMETRÍA DEPORTISTAS'!I15</f>
        <v>0</v>
      </c>
      <c r="L27" s="107">
        <f>'ANTROPOMETRÍA DEPORTISTAS'!J15</f>
        <v>0</v>
      </c>
      <c r="M27" s="107">
        <f>'ANTROPOMETRÍA DEPORTISTAS'!K15</f>
        <v>0</v>
      </c>
      <c r="N27" s="107"/>
      <c r="O27" s="107"/>
      <c r="P27" s="107"/>
      <c r="Q27" s="107"/>
      <c r="R27" s="224"/>
      <c r="S27" s="224"/>
      <c r="T27" s="224"/>
      <c r="U27" s="224"/>
    </row>
    <row r="28" spans="2:21" ht="16.8" x14ac:dyDescent="0.3">
      <c r="B28" s="835" t="s">
        <v>464</v>
      </c>
      <c r="C28" s="836"/>
      <c r="D28" s="107">
        <f>'ANTROPOMETRÍA DEPORTISTAS'!B16</f>
        <v>0</v>
      </c>
      <c r="E28" s="107">
        <f>'ANTROPOMETRÍA DEPORTISTAS'!C16</f>
        <v>0</v>
      </c>
      <c r="F28" s="107">
        <f>'ANTROPOMETRÍA DEPORTISTAS'!D16</f>
        <v>0</v>
      </c>
      <c r="G28" s="107">
        <f>'ANTROPOMETRÍA DEPORTISTAS'!E16</f>
        <v>0</v>
      </c>
      <c r="H28" s="107">
        <f>'ANTROPOMETRÍA DEPORTISTAS'!F16</f>
        <v>0</v>
      </c>
      <c r="I28" s="107">
        <f>'ANTROPOMETRÍA DEPORTISTAS'!G16</f>
        <v>0</v>
      </c>
      <c r="J28" s="107">
        <f>'ANTROPOMETRÍA DEPORTISTAS'!H16</f>
        <v>0</v>
      </c>
      <c r="K28" s="107">
        <f>'ANTROPOMETRÍA DEPORTISTAS'!I16</f>
        <v>0</v>
      </c>
      <c r="L28" s="107">
        <f>'ANTROPOMETRÍA DEPORTISTAS'!J16</f>
        <v>0</v>
      </c>
      <c r="M28" s="107">
        <f>'ANTROPOMETRÍA DEPORTISTAS'!K16</f>
        <v>0</v>
      </c>
      <c r="N28" s="107"/>
      <c r="O28" s="107"/>
      <c r="P28" s="107"/>
      <c r="Q28" s="107"/>
      <c r="R28" s="224"/>
      <c r="S28" s="224"/>
      <c r="T28" s="224"/>
      <c r="U28" s="224"/>
    </row>
    <row r="29" spans="2:21" ht="16.8" x14ac:dyDescent="0.3">
      <c r="B29" s="835" t="s">
        <v>463</v>
      </c>
      <c r="C29" s="836"/>
      <c r="D29" s="107">
        <f>'ANTROPOMETRÍA DEPORTISTAS'!B17</f>
        <v>0</v>
      </c>
      <c r="E29" s="107">
        <f>'ANTROPOMETRÍA DEPORTISTAS'!C17</f>
        <v>0</v>
      </c>
      <c r="F29" s="107">
        <f>'ANTROPOMETRÍA DEPORTISTAS'!D17</f>
        <v>0</v>
      </c>
      <c r="G29" s="107">
        <f>'ANTROPOMETRÍA DEPORTISTAS'!E17</f>
        <v>0</v>
      </c>
      <c r="H29" s="107">
        <f>'ANTROPOMETRÍA DEPORTISTAS'!F17</f>
        <v>0</v>
      </c>
      <c r="I29" s="107">
        <f>'ANTROPOMETRÍA DEPORTISTAS'!G17</f>
        <v>0</v>
      </c>
      <c r="J29" s="107">
        <f>'ANTROPOMETRÍA DEPORTISTAS'!H17</f>
        <v>0</v>
      </c>
      <c r="K29" s="107">
        <f>'ANTROPOMETRÍA DEPORTISTAS'!I17</f>
        <v>0</v>
      </c>
      <c r="L29" s="107">
        <f>'ANTROPOMETRÍA DEPORTISTAS'!J17</f>
        <v>0</v>
      </c>
      <c r="M29" s="107">
        <f>'ANTROPOMETRÍA DEPORTISTAS'!K17</f>
        <v>0</v>
      </c>
      <c r="N29" s="107"/>
      <c r="O29" s="107"/>
      <c r="P29" s="107"/>
      <c r="Q29" s="107"/>
      <c r="R29" s="224"/>
      <c r="S29" s="224"/>
      <c r="T29" s="224"/>
      <c r="U29" s="224"/>
    </row>
    <row r="30" spans="2:21" ht="16.8" x14ac:dyDescent="0.3">
      <c r="B30" s="835" t="s">
        <v>459</v>
      </c>
      <c r="C30" s="836"/>
      <c r="D30" s="107">
        <f>'ANTROPOMETRÍA DEPORTISTAS'!B18</f>
        <v>0</v>
      </c>
      <c r="E30" s="107">
        <f>'ANTROPOMETRÍA DEPORTISTAS'!C18</f>
        <v>0</v>
      </c>
      <c r="F30" s="107">
        <f>'ANTROPOMETRÍA DEPORTISTAS'!D18</f>
        <v>0</v>
      </c>
      <c r="G30" s="107">
        <f>'ANTROPOMETRÍA DEPORTISTAS'!E18</f>
        <v>0</v>
      </c>
      <c r="H30" s="107">
        <f>'ANTROPOMETRÍA DEPORTISTAS'!F18</f>
        <v>0</v>
      </c>
      <c r="I30" s="107">
        <f>'ANTROPOMETRÍA DEPORTISTAS'!G18</f>
        <v>0</v>
      </c>
      <c r="J30" s="107">
        <f>'ANTROPOMETRÍA DEPORTISTAS'!H18</f>
        <v>0</v>
      </c>
      <c r="K30" s="107">
        <f>'ANTROPOMETRÍA DEPORTISTAS'!I18</f>
        <v>0</v>
      </c>
      <c r="L30" s="107">
        <f>'ANTROPOMETRÍA DEPORTISTAS'!J18</f>
        <v>0</v>
      </c>
      <c r="M30" s="107">
        <f>'ANTROPOMETRÍA DEPORTISTAS'!K18</f>
        <v>0</v>
      </c>
      <c r="N30" s="107"/>
      <c r="O30" s="107"/>
      <c r="P30" s="107"/>
      <c r="Q30" s="107"/>
      <c r="R30" s="224"/>
      <c r="S30" s="224"/>
      <c r="T30" s="224"/>
      <c r="U30" s="224"/>
    </row>
    <row r="31" spans="2:21" ht="16.8" x14ac:dyDescent="0.3">
      <c r="B31" s="835" t="s">
        <v>460</v>
      </c>
      <c r="C31" s="836"/>
      <c r="D31" s="107">
        <f>'ANTROPOMETRÍA DEPORTISTAS'!B19</f>
        <v>0</v>
      </c>
      <c r="E31" s="107">
        <f>'ANTROPOMETRÍA DEPORTISTAS'!C19</f>
        <v>0</v>
      </c>
      <c r="F31" s="107">
        <f>'ANTROPOMETRÍA DEPORTISTAS'!D19</f>
        <v>0</v>
      </c>
      <c r="G31" s="107">
        <f>'ANTROPOMETRÍA DEPORTISTAS'!E19</f>
        <v>0</v>
      </c>
      <c r="H31" s="107">
        <f>'ANTROPOMETRÍA DEPORTISTAS'!F19</f>
        <v>0</v>
      </c>
      <c r="I31" s="107">
        <f>'ANTROPOMETRÍA DEPORTISTAS'!G19</f>
        <v>0</v>
      </c>
      <c r="J31" s="107">
        <f>'ANTROPOMETRÍA DEPORTISTAS'!H19</f>
        <v>0</v>
      </c>
      <c r="K31" s="107">
        <f>'ANTROPOMETRÍA DEPORTISTAS'!I19</f>
        <v>0</v>
      </c>
      <c r="L31" s="107">
        <f>'ANTROPOMETRÍA DEPORTISTAS'!J19</f>
        <v>0</v>
      </c>
      <c r="M31" s="107">
        <f>'ANTROPOMETRÍA DEPORTISTAS'!K19</f>
        <v>0</v>
      </c>
      <c r="N31" s="107"/>
      <c r="O31" s="107"/>
      <c r="P31" s="107"/>
      <c r="Q31" s="107"/>
      <c r="R31" s="224"/>
      <c r="S31" s="224"/>
      <c r="T31" s="224"/>
      <c r="U31" s="224"/>
    </row>
    <row r="32" spans="2:21" ht="16.8" x14ac:dyDescent="0.3">
      <c r="B32" s="835" t="s">
        <v>465</v>
      </c>
      <c r="C32" s="836"/>
      <c r="D32" s="107">
        <f>'ANTROPOMETRÍA DEPORTISTAS'!B20</f>
        <v>0</v>
      </c>
      <c r="E32" s="107">
        <f>'ANTROPOMETRÍA DEPORTISTAS'!C20</f>
        <v>0</v>
      </c>
      <c r="F32" s="107">
        <f>'ANTROPOMETRÍA DEPORTISTAS'!D20</f>
        <v>0</v>
      </c>
      <c r="G32" s="107">
        <f>'ANTROPOMETRÍA DEPORTISTAS'!E20</f>
        <v>0</v>
      </c>
      <c r="H32" s="107">
        <f>'ANTROPOMETRÍA DEPORTISTAS'!F20</f>
        <v>0</v>
      </c>
      <c r="I32" s="107">
        <f>'ANTROPOMETRÍA DEPORTISTAS'!G20</f>
        <v>0</v>
      </c>
      <c r="J32" s="107">
        <f>'ANTROPOMETRÍA DEPORTISTAS'!H20</f>
        <v>0</v>
      </c>
      <c r="K32" s="107">
        <f>'ANTROPOMETRÍA DEPORTISTAS'!I20</f>
        <v>0</v>
      </c>
      <c r="L32" s="107">
        <f>'ANTROPOMETRÍA DEPORTISTAS'!J20</f>
        <v>0</v>
      </c>
      <c r="M32" s="107">
        <f>'ANTROPOMETRÍA DEPORTISTAS'!K20</f>
        <v>0</v>
      </c>
      <c r="N32" s="107"/>
      <c r="O32" s="107"/>
      <c r="P32" s="107"/>
      <c r="Q32" s="107"/>
      <c r="R32" s="224"/>
      <c r="S32" s="224"/>
      <c r="T32" s="224"/>
      <c r="U32" s="224"/>
    </row>
    <row r="33" spans="1:21" ht="17.25" customHeight="1" x14ac:dyDescent="0.3">
      <c r="B33" s="837" t="s">
        <v>475</v>
      </c>
      <c r="C33" s="838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224"/>
      <c r="S33" s="224"/>
      <c r="T33" s="224"/>
      <c r="U33" s="224"/>
    </row>
    <row r="34" spans="1:21" ht="16.8" x14ac:dyDescent="0.3">
      <c r="B34" s="835" t="s">
        <v>466</v>
      </c>
      <c r="C34" s="836"/>
      <c r="D34" s="107">
        <f>'ANTROPOMETRÍA DEPORTISTAS'!B22</f>
        <v>0</v>
      </c>
      <c r="E34" s="107">
        <f>'ANTROPOMETRÍA DEPORTISTAS'!C22</f>
        <v>0</v>
      </c>
      <c r="F34" s="107">
        <f>'ANTROPOMETRÍA DEPORTISTAS'!D22</f>
        <v>0</v>
      </c>
      <c r="G34" s="107">
        <f>'ANTROPOMETRÍA DEPORTISTAS'!E22</f>
        <v>0</v>
      </c>
      <c r="H34" s="107">
        <f>'ANTROPOMETRÍA DEPORTISTAS'!F22</f>
        <v>0</v>
      </c>
      <c r="I34" s="107">
        <f>'ANTROPOMETRÍA DEPORTISTAS'!G22</f>
        <v>0</v>
      </c>
      <c r="J34" s="107">
        <f>'ANTROPOMETRÍA DEPORTISTAS'!H22</f>
        <v>0</v>
      </c>
      <c r="K34" s="107">
        <f>'ANTROPOMETRÍA DEPORTISTAS'!I22</f>
        <v>0</v>
      </c>
      <c r="L34" s="107">
        <f>'ANTROPOMETRÍA DEPORTISTAS'!J22</f>
        <v>0</v>
      </c>
      <c r="M34" s="107">
        <f>'ANTROPOMETRÍA DEPORTISTAS'!K22</f>
        <v>0</v>
      </c>
      <c r="N34" s="107"/>
      <c r="O34" s="107"/>
      <c r="P34" s="107"/>
      <c r="Q34" s="107"/>
      <c r="R34" s="224"/>
      <c r="S34" s="224"/>
      <c r="T34" s="224"/>
      <c r="U34" s="224"/>
    </row>
    <row r="35" spans="1:21" ht="16.8" x14ac:dyDescent="0.3">
      <c r="B35" s="835" t="s">
        <v>467</v>
      </c>
      <c r="C35" s="836"/>
      <c r="D35" s="107">
        <f>'ANTROPOMETRÍA DEPORTISTAS'!B23</f>
        <v>0</v>
      </c>
      <c r="E35" s="107">
        <f>'ANTROPOMETRÍA DEPORTISTAS'!C23</f>
        <v>0</v>
      </c>
      <c r="F35" s="107">
        <f>'ANTROPOMETRÍA DEPORTISTAS'!D23</f>
        <v>0</v>
      </c>
      <c r="G35" s="107">
        <f>'ANTROPOMETRÍA DEPORTISTAS'!E23</f>
        <v>0</v>
      </c>
      <c r="H35" s="107">
        <f>'ANTROPOMETRÍA DEPORTISTAS'!F23</f>
        <v>0</v>
      </c>
      <c r="I35" s="107">
        <f>'ANTROPOMETRÍA DEPORTISTAS'!G23</f>
        <v>0</v>
      </c>
      <c r="J35" s="107">
        <f>'ANTROPOMETRÍA DEPORTISTAS'!H23</f>
        <v>0</v>
      </c>
      <c r="K35" s="107">
        <f>'ANTROPOMETRÍA DEPORTISTAS'!I23</f>
        <v>0</v>
      </c>
      <c r="L35" s="107">
        <f>'ANTROPOMETRÍA DEPORTISTAS'!J23</f>
        <v>0</v>
      </c>
      <c r="M35" s="107">
        <f>'ANTROPOMETRÍA DEPORTISTAS'!K23</f>
        <v>0</v>
      </c>
      <c r="N35" s="107"/>
      <c r="O35" s="107"/>
      <c r="P35" s="107"/>
      <c r="Q35" s="107"/>
      <c r="R35" s="224"/>
      <c r="S35" s="224"/>
      <c r="T35" s="224"/>
      <c r="U35" s="224"/>
    </row>
    <row r="36" spans="1:21" ht="16.8" x14ac:dyDescent="0.3">
      <c r="B36" s="835" t="s">
        <v>468</v>
      </c>
      <c r="C36" s="836"/>
      <c r="D36" s="107">
        <f>'ANTROPOMETRÍA DEPORTISTAS'!B24</f>
        <v>0</v>
      </c>
      <c r="E36" s="107">
        <f>'ANTROPOMETRÍA DEPORTISTAS'!C24</f>
        <v>0</v>
      </c>
      <c r="F36" s="107">
        <f>'ANTROPOMETRÍA DEPORTISTAS'!D24</f>
        <v>0</v>
      </c>
      <c r="G36" s="107">
        <f>'ANTROPOMETRÍA DEPORTISTAS'!E24</f>
        <v>0</v>
      </c>
      <c r="H36" s="107">
        <f>'ANTROPOMETRÍA DEPORTISTAS'!F24</f>
        <v>0</v>
      </c>
      <c r="I36" s="107">
        <f>'ANTROPOMETRÍA DEPORTISTAS'!G24</f>
        <v>0</v>
      </c>
      <c r="J36" s="107">
        <f>'ANTROPOMETRÍA DEPORTISTAS'!H24</f>
        <v>0</v>
      </c>
      <c r="K36" s="107">
        <f>'ANTROPOMETRÍA DEPORTISTAS'!I24</f>
        <v>0</v>
      </c>
      <c r="L36" s="107">
        <f>'ANTROPOMETRÍA DEPORTISTAS'!J24</f>
        <v>0</v>
      </c>
      <c r="M36" s="107">
        <f>'ANTROPOMETRÍA DEPORTISTAS'!K24</f>
        <v>0</v>
      </c>
      <c r="N36" s="107"/>
      <c r="O36" s="107"/>
      <c r="P36" s="107"/>
      <c r="Q36" s="107"/>
      <c r="R36" s="224"/>
      <c r="S36" s="224"/>
      <c r="T36" s="224"/>
      <c r="U36" s="224"/>
    </row>
    <row r="37" spans="1:21" ht="16.8" x14ac:dyDescent="0.3">
      <c r="B37" s="835" t="s">
        <v>473</v>
      </c>
      <c r="C37" s="836"/>
      <c r="D37" s="107">
        <f>'ANTROPOMETRÍA DEPORTISTAS'!B25</f>
        <v>0</v>
      </c>
      <c r="E37" s="107">
        <f>'ANTROPOMETRÍA DEPORTISTAS'!C25</f>
        <v>0</v>
      </c>
      <c r="F37" s="107">
        <f>'ANTROPOMETRÍA DEPORTISTAS'!D25</f>
        <v>0</v>
      </c>
      <c r="G37" s="107">
        <f>'ANTROPOMETRÍA DEPORTISTAS'!E25</f>
        <v>0</v>
      </c>
      <c r="H37" s="107">
        <f>'ANTROPOMETRÍA DEPORTISTAS'!F25</f>
        <v>0</v>
      </c>
      <c r="I37" s="107">
        <f>'ANTROPOMETRÍA DEPORTISTAS'!G25</f>
        <v>0</v>
      </c>
      <c r="J37" s="107">
        <f>'ANTROPOMETRÍA DEPORTISTAS'!H25</f>
        <v>0</v>
      </c>
      <c r="K37" s="107">
        <f>'ANTROPOMETRÍA DEPORTISTAS'!I25</f>
        <v>0</v>
      </c>
      <c r="L37" s="107">
        <f>'ANTROPOMETRÍA DEPORTISTAS'!J25</f>
        <v>0</v>
      </c>
      <c r="M37" s="107">
        <f>'ANTROPOMETRÍA DEPORTISTAS'!K25</f>
        <v>0</v>
      </c>
      <c r="N37" s="107"/>
      <c r="O37" s="107"/>
      <c r="P37" s="107"/>
      <c r="Q37" s="107"/>
      <c r="R37" s="224"/>
      <c r="S37" s="224"/>
      <c r="T37" s="224"/>
      <c r="U37" s="224"/>
    </row>
    <row r="38" spans="1:21" ht="16.8" x14ac:dyDescent="0.3">
      <c r="B38" s="835" t="s">
        <v>472</v>
      </c>
      <c r="C38" s="836"/>
      <c r="D38" s="107">
        <f>'ANTROPOMETRÍA DEPORTISTAS'!B26</f>
        <v>0</v>
      </c>
      <c r="E38" s="107">
        <f>'ANTROPOMETRÍA DEPORTISTAS'!C26</f>
        <v>0</v>
      </c>
      <c r="F38" s="107">
        <f>'ANTROPOMETRÍA DEPORTISTAS'!D26</f>
        <v>0</v>
      </c>
      <c r="G38" s="107">
        <f>'ANTROPOMETRÍA DEPORTISTAS'!E26</f>
        <v>0</v>
      </c>
      <c r="H38" s="107">
        <f>'ANTROPOMETRÍA DEPORTISTAS'!F26</f>
        <v>0</v>
      </c>
      <c r="I38" s="107">
        <f>'ANTROPOMETRÍA DEPORTISTAS'!G26</f>
        <v>0</v>
      </c>
      <c r="J38" s="107">
        <f>'ANTROPOMETRÍA DEPORTISTAS'!H26</f>
        <v>0</v>
      </c>
      <c r="K38" s="107">
        <f>'ANTROPOMETRÍA DEPORTISTAS'!I26</f>
        <v>0</v>
      </c>
      <c r="L38" s="107">
        <f>'ANTROPOMETRÍA DEPORTISTAS'!J26</f>
        <v>0</v>
      </c>
      <c r="M38" s="107">
        <f>'ANTROPOMETRÍA DEPORTISTAS'!K26</f>
        <v>0</v>
      </c>
      <c r="N38" s="107"/>
      <c r="O38" s="107"/>
      <c r="P38" s="107"/>
      <c r="Q38" s="107"/>
      <c r="R38" s="224"/>
      <c r="S38" s="224"/>
      <c r="T38" s="224"/>
      <c r="U38" s="224"/>
    </row>
    <row r="39" spans="1:21" ht="16.8" x14ac:dyDescent="0.3">
      <c r="B39" s="835" t="s">
        <v>469</v>
      </c>
      <c r="C39" s="836"/>
      <c r="D39" s="107">
        <f>'ANTROPOMETRÍA DEPORTISTAS'!B27</f>
        <v>0</v>
      </c>
      <c r="E39" s="107">
        <f>'ANTROPOMETRÍA DEPORTISTAS'!C27</f>
        <v>0</v>
      </c>
      <c r="F39" s="107">
        <f>'ANTROPOMETRÍA DEPORTISTAS'!D27</f>
        <v>0</v>
      </c>
      <c r="G39" s="107">
        <f>'ANTROPOMETRÍA DEPORTISTAS'!E27</f>
        <v>0</v>
      </c>
      <c r="H39" s="107">
        <f>'ANTROPOMETRÍA DEPORTISTAS'!F27</f>
        <v>0</v>
      </c>
      <c r="I39" s="107">
        <f>'ANTROPOMETRÍA DEPORTISTAS'!G27</f>
        <v>0</v>
      </c>
      <c r="J39" s="107">
        <f>'ANTROPOMETRÍA DEPORTISTAS'!H27</f>
        <v>0</v>
      </c>
      <c r="K39" s="107">
        <f>'ANTROPOMETRÍA DEPORTISTAS'!I27</f>
        <v>0</v>
      </c>
      <c r="L39" s="107">
        <f>'ANTROPOMETRÍA DEPORTISTAS'!J27</f>
        <v>0</v>
      </c>
      <c r="M39" s="107">
        <f>'ANTROPOMETRÍA DEPORTISTAS'!K27</f>
        <v>0</v>
      </c>
      <c r="N39" s="107"/>
      <c r="O39" s="107"/>
      <c r="P39" s="107"/>
      <c r="Q39" s="107"/>
      <c r="R39" s="224"/>
      <c r="S39" s="224"/>
      <c r="T39" s="224"/>
      <c r="U39" s="224"/>
    </row>
    <row r="40" spans="1:21" ht="16.8" x14ac:dyDescent="0.3">
      <c r="B40" s="835" t="s">
        <v>470</v>
      </c>
      <c r="C40" s="836"/>
      <c r="D40" s="107">
        <f>'ANTROPOMETRÍA DEPORTISTAS'!B28</f>
        <v>0</v>
      </c>
      <c r="E40" s="107">
        <f>'ANTROPOMETRÍA DEPORTISTAS'!C28</f>
        <v>0</v>
      </c>
      <c r="F40" s="107">
        <f>'ANTROPOMETRÍA DEPORTISTAS'!D28</f>
        <v>0</v>
      </c>
      <c r="G40" s="107">
        <f>'ANTROPOMETRÍA DEPORTISTAS'!E28</f>
        <v>0</v>
      </c>
      <c r="H40" s="107">
        <f>'ANTROPOMETRÍA DEPORTISTAS'!F28</f>
        <v>0</v>
      </c>
      <c r="I40" s="107">
        <f>'ANTROPOMETRÍA DEPORTISTAS'!G28</f>
        <v>0</v>
      </c>
      <c r="J40" s="107">
        <f>'ANTROPOMETRÍA DEPORTISTAS'!H28</f>
        <v>0</v>
      </c>
      <c r="K40" s="107">
        <f>'ANTROPOMETRÍA DEPORTISTAS'!I28</f>
        <v>0</v>
      </c>
      <c r="L40" s="107">
        <f>'ANTROPOMETRÍA DEPORTISTAS'!J28</f>
        <v>0</v>
      </c>
      <c r="M40" s="107">
        <f>'ANTROPOMETRÍA DEPORTISTAS'!K28</f>
        <v>0</v>
      </c>
      <c r="N40" s="107"/>
      <c r="O40" s="107"/>
      <c r="P40" s="107"/>
      <c r="Q40" s="107"/>
      <c r="R40" s="224"/>
      <c r="S40" s="224"/>
      <c r="T40" s="224"/>
      <c r="U40" s="224"/>
    </row>
    <row r="41" spans="1:21" ht="16.8" x14ac:dyDescent="0.3">
      <c r="B41" s="835" t="s">
        <v>471</v>
      </c>
      <c r="C41" s="836"/>
      <c r="D41" s="107">
        <f>'ANTROPOMETRÍA DEPORTISTAS'!B29</f>
        <v>0</v>
      </c>
      <c r="E41" s="107">
        <f>'ANTROPOMETRÍA DEPORTISTAS'!C29</f>
        <v>0</v>
      </c>
      <c r="F41" s="107">
        <f>'ANTROPOMETRÍA DEPORTISTAS'!D29</f>
        <v>0</v>
      </c>
      <c r="G41" s="107">
        <f>'ANTROPOMETRÍA DEPORTISTAS'!E29</f>
        <v>0</v>
      </c>
      <c r="H41" s="107">
        <f>'ANTROPOMETRÍA DEPORTISTAS'!F29</f>
        <v>0</v>
      </c>
      <c r="I41" s="107">
        <f>'ANTROPOMETRÍA DEPORTISTAS'!G29</f>
        <v>0</v>
      </c>
      <c r="J41" s="107">
        <f>'ANTROPOMETRÍA DEPORTISTAS'!H29</f>
        <v>0</v>
      </c>
      <c r="K41" s="107">
        <f>'ANTROPOMETRÍA DEPORTISTAS'!I29</f>
        <v>0</v>
      </c>
      <c r="L41" s="107">
        <f>'ANTROPOMETRÍA DEPORTISTAS'!J29</f>
        <v>0</v>
      </c>
      <c r="M41" s="107">
        <f>'ANTROPOMETRÍA DEPORTISTAS'!K29</f>
        <v>0</v>
      </c>
      <c r="N41" s="107"/>
      <c r="O41" s="107"/>
      <c r="P41" s="107"/>
      <c r="Q41" s="107"/>
      <c r="R41" s="224"/>
      <c r="S41" s="224"/>
      <c r="T41" s="224"/>
      <c r="U41" s="224"/>
    </row>
    <row r="42" spans="1:21" ht="17.25" customHeight="1" x14ac:dyDescent="0.3">
      <c r="B42" s="837" t="s">
        <v>480</v>
      </c>
      <c r="C42" s="838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224"/>
      <c r="S42" s="224"/>
      <c r="T42" s="224"/>
      <c r="U42" s="224"/>
    </row>
    <row r="43" spans="1:21" ht="16.8" x14ac:dyDescent="0.3">
      <c r="B43" s="835" t="s">
        <v>485</v>
      </c>
      <c r="C43" s="836"/>
      <c r="D43" s="107">
        <f>'ANTROPOMETRÍA DEPORTISTAS'!B35</f>
        <v>0</v>
      </c>
      <c r="E43" s="107">
        <f>'ANTROPOMETRÍA DEPORTISTAS'!C35</f>
        <v>0</v>
      </c>
      <c r="F43" s="107">
        <f>'ANTROPOMETRÍA DEPORTISTAS'!D35</f>
        <v>0</v>
      </c>
      <c r="G43" s="107">
        <f>'ANTROPOMETRÍA DEPORTISTAS'!E35</f>
        <v>0</v>
      </c>
      <c r="H43" s="107">
        <f>'ANTROPOMETRÍA DEPORTISTAS'!F35</f>
        <v>0</v>
      </c>
      <c r="I43" s="107">
        <f>'ANTROPOMETRÍA DEPORTISTAS'!G35</f>
        <v>0</v>
      </c>
      <c r="J43" s="107">
        <f>'ANTROPOMETRÍA DEPORTISTAS'!H35</f>
        <v>0</v>
      </c>
      <c r="K43" s="107">
        <f>'ANTROPOMETRÍA DEPORTISTAS'!I35</f>
        <v>0</v>
      </c>
      <c r="L43" s="107">
        <f>'ANTROPOMETRÍA DEPORTISTAS'!J35</f>
        <v>0</v>
      </c>
      <c r="M43" s="107">
        <f>'ANTROPOMETRÍA DEPORTISTAS'!K35</f>
        <v>0</v>
      </c>
      <c r="N43" s="107"/>
      <c r="O43" s="107"/>
      <c r="P43" s="107"/>
      <c r="Q43" s="107"/>
      <c r="R43" s="224"/>
      <c r="S43" s="224"/>
      <c r="T43" s="224"/>
      <c r="U43" s="224"/>
    </row>
    <row r="44" spans="1:21" ht="16.8" x14ac:dyDescent="0.3">
      <c r="B44" s="835" t="s">
        <v>486</v>
      </c>
      <c r="C44" s="836"/>
      <c r="D44" s="107">
        <f>'ANTROPOMETRÍA DEPORTISTAS'!B36</f>
        <v>0</v>
      </c>
      <c r="E44" s="107">
        <f>'ANTROPOMETRÍA DEPORTISTAS'!C36</f>
        <v>0</v>
      </c>
      <c r="F44" s="107">
        <f>'ANTROPOMETRÍA DEPORTISTAS'!D36</f>
        <v>0</v>
      </c>
      <c r="G44" s="107">
        <f>'ANTROPOMETRÍA DEPORTISTAS'!E36</f>
        <v>0</v>
      </c>
      <c r="H44" s="107">
        <f>'ANTROPOMETRÍA DEPORTISTAS'!F36</f>
        <v>0</v>
      </c>
      <c r="I44" s="107">
        <f>'ANTROPOMETRÍA DEPORTISTAS'!G36</f>
        <v>0</v>
      </c>
      <c r="J44" s="107">
        <f>'ANTROPOMETRÍA DEPORTISTAS'!H36</f>
        <v>0</v>
      </c>
      <c r="K44" s="107">
        <f>'ANTROPOMETRÍA DEPORTISTAS'!I36</f>
        <v>0</v>
      </c>
      <c r="L44" s="107">
        <f>'ANTROPOMETRÍA DEPORTISTAS'!J36</f>
        <v>0</v>
      </c>
      <c r="M44" s="107">
        <f>'ANTROPOMETRÍA DEPORTISTAS'!K36</f>
        <v>0</v>
      </c>
    </row>
    <row r="45" spans="1:21" x14ac:dyDescent="0.3">
      <c r="B45" s="839" t="s">
        <v>734</v>
      </c>
      <c r="C45" s="839"/>
      <c r="D45" s="839"/>
      <c r="E45" s="839"/>
      <c r="F45" s="839"/>
      <c r="G45" s="839"/>
      <c r="H45" s="839"/>
      <c r="I45" s="839"/>
      <c r="J45" s="839"/>
      <c r="K45" s="839"/>
      <c r="L45" s="839"/>
      <c r="M45" s="839"/>
    </row>
    <row r="46" spans="1:21" x14ac:dyDescent="0.3">
      <c r="B46" s="839"/>
      <c r="C46" s="839"/>
      <c r="D46" s="839"/>
      <c r="E46" s="839"/>
      <c r="F46" s="839"/>
      <c r="G46" s="839"/>
      <c r="H46" s="839"/>
      <c r="I46" s="839"/>
      <c r="J46" s="839"/>
      <c r="K46" s="839"/>
      <c r="L46" s="839"/>
      <c r="M46" s="839"/>
    </row>
    <row r="47" spans="1:21" ht="15.75" customHeight="1" thickBot="1" x14ac:dyDescent="0.35">
      <c r="B47" s="831" t="s">
        <v>332</v>
      </c>
      <c r="C47" s="832"/>
      <c r="D47" s="369">
        <f>'ANTROPOMETRÍA DEPORTISTAS'!B6</f>
        <v>0</v>
      </c>
      <c r="E47" s="369">
        <f>'ANTROPOMETRÍA DEPORTISTAS'!C6</f>
        <v>0</v>
      </c>
      <c r="F47" s="369">
        <f>'ANTROPOMETRÍA DEPORTISTAS'!D6</f>
        <v>0</v>
      </c>
      <c r="G47" s="369">
        <f>'ANTROPOMETRÍA DEPORTISTAS'!E6</f>
        <v>0</v>
      </c>
      <c r="H47" s="369">
        <f>'ANTROPOMETRÍA DEPORTISTAS'!F6</f>
        <v>0</v>
      </c>
      <c r="I47" s="369">
        <f>'ANTROPOMETRÍA DEPORTISTAS'!G6</f>
        <v>0</v>
      </c>
      <c r="J47" s="369">
        <f>'ANTROPOMETRÍA DEPORTISTAS'!H6</f>
        <v>0</v>
      </c>
      <c r="K47" s="369">
        <f>'ANTROPOMETRÍA DEPORTISTAS'!I6</f>
        <v>0</v>
      </c>
      <c r="L47" s="369">
        <f>'ANTROPOMETRÍA DEPORTISTAS'!J6</f>
        <v>0</v>
      </c>
      <c r="M47" s="369">
        <f>'ANTROPOMETRÍA DEPORTISTAS'!K6</f>
        <v>0</v>
      </c>
    </row>
    <row r="48" spans="1:21" ht="16.5" customHeight="1" thickBot="1" x14ac:dyDescent="0.35">
      <c r="A48" s="368"/>
      <c r="B48" s="829" t="s">
        <v>320</v>
      </c>
      <c r="C48" s="830"/>
      <c r="D48" s="370" t="e">
        <f>'ANTROPOMETRÍA DEPORTISTAS'!B44</f>
        <v>#DIV/0!</v>
      </c>
      <c r="E48" s="370" t="e">
        <f>'ANTROPOMETRÍA DEPORTISTAS'!C44</f>
        <v>#DIV/0!</v>
      </c>
      <c r="F48" s="370" t="e">
        <f>'ANTROPOMETRÍA DEPORTISTAS'!D44</f>
        <v>#DIV/0!</v>
      </c>
      <c r="G48" s="370" t="e">
        <f>'ANTROPOMETRÍA DEPORTISTAS'!E44</f>
        <v>#DIV/0!</v>
      </c>
      <c r="H48" s="370" t="e">
        <f>'ANTROPOMETRÍA DEPORTISTAS'!F44</f>
        <v>#DIV/0!</v>
      </c>
      <c r="I48" s="370" t="e">
        <f>'ANTROPOMETRÍA DEPORTISTAS'!G44</f>
        <v>#DIV/0!</v>
      </c>
      <c r="J48" s="370" t="e">
        <f>'ANTROPOMETRÍA DEPORTISTAS'!H44</f>
        <v>#DIV/0!</v>
      </c>
      <c r="K48" s="370" t="e">
        <f>'ANTROPOMETRÍA DEPORTISTAS'!I44</f>
        <v>#DIV/0!</v>
      </c>
      <c r="L48" s="370" t="e">
        <f>'ANTROPOMETRÍA DEPORTISTAS'!J44</f>
        <v>#DIV/0!</v>
      </c>
      <c r="M48" s="370" t="e">
        <f>'ANTROPOMETRÍA DEPORTISTAS'!K44</f>
        <v>#DIV/0!</v>
      </c>
      <c r="N48" t="e">
        <f>'ANTROPOMETRÍA DEPORTISTAS'!L44</f>
        <v>#DIV/0!</v>
      </c>
    </row>
    <row r="49" spans="1:14" ht="17.399999999999999" thickBot="1" x14ac:dyDescent="0.35">
      <c r="A49" s="368"/>
      <c r="B49" s="833" t="s">
        <v>493</v>
      </c>
      <c r="C49" s="834"/>
      <c r="D49" t="e">
        <f>'ANTROPOMETRÍA DEPORTISTAS'!B45</f>
        <v>#DIV/0!</v>
      </c>
      <c r="E49" t="e">
        <f>'ANTROPOMETRÍA DEPORTISTAS'!C45</f>
        <v>#DIV/0!</v>
      </c>
      <c r="F49" t="e">
        <f>'ANTROPOMETRÍA DEPORTISTAS'!D45</f>
        <v>#DIV/0!</v>
      </c>
      <c r="G49" t="e">
        <f>'ANTROPOMETRÍA DEPORTISTAS'!E45</f>
        <v>#DIV/0!</v>
      </c>
      <c r="H49" t="e">
        <f>'ANTROPOMETRÍA DEPORTISTAS'!F45</f>
        <v>#DIV/0!</v>
      </c>
      <c r="I49" t="e">
        <f>'ANTROPOMETRÍA DEPORTISTAS'!G45</f>
        <v>#DIV/0!</v>
      </c>
      <c r="J49" t="e">
        <f>'ANTROPOMETRÍA DEPORTISTAS'!H45</f>
        <v>#DIV/0!</v>
      </c>
      <c r="K49" t="e">
        <f>'ANTROPOMETRÍA DEPORTISTAS'!I45</f>
        <v>#DIV/0!</v>
      </c>
      <c r="L49" t="e">
        <f>'ANTROPOMETRÍA DEPORTISTAS'!J45</f>
        <v>#DIV/0!</v>
      </c>
      <c r="M49" t="e">
        <f>'ANTROPOMETRÍA DEPORTISTAS'!K45</f>
        <v>#DIV/0!</v>
      </c>
      <c r="N49" t="e">
        <f>'ANTROPOMETRÍA DEPORTISTAS'!L45</f>
        <v>#DIV/0!</v>
      </c>
    </row>
  </sheetData>
  <mergeCells count="44">
    <mergeCell ref="B2:C2"/>
    <mergeCell ref="B3:C3"/>
    <mergeCell ref="B4:C4"/>
    <mergeCell ref="B12:C12"/>
    <mergeCell ref="B13:C13"/>
    <mergeCell ref="B5:C5"/>
    <mergeCell ref="B7:C7"/>
    <mergeCell ref="B9:C9"/>
    <mergeCell ref="B10:C10"/>
    <mergeCell ref="B11:C11"/>
    <mergeCell ref="B8:C8"/>
    <mergeCell ref="B6:C6"/>
    <mergeCell ref="B14:C14"/>
    <mergeCell ref="B28:C28"/>
    <mergeCell ref="B29:C29"/>
    <mergeCell ref="B30:C30"/>
    <mergeCell ref="B31:C31"/>
    <mergeCell ref="B17:M18"/>
    <mergeCell ref="B19:C19"/>
    <mergeCell ref="B26:C26"/>
    <mergeCell ref="B27:C27"/>
    <mergeCell ref="B24:C24"/>
    <mergeCell ref="B25:C25"/>
    <mergeCell ref="B20:C20"/>
    <mergeCell ref="B21:C21"/>
    <mergeCell ref="B22:C22"/>
    <mergeCell ref="B23:C23"/>
    <mergeCell ref="B32:C32"/>
    <mergeCell ref="B33:C33"/>
    <mergeCell ref="B34:C34"/>
    <mergeCell ref="B35:C35"/>
    <mergeCell ref="B45:M46"/>
    <mergeCell ref="B48:C48"/>
    <mergeCell ref="B47:C47"/>
    <mergeCell ref="B49:C49"/>
    <mergeCell ref="B36:C36"/>
    <mergeCell ref="B37:C37"/>
    <mergeCell ref="B38:C38"/>
    <mergeCell ref="B39:C39"/>
    <mergeCell ref="B40:C40"/>
    <mergeCell ref="B41:C41"/>
    <mergeCell ref="B42:C42"/>
    <mergeCell ref="B44:C44"/>
    <mergeCell ref="B43:C4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CE-1E06-446F-A243-E544A6067FCB}">
  <dimension ref="A1:N19"/>
  <sheetViews>
    <sheetView workbookViewId="0">
      <selection activeCell="F17" sqref="F17"/>
    </sheetView>
  </sheetViews>
  <sheetFormatPr baseColWidth="10" defaultRowHeight="14.4" x14ac:dyDescent="0.3"/>
  <cols>
    <col min="7" max="7" width="24.88671875" customWidth="1"/>
    <col min="8" max="8" width="27.44140625" customWidth="1"/>
    <col min="9" max="9" width="28.77734375" customWidth="1"/>
    <col min="10" max="10" width="26.88671875" customWidth="1"/>
    <col min="11" max="11" width="31.6640625" customWidth="1"/>
  </cols>
  <sheetData>
    <row r="1" spans="1:14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3">
      <c r="A3" s="11"/>
      <c r="B3" s="11"/>
      <c r="C3" s="11"/>
      <c r="D3" s="11"/>
      <c r="E3" s="857" t="s">
        <v>438</v>
      </c>
      <c r="F3" s="857"/>
      <c r="G3" s="334">
        <v>2</v>
      </c>
      <c r="H3" s="334">
        <v>3</v>
      </c>
      <c r="I3" s="334">
        <v>3</v>
      </c>
      <c r="J3" s="334">
        <v>4</v>
      </c>
      <c r="K3" s="334">
        <v>5</v>
      </c>
      <c r="L3" s="11"/>
      <c r="M3" s="11"/>
      <c r="N3" s="11"/>
    </row>
    <row r="4" spans="1:14" x14ac:dyDescent="0.3">
      <c r="A4" s="11"/>
      <c r="B4" s="11"/>
      <c r="C4" s="11"/>
      <c r="D4" s="11"/>
      <c r="E4" s="858" t="s">
        <v>646</v>
      </c>
      <c r="F4" s="859"/>
      <c r="G4" s="377"/>
      <c r="H4" s="377"/>
      <c r="I4" s="377"/>
      <c r="J4" s="377"/>
      <c r="K4" s="377"/>
      <c r="L4" s="11"/>
      <c r="M4" s="11"/>
      <c r="N4" s="11"/>
    </row>
    <row r="5" spans="1:14" x14ac:dyDescent="0.3">
      <c r="A5" s="11"/>
      <c r="B5" s="11"/>
      <c r="C5" s="11"/>
      <c r="D5" s="11"/>
      <c r="E5" s="860" t="s">
        <v>741</v>
      </c>
      <c r="F5" s="860"/>
      <c r="G5" s="378"/>
      <c r="H5" s="378"/>
      <c r="I5" s="378"/>
      <c r="J5" s="378"/>
      <c r="K5" s="378"/>
      <c r="L5" s="11"/>
      <c r="M5" s="11"/>
      <c r="N5" s="11"/>
    </row>
    <row r="6" spans="1:14" x14ac:dyDescent="0.3">
      <c r="A6" s="11"/>
      <c r="B6" s="11"/>
      <c r="C6" s="11"/>
      <c r="D6" s="11"/>
      <c r="E6" s="861" t="s">
        <v>742</v>
      </c>
      <c r="F6" s="862"/>
      <c r="G6" s="854"/>
      <c r="H6" s="854"/>
      <c r="I6" s="854"/>
      <c r="J6" s="854"/>
      <c r="K6" s="854"/>
      <c r="L6" s="11"/>
      <c r="M6" s="11"/>
      <c r="N6" s="11"/>
    </row>
    <row r="7" spans="1:14" x14ac:dyDescent="0.3">
      <c r="A7" s="11"/>
      <c r="B7" s="11"/>
      <c r="C7" s="11"/>
      <c r="D7" s="11"/>
      <c r="E7" s="863"/>
      <c r="F7" s="864"/>
      <c r="G7" s="855"/>
      <c r="H7" s="855"/>
      <c r="I7" s="855"/>
      <c r="J7" s="855"/>
      <c r="K7" s="855"/>
      <c r="L7" s="11"/>
      <c r="M7" s="11"/>
      <c r="N7" s="11"/>
    </row>
    <row r="8" spans="1:14" x14ac:dyDescent="0.3">
      <c r="A8" s="11"/>
      <c r="B8" s="11"/>
      <c r="C8" s="11"/>
      <c r="D8" s="11"/>
      <c r="E8" s="863"/>
      <c r="F8" s="864"/>
      <c r="G8" s="855"/>
      <c r="H8" s="855"/>
      <c r="I8" s="855"/>
      <c r="J8" s="855"/>
      <c r="K8" s="855"/>
      <c r="L8" s="11"/>
      <c r="M8" s="11"/>
      <c r="N8" s="11"/>
    </row>
    <row r="9" spans="1:14" x14ac:dyDescent="0.3">
      <c r="A9" s="11"/>
      <c r="B9" s="11"/>
      <c r="C9" s="11"/>
      <c r="D9" s="11"/>
      <c r="E9" s="863"/>
      <c r="F9" s="864"/>
      <c r="G9" s="855"/>
      <c r="H9" s="855"/>
      <c r="I9" s="855"/>
      <c r="J9" s="855"/>
      <c r="K9" s="855"/>
      <c r="L9" s="11"/>
      <c r="M9" s="11"/>
      <c r="N9" s="11"/>
    </row>
    <row r="10" spans="1:14" x14ac:dyDescent="0.3">
      <c r="A10" s="11"/>
      <c r="B10" s="11"/>
      <c r="C10" s="11"/>
      <c r="D10" s="11"/>
      <c r="E10" s="863"/>
      <c r="F10" s="864"/>
      <c r="G10" s="855"/>
      <c r="H10" s="855"/>
      <c r="I10" s="855"/>
      <c r="J10" s="855"/>
      <c r="K10" s="855"/>
      <c r="L10" s="11"/>
      <c r="M10" s="11"/>
      <c r="N10" s="11"/>
    </row>
    <row r="11" spans="1:14" x14ac:dyDescent="0.3">
      <c r="A11" s="11"/>
      <c r="B11" s="11"/>
      <c r="C11" s="11"/>
      <c r="D11" s="11"/>
      <c r="E11" s="863"/>
      <c r="F11" s="864"/>
      <c r="G11" s="855"/>
      <c r="H11" s="855"/>
      <c r="I11" s="855"/>
      <c r="J11" s="855"/>
      <c r="K11" s="855"/>
      <c r="L11" s="11"/>
      <c r="M11" s="11"/>
      <c r="N11" s="11"/>
    </row>
    <row r="12" spans="1:14" x14ac:dyDescent="0.3">
      <c r="A12" s="11"/>
      <c r="B12" s="11"/>
      <c r="C12" s="11"/>
      <c r="D12" s="11"/>
      <c r="E12" s="863"/>
      <c r="F12" s="864"/>
      <c r="G12" s="855"/>
      <c r="H12" s="855"/>
      <c r="I12" s="855"/>
      <c r="J12" s="855"/>
      <c r="K12" s="855"/>
      <c r="L12" s="11"/>
      <c r="M12" s="11"/>
      <c r="N12" s="11"/>
    </row>
    <row r="13" spans="1:14" x14ac:dyDescent="0.3">
      <c r="A13" s="11"/>
      <c r="B13" s="11"/>
      <c r="C13" s="11"/>
      <c r="D13" s="11"/>
      <c r="E13" s="863"/>
      <c r="F13" s="864"/>
      <c r="G13" s="855"/>
      <c r="H13" s="855"/>
      <c r="I13" s="855"/>
      <c r="J13" s="855"/>
      <c r="K13" s="855"/>
      <c r="L13" s="11"/>
      <c r="M13" s="11"/>
      <c r="N13" s="11"/>
    </row>
    <row r="14" spans="1:14" x14ac:dyDescent="0.3">
      <c r="A14" s="11"/>
      <c r="B14" s="11"/>
      <c r="C14" s="11"/>
      <c r="D14" s="11"/>
      <c r="E14" s="863"/>
      <c r="F14" s="864"/>
      <c r="G14" s="855"/>
      <c r="H14" s="855"/>
      <c r="I14" s="855"/>
      <c r="J14" s="855"/>
      <c r="K14" s="855"/>
      <c r="L14" s="11"/>
      <c r="M14" s="11"/>
      <c r="N14" s="11"/>
    </row>
    <row r="15" spans="1:14" x14ac:dyDescent="0.3">
      <c r="A15" s="11"/>
      <c r="B15" s="11"/>
      <c r="C15" s="11"/>
      <c r="D15" s="11"/>
      <c r="E15" s="863"/>
      <c r="F15" s="864"/>
      <c r="G15" s="855"/>
      <c r="H15" s="855"/>
      <c r="I15" s="855"/>
      <c r="J15" s="855"/>
      <c r="K15" s="855"/>
      <c r="L15" s="11"/>
      <c r="M15" s="11"/>
      <c r="N15" s="11"/>
    </row>
    <row r="16" spans="1:14" x14ac:dyDescent="0.3">
      <c r="A16" s="11"/>
      <c r="B16" s="11"/>
      <c r="C16" s="11"/>
      <c r="D16" s="11"/>
      <c r="E16" s="865"/>
      <c r="F16" s="866"/>
      <c r="G16" s="856"/>
      <c r="H16" s="856"/>
      <c r="I16" s="856"/>
      <c r="J16" s="856"/>
      <c r="K16" s="856"/>
      <c r="L16" s="11"/>
      <c r="M16" s="11"/>
      <c r="N16" s="11"/>
    </row>
    <row r="17" spans="1:14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</sheetData>
  <mergeCells count="9">
    <mergeCell ref="I6:I16"/>
    <mergeCell ref="J6:J16"/>
    <mergeCell ref="K6:K16"/>
    <mergeCell ref="E3:F3"/>
    <mergeCell ref="E4:F4"/>
    <mergeCell ref="E5:F5"/>
    <mergeCell ref="E6:F16"/>
    <mergeCell ref="G6:G16"/>
    <mergeCell ref="H6:H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Q87"/>
  <sheetViews>
    <sheetView topLeftCell="A54" workbookViewId="0">
      <selection activeCell="B64" sqref="B64"/>
    </sheetView>
  </sheetViews>
  <sheetFormatPr baseColWidth="10" defaultRowHeight="14.4" x14ac:dyDescent="0.3"/>
  <cols>
    <col min="1" max="1" width="31.6640625" customWidth="1"/>
    <col min="2" max="2" width="13.6640625" customWidth="1"/>
    <col min="3" max="3" width="13.6640625" bestFit="1" customWidth="1"/>
    <col min="6" max="6" width="14.109375" bestFit="1" customWidth="1"/>
    <col min="9" max="9" width="13.6640625" bestFit="1" customWidth="1"/>
  </cols>
  <sheetData>
    <row r="1" spans="1:17" x14ac:dyDescent="0.3">
      <c r="A1" s="869"/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70"/>
      <c r="N1" s="11"/>
      <c r="O1" s="11"/>
      <c r="P1" s="11"/>
      <c r="Q1" s="11"/>
    </row>
    <row r="2" spans="1:17" x14ac:dyDescent="0.3">
      <c r="A2" s="869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70"/>
      <c r="N2" s="13"/>
      <c r="O2" s="11"/>
      <c r="P2" s="11"/>
      <c r="Q2" s="11"/>
    </row>
    <row r="3" spans="1:17" x14ac:dyDescent="0.3">
      <c r="A3" s="869"/>
      <c r="B3" s="869"/>
      <c r="C3" s="869"/>
      <c r="D3" s="869"/>
      <c r="E3" s="869"/>
      <c r="F3" s="869"/>
      <c r="G3" s="869"/>
      <c r="H3" s="869"/>
      <c r="I3" s="869"/>
      <c r="J3" s="869"/>
      <c r="K3" s="869"/>
      <c r="L3" s="869"/>
      <c r="M3" s="870"/>
      <c r="N3" s="11"/>
      <c r="O3" s="11"/>
      <c r="P3" s="11"/>
      <c r="Q3" s="11"/>
    </row>
    <row r="4" spans="1:17" x14ac:dyDescent="0.3">
      <c r="A4" s="869"/>
      <c r="B4" s="869"/>
      <c r="C4" s="869"/>
      <c r="D4" s="869"/>
      <c r="E4" s="869"/>
      <c r="F4" s="869"/>
      <c r="G4" s="869"/>
      <c r="H4" s="869"/>
      <c r="I4" s="869"/>
      <c r="J4" s="869"/>
      <c r="K4" s="869"/>
      <c r="L4" s="869"/>
      <c r="M4" s="870"/>
      <c r="N4" s="11"/>
      <c r="O4" s="11"/>
      <c r="P4" s="11"/>
      <c r="Q4" s="11"/>
    </row>
    <row r="5" spans="1:17" x14ac:dyDescent="0.3">
      <c r="A5" s="869"/>
      <c r="B5" s="869"/>
      <c r="C5" s="869"/>
      <c r="D5" s="869"/>
      <c r="E5" s="869"/>
      <c r="F5" s="869"/>
      <c r="G5" s="869"/>
      <c r="H5" s="869"/>
      <c r="I5" s="869"/>
      <c r="J5" s="869"/>
      <c r="K5" s="869"/>
      <c r="L5" s="869"/>
      <c r="M5" s="870"/>
      <c r="N5" s="11"/>
      <c r="O5" s="11"/>
      <c r="P5" s="11"/>
      <c r="Q5" s="11"/>
    </row>
    <row r="6" spans="1:17" x14ac:dyDescent="0.3">
      <c r="A6" s="869"/>
      <c r="B6" s="869"/>
      <c r="C6" s="869"/>
      <c r="D6" s="869"/>
      <c r="E6" s="869"/>
      <c r="F6" s="869"/>
      <c r="G6" s="869"/>
      <c r="H6" s="869"/>
      <c r="I6" s="869"/>
      <c r="J6" s="869"/>
      <c r="K6" s="869"/>
      <c r="L6" s="869"/>
      <c r="M6" s="870"/>
      <c r="N6" s="11"/>
      <c r="O6" s="11"/>
      <c r="P6" s="11"/>
      <c r="Q6" s="11"/>
    </row>
    <row r="7" spans="1:17" x14ac:dyDescent="0.3">
      <c r="A7" s="869"/>
      <c r="B7" s="869"/>
      <c r="C7" s="869"/>
      <c r="D7" s="869"/>
      <c r="E7" s="869"/>
      <c r="F7" s="869"/>
      <c r="G7" s="869"/>
      <c r="H7" s="869"/>
      <c r="I7" s="869"/>
      <c r="J7" s="869"/>
      <c r="K7" s="869"/>
      <c r="L7" s="869"/>
      <c r="M7" s="870"/>
      <c r="N7" s="11"/>
      <c r="O7" s="11"/>
      <c r="P7" s="11"/>
      <c r="Q7" s="11"/>
    </row>
    <row r="8" spans="1:17" x14ac:dyDescent="0.3">
      <c r="A8" s="869"/>
      <c r="B8" s="869"/>
      <c r="C8" s="869"/>
      <c r="D8" s="869"/>
      <c r="E8" s="869"/>
      <c r="F8" s="869"/>
      <c r="G8" s="869"/>
      <c r="H8" s="869"/>
      <c r="I8" s="869"/>
      <c r="J8" s="869"/>
      <c r="K8" s="869"/>
      <c r="L8" s="869"/>
      <c r="M8" s="870"/>
      <c r="N8" s="11"/>
      <c r="O8" s="11"/>
      <c r="P8" s="11"/>
      <c r="Q8" s="11"/>
    </row>
    <row r="9" spans="1:17" x14ac:dyDescent="0.3">
      <c r="A9" s="869"/>
      <c r="B9" s="869"/>
      <c r="C9" s="869"/>
      <c r="D9" s="869"/>
      <c r="E9" s="869"/>
      <c r="F9" s="869"/>
      <c r="G9" s="869"/>
      <c r="H9" s="869"/>
      <c r="I9" s="869"/>
      <c r="J9" s="869"/>
      <c r="K9" s="869"/>
      <c r="L9" s="869"/>
      <c r="M9" s="870"/>
      <c r="N9" s="11"/>
      <c r="O9" s="11"/>
      <c r="P9" s="11"/>
      <c r="Q9" s="11"/>
    </row>
    <row r="10" spans="1:17" x14ac:dyDescent="0.3">
      <c r="A10" s="869"/>
      <c r="B10" s="869"/>
      <c r="C10" s="869"/>
      <c r="D10" s="869"/>
      <c r="E10" s="869"/>
      <c r="F10" s="869"/>
      <c r="G10" s="869"/>
      <c r="H10" s="869"/>
      <c r="I10" s="869"/>
      <c r="J10" s="869"/>
      <c r="K10" s="869"/>
      <c r="L10" s="869"/>
      <c r="M10" s="870"/>
      <c r="N10" s="11"/>
      <c r="O10" s="11"/>
      <c r="P10" s="11"/>
      <c r="Q10" s="11"/>
    </row>
    <row r="11" spans="1:17" x14ac:dyDescent="0.3">
      <c r="A11" s="869"/>
      <c r="B11" s="869"/>
      <c r="C11" s="869"/>
      <c r="D11" s="869"/>
      <c r="E11" s="869"/>
      <c r="F11" s="869"/>
      <c r="G11" s="869"/>
      <c r="H11" s="869"/>
      <c r="I11" s="869"/>
      <c r="J11" s="869"/>
      <c r="K11" s="869"/>
      <c r="L11" s="869"/>
      <c r="M11" s="870"/>
      <c r="N11" s="11"/>
      <c r="O11" s="11"/>
      <c r="P11" s="11"/>
      <c r="Q11" s="11"/>
    </row>
    <row r="12" spans="1:17" x14ac:dyDescent="0.3">
      <c r="A12" s="869"/>
      <c r="B12" s="869"/>
      <c r="C12" s="869"/>
      <c r="D12" s="869"/>
      <c r="E12" s="869"/>
      <c r="F12" s="869"/>
      <c r="G12" s="869"/>
      <c r="H12" s="869"/>
      <c r="I12" s="869"/>
      <c r="J12" s="869"/>
      <c r="K12" s="869"/>
      <c r="L12" s="869"/>
      <c r="M12" s="870"/>
      <c r="N12" s="11"/>
      <c r="O12" s="11"/>
      <c r="P12" s="11"/>
      <c r="Q12" s="11"/>
    </row>
    <row r="13" spans="1:17" ht="15" thickBot="1" x14ac:dyDescent="0.35">
      <c r="A13" s="871"/>
      <c r="B13" s="871"/>
      <c r="C13" s="871"/>
      <c r="D13" s="871"/>
      <c r="E13" s="871"/>
      <c r="F13" s="871"/>
      <c r="G13" s="871"/>
      <c r="H13" s="871"/>
      <c r="I13" s="871"/>
      <c r="J13" s="871"/>
      <c r="K13" s="871"/>
      <c r="L13" s="871"/>
      <c r="M13" s="872"/>
      <c r="N13" s="11"/>
      <c r="O13" s="11"/>
      <c r="P13" s="11"/>
      <c r="Q13" s="11"/>
    </row>
    <row r="14" spans="1:17" ht="16.8" thickTop="1" thickBot="1" x14ac:dyDescent="0.35">
      <c r="A14" s="873" t="s">
        <v>0</v>
      </c>
      <c r="B14" s="873"/>
      <c r="C14" s="873"/>
      <c r="D14" s="873"/>
      <c r="E14" s="873"/>
      <c r="F14" s="873"/>
      <c r="G14" s="873"/>
      <c r="H14" s="873"/>
      <c r="I14" s="873"/>
      <c r="J14" s="873"/>
      <c r="K14" s="873"/>
      <c r="L14" s="873"/>
      <c r="M14" s="873"/>
      <c r="N14" s="11"/>
      <c r="O14" s="11"/>
      <c r="P14" s="11"/>
      <c r="Q14" s="11"/>
    </row>
    <row r="15" spans="1:17" ht="15.6" thickTop="1" thickBot="1" x14ac:dyDescent="0.35">
      <c r="A15" s="15"/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7" ht="15.6" thickTop="1" thickBot="1" x14ac:dyDescent="0.35">
      <c r="A16" s="14"/>
      <c r="B16" s="874" t="s">
        <v>48</v>
      </c>
      <c r="C16" s="874"/>
      <c r="D16" s="874"/>
      <c r="E16" s="874"/>
      <c r="F16" s="874"/>
      <c r="G16" s="874"/>
      <c r="H16" s="874"/>
      <c r="I16" s="874"/>
      <c r="J16" s="874"/>
      <c r="K16" s="874"/>
      <c r="L16" s="874"/>
      <c r="M16" s="874"/>
      <c r="N16" s="11"/>
      <c r="O16" s="11"/>
      <c r="P16" s="11"/>
      <c r="Q16" s="11"/>
    </row>
    <row r="17" spans="1:17" ht="15.6" thickTop="1" thickBot="1" x14ac:dyDescent="0.35">
      <c r="A17" s="16" t="s">
        <v>2</v>
      </c>
      <c r="B17" s="17"/>
      <c r="C17" s="17"/>
      <c r="D17" s="18"/>
      <c r="E17" s="6"/>
      <c r="F17" s="6"/>
      <c r="G17" s="6"/>
      <c r="H17" s="6"/>
      <c r="I17" s="6"/>
      <c r="J17" s="6"/>
      <c r="K17" s="6"/>
      <c r="L17" s="6"/>
      <c r="M17" s="6"/>
      <c r="N17" s="11"/>
      <c r="O17" s="11"/>
      <c r="P17" s="11"/>
      <c r="Q17" s="11"/>
    </row>
    <row r="18" spans="1:17" ht="15.6" thickTop="1" thickBot="1" x14ac:dyDescent="0.35">
      <c r="A18" s="19" t="s">
        <v>1</v>
      </c>
      <c r="B18" s="20"/>
      <c r="C18" s="20"/>
      <c r="D18" s="20"/>
      <c r="E18" s="20"/>
      <c r="F18" s="20"/>
      <c r="G18" s="6"/>
      <c r="H18" s="20"/>
      <c r="I18" s="6"/>
      <c r="J18" s="6"/>
      <c r="K18" s="6"/>
      <c r="L18" s="20"/>
      <c r="M18" s="20"/>
      <c r="N18" s="11"/>
      <c r="O18" s="11"/>
      <c r="P18" s="11"/>
      <c r="Q18" s="11"/>
    </row>
    <row r="19" spans="1:17" ht="15.6" thickTop="1" thickBot="1" x14ac:dyDescent="0.35">
      <c r="A19" s="19" t="s">
        <v>5</v>
      </c>
      <c r="B19" s="20"/>
      <c r="C19" s="20"/>
      <c r="D19" s="20"/>
      <c r="E19" s="6"/>
      <c r="F19" s="6"/>
      <c r="G19" s="6"/>
      <c r="H19" s="6"/>
      <c r="I19" s="6"/>
      <c r="J19" s="6"/>
      <c r="K19" s="6"/>
      <c r="L19" s="20"/>
      <c r="M19" s="20"/>
      <c r="N19" s="11"/>
      <c r="O19" s="11"/>
      <c r="P19" s="11"/>
      <c r="Q19" s="11"/>
    </row>
    <row r="20" spans="1:17" ht="15.6" thickTop="1" thickBot="1" x14ac:dyDescent="0.35">
      <c r="A20" s="21" t="s">
        <v>3</v>
      </c>
      <c r="B20" s="875"/>
      <c r="C20" s="875"/>
      <c r="D20" s="875"/>
      <c r="E20" s="875"/>
      <c r="F20" s="875"/>
      <c r="G20" s="875"/>
      <c r="H20" s="875"/>
      <c r="I20" s="875"/>
      <c r="J20" s="875"/>
      <c r="K20" s="875"/>
      <c r="L20" s="875"/>
      <c r="M20" s="876"/>
      <c r="N20" s="11"/>
      <c r="O20" s="11"/>
      <c r="P20" s="11"/>
      <c r="Q20" s="11"/>
    </row>
    <row r="21" spans="1:17" ht="15.6" thickTop="1" thickBot="1" x14ac:dyDescent="0.35">
      <c r="A21" s="22" t="s">
        <v>4</v>
      </c>
      <c r="B21" s="20"/>
      <c r="C21" s="20"/>
      <c r="D21" s="6"/>
      <c r="E21" s="6"/>
      <c r="F21" s="6"/>
      <c r="G21" s="6"/>
      <c r="H21" s="6"/>
      <c r="I21" s="6"/>
      <c r="J21" s="6"/>
      <c r="K21" s="6"/>
      <c r="L21" s="6"/>
      <c r="M21" s="6"/>
      <c r="N21" s="11"/>
      <c r="O21" s="11"/>
      <c r="P21" s="11"/>
      <c r="Q21" s="11"/>
    </row>
    <row r="22" spans="1:17" ht="15.6" thickTop="1" thickBot="1" x14ac:dyDescent="0.35">
      <c r="A22" s="22" t="s">
        <v>6</v>
      </c>
      <c r="B22" s="20"/>
      <c r="C22" s="20"/>
      <c r="D22" s="6"/>
      <c r="E22" s="6"/>
      <c r="F22" s="6"/>
      <c r="G22" s="6"/>
      <c r="H22" s="6"/>
      <c r="I22" s="6"/>
      <c r="J22" s="6"/>
      <c r="K22" s="6"/>
      <c r="L22" s="6"/>
      <c r="M22" s="6"/>
      <c r="N22" s="11"/>
      <c r="O22" s="11"/>
      <c r="P22" s="11"/>
      <c r="Q22" s="11"/>
    </row>
    <row r="23" spans="1:17" ht="15.6" thickTop="1" thickBot="1" x14ac:dyDescent="0.35">
      <c r="A23" s="22" t="s">
        <v>7</v>
      </c>
      <c r="B23" s="20"/>
      <c r="C23" s="20"/>
      <c r="D23" s="6"/>
      <c r="E23" s="6"/>
      <c r="F23" s="6"/>
      <c r="G23" s="6"/>
      <c r="H23" s="6"/>
      <c r="I23" s="6"/>
      <c r="J23" s="6"/>
      <c r="K23" s="6"/>
      <c r="L23" s="6"/>
      <c r="M23" s="6"/>
      <c r="N23" s="11"/>
      <c r="O23" s="11"/>
      <c r="P23" s="11"/>
      <c r="Q23" s="11"/>
    </row>
    <row r="24" spans="1:17" ht="15.6" thickTop="1" thickBot="1" x14ac:dyDescent="0.35">
      <c r="A24" s="22" t="s">
        <v>8</v>
      </c>
      <c r="B24" s="20"/>
      <c r="C24" s="20"/>
      <c r="D24" s="6"/>
      <c r="E24" s="6"/>
      <c r="F24" s="6"/>
      <c r="G24" s="6"/>
      <c r="H24" s="6"/>
      <c r="I24" s="6"/>
      <c r="J24" s="6"/>
      <c r="K24" s="6"/>
      <c r="L24" s="6"/>
      <c r="M24" s="6"/>
      <c r="N24" s="11"/>
      <c r="O24" s="11"/>
      <c r="P24" s="11"/>
      <c r="Q24" s="11"/>
    </row>
    <row r="25" spans="1:17" ht="15.6" thickTop="1" thickBot="1" x14ac:dyDescent="0.35">
      <c r="A25" s="22" t="s">
        <v>9</v>
      </c>
      <c r="B25" s="20"/>
      <c r="C25" s="20"/>
      <c r="D25" s="6"/>
      <c r="E25" s="6"/>
      <c r="F25" s="6"/>
      <c r="G25" s="6"/>
      <c r="H25" s="6"/>
      <c r="I25" s="6"/>
      <c r="J25" s="6"/>
      <c r="K25" s="6"/>
      <c r="L25" s="6"/>
      <c r="M25" s="6"/>
      <c r="N25" s="11"/>
      <c r="O25" s="11"/>
      <c r="P25" s="11"/>
      <c r="Q25" s="11"/>
    </row>
    <row r="26" spans="1:17" ht="15.6" thickTop="1" thickBot="1" x14ac:dyDescent="0.35">
      <c r="A26" s="22" t="s">
        <v>10</v>
      </c>
      <c r="B26" s="20"/>
      <c r="C26" s="20"/>
      <c r="D26" s="6"/>
      <c r="E26" s="6"/>
      <c r="F26" s="6"/>
      <c r="G26" s="6"/>
      <c r="H26" s="6"/>
      <c r="I26" s="6"/>
      <c r="J26" s="6"/>
      <c r="K26" s="6"/>
      <c r="L26" s="6"/>
      <c r="M26" s="6"/>
      <c r="N26" s="11"/>
      <c r="O26" s="11"/>
      <c r="P26" s="11"/>
      <c r="Q26" s="11"/>
    </row>
    <row r="27" spans="1:17" ht="15.6" thickTop="1" thickBot="1" x14ac:dyDescent="0.35">
      <c r="A27" s="22" t="s">
        <v>11</v>
      </c>
      <c r="B27" s="20"/>
      <c r="C27" s="20"/>
      <c r="D27" s="6"/>
      <c r="E27" s="6"/>
      <c r="F27" s="6"/>
      <c r="G27" s="6"/>
      <c r="H27" s="6"/>
      <c r="I27" s="6"/>
      <c r="J27" s="6"/>
      <c r="K27" s="6"/>
      <c r="L27" s="6"/>
      <c r="M27" s="6"/>
      <c r="N27" s="11"/>
      <c r="O27" s="11"/>
      <c r="P27" s="11"/>
      <c r="Q27" s="11"/>
    </row>
    <row r="28" spans="1:17" ht="15.6" thickTop="1" thickBot="1" x14ac:dyDescent="0.35">
      <c r="A28" s="22" t="s">
        <v>12</v>
      </c>
      <c r="B28" s="23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1"/>
      <c r="O28" s="11"/>
      <c r="P28" s="11"/>
      <c r="Q28" s="11"/>
    </row>
    <row r="29" spans="1:17" ht="15.6" thickTop="1" thickBot="1" x14ac:dyDescent="0.35">
      <c r="A29" s="25" t="s">
        <v>13</v>
      </c>
      <c r="B29" s="877"/>
      <c r="C29" s="877"/>
      <c r="D29" s="877"/>
      <c r="E29" s="877"/>
      <c r="F29" s="877"/>
      <c r="G29" s="877"/>
      <c r="H29" s="877"/>
      <c r="I29" s="877"/>
      <c r="J29" s="877"/>
      <c r="K29" s="877"/>
      <c r="L29" s="877"/>
      <c r="M29" s="878"/>
      <c r="N29" s="11"/>
      <c r="O29" s="11"/>
      <c r="P29" s="11"/>
      <c r="Q29" s="11"/>
    </row>
    <row r="30" spans="1:17" ht="15.6" thickTop="1" thickBot="1" x14ac:dyDescent="0.35">
      <c r="A30" s="26" t="s">
        <v>14</v>
      </c>
      <c r="B30" s="6"/>
      <c r="C30" s="6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1"/>
      <c r="O30" s="11"/>
      <c r="P30" s="11"/>
      <c r="Q30" s="11"/>
    </row>
    <row r="31" spans="1:17" ht="15.6" thickTop="1" thickBot="1" x14ac:dyDescent="0.35">
      <c r="A31" s="26" t="s">
        <v>15</v>
      </c>
      <c r="B31" s="6"/>
      <c r="C31" s="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11"/>
      <c r="O31" s="11"/>
      <c r="P31" s="11"/>
      <c r="Q31" s="11"/>
    </row>
    <row r="32" spans="1:17" ht="15.6" thickTop="1" thickBot="1" x14ac:dyDescent="0.35">
      <c r="A32" s="26" t="s">
        <v>16</v>
      </c>
      <c r="B32" s="6"/>
      <c r="C32" s="6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1"/>
      <c r="O32" s="11"/>
      <c r="P32" s="11"/>
      <c r="Q32" s="11"/>
    </row>
    <row r="33" spans="1:17" ht="15.6" thickTop="1" thickBot="1" x14ac:dyDescent="0.35">
      <c r="A33" s="26" t="s">
        <v>17</v>
      </c>
      <c r="B33" s="6"/>
      <c r="C33" s="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11"/>
      <c r="O33" s="11"/>
      <c r="P33" s="11"/>
      <c r="Q33" s="11"/>
    </row>
    <row r="34" spans="1:17" ht="15.6" thickTop="1" thickBot="1" x14ac:dyDescent="0.35">
      <c r="A34" s="26" t="s">
        <v>18</v>
      </c>
      <c r="B34" s="6"/>
      <c r="C34" s="6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1"/>
      <c r="O34" s="11"/>
      <c r="P34" s="11"/>
      <c r="Q34" s="11"/>
    </row>
    <row r="35" spans="1:17" ht="15.6" thickTop="1" thickBot="1" x14ac:dyDescent="0.35">
      <c r="A35" s="28" t="s">
        <v>19</v>
      </c>
      <c r="B35" s="875"/>
      <c r="C35" s="875"/>
      <c r="D35" s="875"/>
      <c r="E35" s="875"/>
      <c r="F35" s="875"/>
      <c r="G35" s="875"/>
      <c r="H35" s="875"/>
      <c r="I35" s="875"/>
      <c r="J35" s="875"/>
      <c r="K35" s="875"/>
      <c r="L35" s="875"/>
      <c r="M35" s="876"/>
      <c r="N35" s="11"/>
      <c r="O35" s="11"/>
      <c r="P35" s="11"/>
      <c r="Q35" s="11"/>
    </row>
    <row r="36" spans="1:17" ht="15.6" thickTop="1" thickBot="1" x14ac:dyDescent="0.35">
      <c r="A36" s="29" t="s">
        <v>20</v>
      </c>
      <c r="B36" s="20"/>
      <c r="C36" s="20"/>
      <c r="D36" s="30"/>
      <c r="E36" s="6"/>
      <c r="F36" s="20"/>
      <c r="G36" s="6"/>
      <c r="H36" s="30"/>
      <c r="I36" s="6"/>
      <c r="J36" s="20"/>
      <c r="K36" s="30"/>
      <c r="L36" s="6"/>
      <c r="M36" s="20"/>
      <c r="N36" s="11"/>
      <c r="O36" s="11"/>
      <c r="P36" s="11"/>
      <c r="Q36" s="11"/>
    </row>
    <row r="37" spans="1:17" ht="18.75" customHeight="1" thickTop="1" thickBot="1" x14ac:dyDescent="0.35">
      <c r="A37" s="29" t="s">
        <v>21</v>
      </c>
      <c r="B37" s="23"/>
      <c r="C37" s="23"/>
      <c r="D37" s="31"/>
      <c r="E37" s="24"/>
      <c r="F37" s="23"/>
      <c r="G37" s="24"/>
      <c r="H37" s="31"/>
      <c r="I37" s="24"/>
      <c r="J37" s="20"/>
      <c r="K37" s="31"/>
      <c r="L37" s="24"/>
      <c r="M37" s="23"/>
      <c r="N37" s="11"/>
      <c r="O37" s="11"/>
      <c r="P37" s="11"/>
      <c r="Q37" s="11"/>
    </row>
    <row r="38" spans="1:17" ht="15.6" thickTop="1" thickBot="1" x14ac:dyDescent="0.35">
      <c r="A38" s="868" t="s">
        <v>22</v>
      </c>
      <c r="B38" s="868"/>
      <c r="C38" s="868"/>
      <c r="D38" s="868"/>
      <c r="E38" s="868"/>
      <c r="F38" s="868"/>
      <c r="G38" s="868"/>
      <c r="H38" s="868"/>
      <c r="I38" s="868"/>
      <c r="J38" s="868"/>
      <c r="K38" s="868"/>
      <c r="L38" s="868"/>
      <c r="M38" s="868"/>
      <c r="N38" s="11"/>
      <c r="O38" s="11"/>
      <c r="P38" s="11"/>
      <c r="Q38" s="11"/>
    </row>
    <row r="39" spans="1:17" ht="30.75" customHeight="1" thickTop="1" thickBot="1" x14ac:dyDescent="0.35">
      <c r="A39" s="32" t="s">
        <v>27</v>
      </c>
      <c r="B39" s="33" t="e">
        <f>IF(HISTORIA!C10="masculino",(495/(1.1765-(0.0744*LOG10(B21+B22+B23+B24)))-450),(495/(1.1567-(0.0717*LOG10(B21+B22+B23+B24)))-450))</f>
        <v>#NUM!</v>
      </c>
      <c r="C39" s="33" t="e">
        <f>IF(HISTORIA!C10="masculino",(495/(1.1765-(0.0744*LOG10(C21+C22+C23+C24)))-450),(495/(1.1567-(0.0717*LOG10(C21+C22+C23+C24)))-450))</f>
        <v>#NUM!</v>
      </c>
      <c r="D39" s="33" t="e">
        <f>IF(HISTORIA!C10="masculino",(495/(1.1765-(0.0744*LOG10(D21+D22+D23+D24)))-450),(495/(1.1567-(0.0717*LOG10(D21+D22+D23+D24)))-450))</f>
        <v>#NUM!</v>
      </c>
      <c r="E39" s="33" t="e">
        <f>IF(HISTORIA!C10="masculino",(495/(1.1765-(0.0744*LOG10(E21+E22+E23+E24)))-450),(495/(1.1567-(0.0717*LOG10(E21+E22+E23+E24)))-450))</f>
        <v>#NUM!</v>
      </c>
      <c r="F39" s="33" t="e">
        <f>IF(HISTORIA!C10="masculino",(495/(1.1765-(0.0744*LOG10(F21+F22+F23+F24)))-450),(495/(1.1567-(0.0717*LOG10(F21+F22+F23+F24)))-450))</f>
        <v>#NUM!</v>
      </c>
      <c r="G39" s="33" t="e">
        <f>IF(HISTORIA!C10="masculino",(495/(1.1765-(0.0744*LOG10(G21+G22+G23+G24)))-450),(495/(1.1567-(0.0717*LOG10(G21+G22+G23+G24)))-450))</f>
        <v>#NUM!</v>
      </c>
      <c r="H39" s="33" t="e">
        <f>IF(HISTORIA!C10="masculino",(495/(1.1765-(0.0744*LOG10(H21+H22+H23+H24)))-450),(495/(1.1567-(0.0717*LOG10(H21+H22+H23+H24)))-450))</f>
        <v>#NUM!</v>
      </c>
      <c r="I39" s="33" t="e">
        <f>IF(HISTORIA!C10="masculino",(495/(1.1765-(0.0744*LOG10(I21+I22+I23+I24)))-450),(495/(1.1567-(0.0717*LOG10(I21+I22+I23+I24)))-450))</f>
        <v>#NUM!</v>
      </c>
      <c r="J39" s="33" t="e">
        <f>IF(HISTORIA!C10="masculino",(495/(1.1765-(0.0744*LOG10(J21+J22+J23+J24)))-450),(495/(1.1567-(0.0717*LOG10(J21+J22+J23+J24)))-450))</f>
        <v>#NUM!</v>
      </c>
      <c r="K39" s="33" t="e">
        <f>IF(HISTORIA!C10="masculino",(495/(1.1765-(0.0744*LOG10(K21+K22+K23+K24)))-450),(495/(1.1567-(0.0717*LOG10(K21+K22+K23+K24)))-450))</f>
        <v>#NUM!</v>
      </c>
      <c r="L39" s="33" t="e">
        <f>IF(HISTORIA!C10="masculino",(495/(1.1765-(0.0744*LOG10(L21+L22+L23+L24)))-450),(495/(1.1567-(0.0717*LOG10(L21+L22+L23+L24)))-450))</f>
        <v>#NUM!</v>
      </c>
      <c r="M39" s="33" t="e">
        <f>IF(HISTORIA!C10="masculino",(495/(1.1765-(0.0744*LOG10(M21+M22+M23+M24)))-450),(495/(1.1567-(0.0717*LOG10(M21+M22+M23+M24)))-450))</f>
        <v>#NUM!</v>
      </c>
      <c r="N39" s="11"/>
      <c r="O39" s="11"/>
      <c r="P39" s="11"/>
      <c r="Q39" s="11"/>
    </row>
    <row r="40" spans="1:17" ht="36" customHeight="1" thickTop="1" thickBot="1" x14ac:dyDescent="0.35">
      <c r="A40" s="34" t="s">
        <v>26</v>
      </c>
      <c r="B40" s="35">
        <f>IF(HISTORIA!C10="masculino",(0.1051*(B21+B22+B25+B26+B27+B28)+2.585),(0.1548*(B21+B22+B25+B26+B27+B28)+3.58))</f>
        <v>3.58</v>
      </c>
      <c r="C40" s="35">
        <f>IF(HISTORIA!C10="masculino",(0.1051*(C21+C22+C25+C26+C27+C28)+2.585),(0.1548*(C21+C22+C25+C26+C27+C28)+3.58))</f>
        <v>3.58</v>
      </c>
      <c r="D40" s="35">
        <f>IF(HISTORIA!C10="masculino",(0.1051*(D21+D22+D25+D26+D27+D28)+2.585),(0.1548*(D21+D22+D25+D26+D27+D28)+3.58))</f>
        <v>3.58</v>
      </c>
      <c r="E40" s="35">
        <f>IF(HISTORIA!C10="masculino",(0.1051*(E21+E22+E25+E26+E27+E28)+2.585),(0.1548*(E21+E22+E25+E26+E27+E28)+3.58))</f>
        <v>3.58</v>
      </c>
      <c r="F40" s="35">
        <f>IF(HISTORIA!C10="masculino",(0.1051*(F21+F22+F25+F26+F27+F28)+2.585),(0.1548*(F21+F22+F25+F26+F27+F28)+3.58))</f>
        <v>3.58</v>
      </c>
      <c r="G40" s="35">
        <f>IF(HISTORIA!C10="masculino",(0.1051*(G21+G22+G25+G26+G27+G28)+2.585),(0.1548*(G21+G22+G25+G26+G27+G28)+3.58))</f>
        <v>3.58</v>
      </c>
      <c r="H40" s="35">
        <f>IF(HISTORIA!C10="masculino",(0.1051*(H21+H22+H25+H26+H27+H28)+2.585),(0.1548*(H21+H22+H25+H26+H27+H28)+3.58))</f>
        <v>3.58</v>
      </c>
      <c r="I40" s="35">
        <f>IF(HISTORIA!C10="masculino",(0.1051*(I21+I22+I25+I26+I27+I28)+2.585),(0.1548*(I21+I22+I25+I26+I27+I28)+3.58))</f>
        <v>3.58</v>
      </c>
      <c r="J40" s="35">
        <f>IF(HISTORIA!C10="masculino",(0.1051*(J21+J22+J25+J26+J27+J28)+2.585),(0.1548*(J21+J22+J25+J26+J27+J28)+3.58))</f>
        <v>3.58</v>
      </c>
      <c r="K40" s="35">
        <f>IF(HISTORIA!C10="masculino",(0.1051*(K21+K22+K25+K26+K27+K28)+2.585),(0.1548*(K21+K22+K25+K26+K27+K28)+3.58))</f>
        <v>3.58</v>
      </c>
      <c r="L40" s="35">
        <f>IF(HISTORIA!C10="masculino",(0.1051*(L21+L22+L25+L26+L27+L28)+2.585),(0.1548*(L21+L22+L25+L26+L27+L28)+3.58))</f>
        <v>3.58</v>
      </c>
      <c r="M40" s="35">
        <f>IF(HISTORIA!C10="masculino",(0.1051*(M21+M22+M25+M26+M27+M28)+2.585),(0.1548*(M21+M22+M25+M26+M27+M28)+3.58))</f>
        <v>3.58</v>
      </c>
      <c r="N40" s="11"/>
      <c r="O40" s="11"/>
      <c r="P40" s="11"/>
      <c r="Q40" s="11"/>
    </row>
    <row r="41" spans="1:17" ht="15.6" thickTop="1" thickBot="1" x14ac:dyDescent="0.35">
      <c r="A41" s="34" t="s">
        <v>25</v>
      </c>
      <c r="B41" s="36">
        <f>(((0.2467)*(B21+B22++B23+B24))+((0.12*B32)))+4.98</f>
        <v>4.9800000000000004</v>
      </c>
      <c r="C41" s="37">
        <f>(((0.2467)*(C21+C22++C23+C24))+((0.12*C32)))+4.98</f>
        <v>4.9800000000000004</v>
      </c>
      <c r="D41" s="37">
        <f>(((0.2467)*(D21+D22++D23+D24))+((0.12*D32)))+4.98</f>
        <v>4.9800000000000004</v>
      </c>
      <c r="E41" s="37">
        <f t="shared" ref="E41:M41" si="0">(((0.2467)*(E21+E22++E23+E24))+((0.12*E32)))+4.98</f>
        <v>4.9800000000000004</v>
      </c>
      <c r="F41" s="37">
        <f t="shared" si="0"/>
        <v>4.9800000000000004</v>
      </c>
      <c r="G41" s="37">
        <f t="shared" si="0"/>
        <v>4.9800000000000004</v>
      </c>
      <c r="H41" s="37">
        <f t="shared" si="0"/>
        <v>4.9800000000000004</v>
      </c>
      <c r="I41" s="37">
        <f t="shared" si="0"/>
        <v>4.9800000000000004</v>
      </c>
      <c r="J41" s="37">
        <f t="shared" si="0"/>
        <v>4.9800000000000004</v>
      </c>
      <c r="K41" s="37">
        <f t="shared" si="0"/>
        <v>4.9800000000000004</v>
      </c>
      <c r="L41" s="37">
        <f t="shared" si="0"/>
        <v>4.9800000000000004</v>
      </c>
      <c r="M41" s="37">
        <f t="shared" si="0"/>
        <v>4.9800000000000004</v>
      </c>
      <c r="N41" s="11"/>
      <c r="O41" s="11"/>
      <c r="P41" s="11"/>
      <c r="Q41" s="11"/>
    </row>
    <row r="42" spans="1:17" ht="15.6" thickTop="1" thickBot="1" x14ac:dyDescent="0.35">
      <c r="A42" s="34" t="s">
        <v>229</v>
      </c>
      <c r="B42" s="36" t="e">
        <f>IF(HISTORIA!C10="masculino",(530/(1.169-(0.078*LOG10(B21+B22+B23+B25)))-489),(530/(1.2063-(0.0999*LOG10(B21+B22+B23+B25)))-489))</f>
        <v>#NUM!</v>
      </c>
      <c r="C42" s="36" t="e">
        <f>IF(HISTORIA!C10="masculino",(530/(1.169-(0.078*LOG10(C21+C22+C23+C25)))-489),(530/(1.2063-(0.0999*LOG10(C21+C22+C23+C25)))-489))</f>
        <v>#NUM!</v>
      </c>
      <c r="D42" s="36" t="e">
        <f>IF(HISTORIA!C10="masculino",(530/(1.169-(0.078*LOG10(D21+D22+D23+D25)))-489),(530/(1.2063-(0.0999*LOG10(D21+D22+D23+D25)))-489))</f>
        <v>#NUM!</v>
      </c>
      <c r="E42" s="36" t="e">
        <f>IF(HISTORIA!C10="masculino",(530/(1.169-(0.078*LOG10(E21+E22+E23+E25)))-489),(530/(1.2063-(0.0999*LOG10(E21+E22+E23+E25)))-489))</f>
        <v>#NUM!</v>
      </c>
      <c r="F42" s="36" t="e">
        <f>IF(HISTORIA!C10="masculino",(530/(1.169-(0.078*LOG10(F21+F22+F23+F25)))-489),(530/(1.2063-(0.0999*LOG10(F21+F22+F23+F25)))-489))</f>
        <v>#NUM!</v>
      </c>
      <c r="G42" s="36" t="e">
        <f>IF(HISTORIA!C10="masculino",(530/(1.169-(0.078*LOG10(G21+G22+G23+G25)))-489),(530/(1.2063-(0.0999*LOG10(G21+G22+G23+G25)))-489))</f>
        <v>#NUM!</v>
      </c>
      <c r="H42" s="36" t="e">
        <f>IF(HISTORIA!C10="masculino",(530/(1.169-(0.078*LOG10(H21+H22+H23+H25)))-489),(530/(1.2063-(0.0999*LOG10(H21+H22+H23+H25)))-489))</f>
        <v>#NUM!</v>
      </c>
      <c r="I42" s="36" t="e">
        <f>IF(HISTORIA!C10="masculino",(530/(1.169-(0.078*LOG10(I21+I22+I23+I25)))-489),(530/(1.2063-(0.0999*LOG10(I21+I22+I23+I25)))-489))</f>
        <v>#NUM!</v>
      </c>
      <c r="J42" s="36" t="e">
        <f>IF(HISTORIA!C10="masculino",(530/(1.169-(0.078*LOG10(J21+J22+J23+J25)))-489),(530/(1.2063-(0.0999*LOG10(J21+J22+J23+J25)))-489))</f>
        <v>#NUM!</v>
      </c>
      <c r="K42" s="36" t="e">
        <f>IF(HISTORIA!C10="masculino",(530/(1.169-(0.078*LOG10(K21+K22+K23+K25)))-489),(530/(1.2063-(0.0999*LOG10(K21+K22+K23+K25)))-489))</f>
        <v>#NUM!</v>
      </c>
      <c r="L42" s="36" t="e">
        <f>IF(HISTORIA!C10="masculino",(530/(1.169-(0.078*LOG10(L21+L22+L23+L25)))-489),(530/(1.2063-(0.0999*LOG10(L21+L22+L23+L25)))-489))</f>
        <v>#NUM!</v>
      </c>
      <c r="M42" s="36" t="e">
        <f>IF(HISTORIA!C10="masculino",(530/(1.169-(0.078*LOG10(M21+M22+M23+M25)))-489),(530/(1.2063-(0.0999*LOG10(M21+M22+M23+M25)))-489))</f>
        <v>#NUM!</v>
      </c>
      <c r="N42" s="11"/>
      <c r="O42" s="11"/>
      <c r="P42" s="11"/>
      <c r="Q42" s="11"/>
    </row>
    <row r="43" spans="1:17" ht="15.6" thickTop="1" thickBot="1" x14ac:dyDescent="0.35">
      <c r="A43" s="38" t="s">
        <v>230</v>
      </c>
      <c r="B43" s="39" t="e">
        <f>IF(HISTORIA!C10="masculino",(530/(1.1533-(0.0643*LOG10(B21+B22+B23+B25)))-489),(530/(1.1369-(0.0598*LOG10(B21+B22+B23+B25)))-489))</f>
        <v>#NUM!</v>
      </c>
      <c r="C43" s="39" t="e">
        <f>IF(HISTORIA!C10="masculino",(530/(1.1533-(0.0643*LOG10(C21+C22+C23+C25)))-489),(530/(1.1369-(0.0598*LOG10(C21+C22+C23+C25)))-489))</f>
        <v>#NUM!</v>
      </c>
      <c r="D43" s="39" t="e">
        <f>IF(HISTORIA!C10="masculino",(530/(1.1533-(0.0643*LOG10(D21+D22+D23+D25)))-489),(530/(1.1369-(0.0598*LOG10(D21+D22+D23+D25)))-489))</f>
        <v>#NUM!</v>
      </c>
      <c r="E43" s="39" t="e">
        <f>IF(HISTORIA!C10="masculino",(530/(1.1533-(0.0643*LOG10(E21+E22+E23+E25)))-489),(530/(1.1369-(0.0598*LOG10(E21+E22+E23+E25)))-489))</f>
        <v>#NUM!</v>
      </c>
      <c r="F43" s="39" t="e">
        <f>IF(HISTORIA!C10="masculino",(530/(1.1533-(0.0643*LOG10(F21+F22+F23+F25)))-489),(530/(1.1369-(0.0598*LOG10(F21+F22+F23+F25)))-489))</f>
        <v>#NUM!</v>
      </c>
      <c r="G43" s="39" t="e">
        <f>IF(HISTORIA!C10="masculino",(530/(1.1533-(0.0643*LOG10(G21+G22+G23+G25)))-489),(530/(1.1369-(0.0598*LOG10(G21+G22+G23+G25)))-489))</f>
        <v>#NUM!</v>
      </c>
      <c r="H43" s="39" t="e">
        <f>IF(HISTORIA!C10="masculino",(530/(1.1533-(0.0643*LOG10(H21+H22+H23+H25)))-489),(530/(1.1369-(0.0598*LOG10(H21+H22+H23+H25)))-489))</f>
        <v>#NUM!</v>
      </c>
      <c r="I43" s="39" t="e">
        <f>IF(HISTORIA!C10="masculino",(530/(1.1533-(0.0643*LOG10(I21+I22+I23+I25)))-489),(530/(1.1369-(0.0598*LOG10(I21+I22+I23+I25)))-489))</f>
        <v>#NUM!</v>
      </c>
      <c r="J43" s="39" t="e">
        <f>IF(HISTORIA!C10="masculino",(530/(1.1533-(0.0643*LOG10(J21+J22+J23+J25)))-489),(530/(1.1369-(0.0598*LOG10(J21+J22+J23+J25)))-489))</f>
        <v>#NUM!</v>
      </c>
      <c r="K43" s="39" t="e">
        <f>IF(HISTORIA!C10="masculino",(530/(1.1533-(0.0643*LOG10(K21+K22+K23+K25)))-489),(530/(1.1369-(0.0598*LOG10(K21+K22+K23+K25)))-489))</f>
        <v>#NUM!</v>
      </c>
      <c r="L43" s="39" t="e">
        <f>IF(HISTORIA!C10="masculino",(530/(1.1533-(0.0643*LOG10(L21+L22+L23+L25)))-489),(530/(1.1369-(0.0598*LOG10(L21+L22+L23+L25)))-489))</f>
        <v>#NUM!</v>
      </c>
      <c r="M43" s="39" t="e">
        <f>IF(HISTORIA!C10="masculino",(530/(1.1533-(0.0643*LOG10(M21+M22+M23+M25)))-489),(530/(1.1369-(0.0598*LOG10(M21+M22+M23+M25)))-489))</f>
        <v>#NUM!</v>
      </c>
      <c r="N43" s="11"/>
      <c r="O43" s="11"/>
      <c r="P43" s="11"/>
      <c r="Q43" s="11"/>
    </row>
    <row r="44" spans="1:17" ht="15.6" thickTop="1" thickBot="1" x14ac:dyDescent="0.35">
      <c r="A44" s="40" t="s">
        <v>28</v>
      </c>
      <c r="B44" s="30">
        <v>22.4</v>
      </c>
      <c r="C44" s="8">
        <v>31.8</v>
      </c>
      <c r="D44" s="9"/>
      <c r="E44" s="41"/>
      <c r="F44" s="9"/>
      <c r="G44" s="41"/>
      <c r="H44" s="9"/>
      <c r="I44" s="41"/>
      <c r="J44" s="9"/>
      <c r="K44" s="41"/>
      <c r="L44" s="9"/>
      <c r="M44" s="42"/>
      <c r="N44" s="11"/>
      <c r="O44" s="11"/>
      <c r="P44" s="11"/>
      <c r="Q44" s="11"/>
    </row>
    <row r="45" spans="1:17" ht="15.6" thickTop="1" thickBot="1" x14ac:dyDescent="0.35">
      <c r="A45" s="40" t="s">
        <v>32</v>
      </c>
      <c r="B45" s="20">
        <v>15</v>
      </c>
      <c r="C45" s="7">
        <v>15</v>
      </c>
      <c r="D45" s="6"/>
      <c r="E45" s="30"/>
      <c r="F45" s="6"/>
      <c r="G45" s="30"/>
      <c r="H45" s="6"/>
      <c r="I45" s="30"/>
      <c r="J45" s="6"/>
      <c r="K45" s="30"/>
      <c r="L45" s="6"/>
      <c r="M45" s="20"/>
      <c r="N45" s="11"/>
      <c r="O45" s="11"/>
      <c r="P45" s="11"/>
      <c r="Q45" s="11"/>
    </row>
    <row r="46" spans="1:17" ht="15.6" thickTop="1" thickBot="1" x14ac:dyDescent="0.35">
      <c r="A46" s="40" t="s">
        <v>33</v>
      </c>
      <c r="B46" s="20">
        <v>20</v>
      </c>
      <c r="C46" s="43">
        <v>20</v>
      </c>
      <c r="D46" s="24"/>
      <c r="E46" s="31"/>
      <c r="F46" s="24"/>
      <c r="G46" s="31"/>
      <c r="H46" s="24"/>
      <c r="I46" s="31"/>
      <c r="J46" s="24"/>
      <c r="K46" s="31"/>
      <c r="L46" s="24"/>
      <c r="M46" s="23"/>
      <c r="N46" s="11"/>
      <c r="O46" s="11"/>
      <c r="P46" s="11"/>
      <c r="Q46" s="11"/>
    </row>
    <row r="47" spans="1:17" ht="15.6" thickTop="1" thickBot="1" x14ac:dyDescent="0.35">
      <c r="A47" s="44" t="s">
        <v>29</v>
      </c>
      <c r="B47" s="45">
        <f>(B18*(B44/100))</f>
        <v>0</v>
      </c>
      <c r="C47" s="46">
        <f t="shared" ref="C47:M47" si="1">(C18*(C44/100))</f>
        <v>0</v>
      </c>
      <c r="D47" s="46">
        <f t="shared" si="1"/>
        <v>0</v>
      </c>
      <c r="E47" s="46">
        <f t="shared" si="1"/>
        <v>0</v>
      </c>
      <c r="F47" s="46">
        <f t="shared" si="1"/>
        <v>0</v>
      </c>
      <c r="G47" s="46">
        <f t="shared" si="1"/>
        <v>0</v>
      </c>
      <c r="H47" s="46">
        <f t="shared" si="1"/>
        <v>0</v>
      </c>
      <c r="I47" s="46">
        <f t="shared" si="1"/>
        <v>0</v>
      </c>
      <c r="J47" s="46">
        <f t="shared" si="1"/>
        <v>0</v>
      </c>
      <c r="K47" s="46">
        <f t="shared" si="1"/>
        <v>0</v>
      </c>
      <c r="L47" s="46">
        <f t="shared" si="1"/>
        <v>0</v>
      </c>
      <c r="M47" s="46">
        <f t="shared" si="1"/>
        <v>0</v>
      </c>
      <c r="N47" s="11"/>
      <c r="O47" s="11"/>
      <c r="P47" s="11"/>
      <c r="Q47" s="11"/>
    </row>
    <row r="48" spans="1:17" ht="15.6" thickTop="1" thickBot="1" x14ac:dyDescent="0.35">
      <c r="A48" s="44" t="s">
        <v>30</v>
      </c>
      <c r="B48" s="36">
        <f>B18-B47</f>
        <v>0</v>
      </c>
      <c r="C48" s="37">
        <f t="shared" ref="C48:M48" si="2">C18-C47</f>
        <v>0</v>
      </c>
      <c r="D48" s="37">
        <f t="shared" si="2"/>
        <v>0</v>
      </c>
      <c r="E48" s="37">
        <f t="shared" si="2"/>
        <v>0</v>
      </c>
      <c r="F48" s="37">
        <f t="shared" si="2"/>
        <v>0</v>
      </c>
      <c r="G48" s="37">
        <f t="shared" si="2"/>
        <v>0</v>
      </c>
      <c r="H48" s="37">
        <f t="shared" si="2"/>
        <v>0</v>
      </c>
      <c r="I48" s="37">
        <f t="shared" si="2"/>
        <v>0</v>
      </c>
      <c r="J48" s="37">
        <f t="shared" si="2"/>
        <v>0</v>
      </c>
      <c r="K48" s="37">
        <f t="shared" si="2"/>
        <v>0</v>
      </c>
      <c r="L48" s="37">
        <f t="shared" si="2"/>
        <v>0</v>
      </c>
      <c r="M48" s="37">
        <f t="shared" si="2"/>
        <v>0</v>
      </c>
      <c r="N48" s="11"/>
      <c r="O48" s="11"/>
      <c r="P48" s="11"/>
      <c r="Q48" s="11"/>
    </row>
    <row r="49" spans="1:17" ht="15.6" thickTop="1" thickBot="1" x14ac:dyDescent="0.35">
      <c r="A49" s="44" t="s">
        <v>31</v>
      </c>
      <c r="B49" s="47" t="e">
        <f>(B48*100)/B18</f>
        <v>#DIV/0!</v>
      </c>
      <c r="C49" s="48" t="e">
        <f t="shared" ref="C49:M49" si="3">(C48*100)/C18</f>
        <v>#DIV/0!</v>
      </c>
      <c r="D49" s="48" t="e">
        <f t="shared" si="3"/>
        <v>#DIV/0!</v>
      </c>
      <c r="E49" s="48" t="e">
        <f t="shared" si="3"/>
        <v>#DIV/0!</v>
      </c>
      <c r="F49" s="48" t="e">
        <f t="shared" si="3"/>
        <v>#DIV/0!</v>
      </c>
      <c r="G49" s="48" t="e">
        <f t="shared" si="3"/>
        <v>#DIV/0!</v>
      </c>
      <c r="H49" s="48" t="e">
        <f t="shared" si="3"/>
        <v>#DIV/0!</v>
      </c>
      <c r="I49" s="48" t="e">
        <f t="shared" si="3"/>
        <v>#DIV/0!</v>
      </c>
      <c r="J49" s="48" t="e">
        <f t="shared" si="3"/>
        <v>#DIV/0!</v>
      </c>
      <c r="K49" s="48" t="e">
        <f t="shared" si="3"/>
        <v>#DIV/0!</v>
      </c>
      <c r="L49" s="48" t="e">
        <f t="shared" si="3"/>
        <v>#DIV/0!</v>
      </c>
      <c r="M49" s="48" t="e">
        <f t="shared" si="3"/>
        <v>#DIV/0!</v>
      </c>
      <c r="N49" s="11"/>
      <c r="O49" s="11"/>
      <c r="P49" s="11"/>
      <c r="Q49" s="11"/>
    </row>
    <row r="50" spans="1:17" ht="15.6" thickTop="1" thickBot="1" x14ac:dyDescent="0.35">
      <c r="A50" s="44" t="s">
        <v>36</v>
      </c>
      <c r="B50" s="36" t="e">
        <f>B18/(POWER(B19/100,2))</f>
        <v>#DIV/0!</v>
      </c>
      <c r="C50" s="37" t="e">
        <f t="shared" ref="C50:M50" si="4">C18/(POWER(C19/100,2))</f>
        <v>#DIV/0!</v>
      </c>
      <c r="D50" s="37" t="e">
        <f t="shared" si="4"/>
        <v>#DIV/0!</v>
      </c>
      <c r="E50" s="37" t="e">
        <f t="shared" si="4"/>
        <v>#DIV/0!</v>
      </c>
      <c r="F50" s="37" t="e">
        <f t="shared" si="4"/>
        <v>#DIV/0!</v>
      </c>
      <c r="G50" s="37" t="e">
        <f t="shared" si="4"/>
        <v>#DIV/0!</v>
      </c>
      <c r="H50" s="37" t="e">
        <f t="shared" si="4"/>
        <v>#DIV/0!</v>
      </c>
      <c r="I50" s="37" t="e">
        <f t="shared" si="4"/>
        <v>#DIV/0!</v>
      </c>
      <c r="J50" s="37" t="e">
        <f t="shared" si="4"/>
        <v>#DIV/0!</v>
      </c>
      <c r="K50" s="37" t="e">
        <f t="shared" si="4"/>
        <v>#DIV/0!</v>
      </c>
      <c r="L50" s="37" t="e">
        <f t="shared" si="4"/>
        <v>#DIV/0!</v>
      </c>
      <c r="M50" s="37" t="e">
        <f t="shared" si="4"/>
        <v>#DIV/0!</v>
      </c>
      <c r="N50" s="11"/>
      <c r="O50" s="11"/>
      <c r="P50" s="11"/>
      <c r="Q50" s="11"/>
    </row>
    <row r="51" spans="1:17" ht="15.6" thickTop="1" thickBot="1" x14ac:dyDescent="0.35">
      <c r="A51" s="44" t="s">
        <v>37</v>
      </c>
      <c r="B51" s="49" t="e">
        <f>B32/B33</f>
        <v>#DIV/0!</v>
      </c>
      <c r="C51" s="48" t="e">
        <f t="shared" ref="C51:M51" si="5">C32/C33</f>
        <v>#DIV/0!</v>
      </c>
      <c r="D51" s="48" t="e">
        <f t="shared" si="5"/>
        <v>#DIV/0!</v>
      </c>
      <c r="E51" s="48" t="e">
        <f t="shared" si="5"/>
        <v>#DIV/0!</v>
      </c>
      <c r="F51" s="48" t="e">
        <f t="shared" si="5"/>
        <v>#DIV/0!</v>
      </c>
      <c r="G51" s="48" t="e">
        <f t="shared" si="5"/>
        <v>#DIV/0!</v>
      </c>
      <c r="H51" s="48" t="e">
        <f t="shared" si="5"/>
        <v>#DIV/0!</v>
      </c>
      <c r="I51" s="48" t="e">
        <f t="shared" si="5"/>
        <v>#DIV/0!</v>
      </c>
      <c r="J51" s="48" t="e">
        <f t="shared" si="5"/>
        <v>#DIV/0!</v>
      </c>
      <c r="K51" s="48" t="e">
        <f t="shared" si="5"/>
        <v>#DIV/0!</v>
      </c>
      <c r="L51" s="48" t="e">
        <f t="shared" si="5"/>
        <v>#DIV/0!</v>
      </c>
      <c r="M51" s="48" t="e">
        <f t="shared" si="5"/>
        <v>#DIV/0!</v>
      </c>
      <c r="N51" s="11"/>
      <c r="O51" s="11"/>
      <c r="P51" s="11"/>
      <c r="Q51" s="11"/>
    </row>
    <row r="52" spans="1:17" ht="15.6" thickTop="1" thickBot="1" x14ac:dyDescent="0.35">
      <c r="A52" s="44" t="s">
        <v>38</v>
      </c>
      <c r="B52" s="36" t="e">
        <f>(B21+B22+B24+B26+B27+B28)*(170.18/B19)</f>
        <v>#DIV/0!</v>
      </c>
      <c r="C52" s="48" t="e">
        <f t="shared" ref="C52:M52" si="6">(C21+C22+C24+C26+C27+C28)*(170.18/C19)</f>
        <v>#DIV/0!</v>
      </c>
      <c r="D52" s="48" t="e">
        <f t="shared" si="6"/>
        <v>#DIV/0!</v>
      </c>
      <c r="E52" s="48" t="e">
        <f t="shared" si="6"/>
        <v>#DIV/0!</v>
      </c>
      <c r="F52" s="48" t="e">
        <f t="shared" si="6"/>
        <v>#DIV/0!</v>
      </c>
      <c r="G52" s="48" t="e">
        <f t="shared" si="6"/>
        <v>#DIV/0!</v>
      </c>
      <c r="H52" s="48" t="e">
        <f t="shared" si="6"/>
        <v>#DIV/0!</v>
      </c>
      <c r="I52" s="48" t="e">
        <f t="shared" si="6"/>
        <v>#DIV/0!</v>
      </c>
      <c r="J52" s="48" t="e">
        <f t="shared" si="6"/>
        <v>#DIV/0!</v>
      </c>
      <c r="K52" s="48" t="e">
        <f t="shared" si="6"/>
        <v>#DIV/0!</v>
      </c>
      <c r="L52" s="48" t="e">
        <f t="shared" si="6"/>
        <v>#DIV/0!</v>
      </c>
      <c r="M52" s="48" t="e">
        <f t="shared" si="6"/>
        <v>#DIV/0!</v>
      </c>
      <c r="N52" s="11"/>
      <c r="O52" s="11"/>
      <c r="P52" s="11"/>
      <c r="Q52" s="11"/>
    </row>
    <row r="53" spans="1:17" ht="15.6" thickTop="1" thickBot="1" x14ac:dyDescent="0.35">
      <c r="A53" s="44" t="s">
        <v>39</v>
      </c>
      <c r="B53" s="39" t="e">
        <f>B18*(POWER(170.18/B19,3))</f>
        <v>#DIV/0!</v>
      </c>
      <c r="C53" s="50" t="e">
        <f t="shared" ref="C53:M53" si="7">C18*(POWER(170.18/C19,3))</f>
        <v>#DIV/0!</v>
      </c>
      <c r="D53" s="50" t="e">
        <f t="shared" si="7"/>
        <v>#DIV/0!</v>
      </c>
      <c r="E53" s="50" t="e">
        <f t="shared" si="7"/>
        <v>#DIV/0!</v>
      </c>
      <c r="F53" s="50" t="e">
        <f t="shared" si="7"/>
        <v>#DIV/0!</v>
      </c>
      <c r="G53" s="50" t="e">
        <f t="shared" si="7"/>
        <v>#DIV/0!</v>
      </c>
      <c r="H53" s="50" t="e">
        <f t="shared" si="7"/>
        <v>#DIV/0!</v>
      </c>
      <c r="I53" s="50" t="e">
        <f t="shared" si="7"/>
        <v>#DIV/0!</v>
      </c>
      <c r="J53" s="50" t="e">
        <f t="shared" si="7"/>
        <v>#DIV/0!</v>
      </c>
      <c r="K53" s="50" t="e">
        <f t="shared" si="7"/>
        <v>#DIV/0!</v>
      </c>
      <c r="L53" s="50" t="e">
        <f t="shared" si="7"/>
        <v>#DIV/0!</v>
      </c>
      <c r="M53" s="50" t="e">
        <f t="shared" si="7"/>
        <v>#DIV/0!</v>
      </c>
      <c r="N53" s="11"/>
      <c r="O53" s="11"/>
      <c r="P53" s="11"/>
      <c r="Q53" s="11"/>
    </row>
    <row r="54" spans="1:17" ht="15.6" thickTop="1" thickBot="1" x14ac:dyDescent="0.35">
      <c r="A54" s="44" t="s">
        <v>76</v>
      </c>
      <c r="B54" s="36">
        <f>B21+B22+B23+B24</f>
        <v>0</v>
      </c>
      <c r="C54" s="37">
        <f t="shared" ref="C54:M54" si="8">C21+C22+C23+C24</f>
        <v>0</v>
      </c>
      <c r="D54" s="37">
        <f t="shared" si="8"/>
        <v>0</v>
      </c>
      <c r="E54" s="37">
        <f t="shared" si="8"/>
        <v>0</v>
      </c>
      <c r="F54" s="37">
        <f t="shared" si="8"/>
        <v>0</v>
      </c>
      <c r="G54" s="37">
        <f t="shared" si="8"/>
        <v>0</v>
      </c>
      <c r="H54" s="37">
        <f t="shared" si="8"/>
        <v>0</v>
      </c>
      <c r="I54" s="37">
        <f t="shared" si="8"/>
        <v>0</v>
      </c>
      <c r="J54" s="37">
        <f t="shared" si="8"/>
        <v>0</v>
      </c>
      <c r="K54" s="37">
        <f t="shared" si="8"/>
        <v>0</v>
      </c>
      <c r="L54" s="37">
        <f t="shared" si="8"/>
        <v>0</v>
      </c>
      <c r="M54" s="37">
        <f t="shared" si="8"/>
        <v>0</v>
      </c>
      <c r="N54" s="11"/>
      <c r="O54" s="11"/>
      <c r="P54" s="11"/>
      <c r="Q54" s="11"/>
    </row>
    <row r="55" spans="1:17" ht="15.6" thickTop="1" thickBot="1" x14ac:dyDescent="0.35">
      <c r="A55" s="44" t="s">
        <v>77</v>
      </c>
      <c r="B55" s="36">
        <f>B21+B22+B25+B26+B27+B28</f>
        <v>0</v>
      </c>
      <c r="C55" s="37">
        <f t="shared" ref="C55:M55" si="9">C21+C22+C25+C26+C27+C28</f>
        <v>0</v>
      </c>
      <c r="D55" s="37">
        <f t="shared" si="9"/>
        <v>0</v>
      </c>
      <c r="E55" s="37">
        <f t="shared" si="9"/>
        <v>0</v>
      </c>
      <c r="F55" s="37">
        <f t="shared" si="9"/>
        <v>0</v>
      </c>
      <c r="G55" s="37">
        <f t="shared" si="9"/>
        <v>0</v>
      </c>
      <c r="H55" s="37">
        <f t="shared" si="9"/>
        <v>0</v>
      </c>
      <c r="I55" s="37">
        <f t="shared" si="9"/>
        <v>0</v>
      </c>
      <c r="J55" s="37">
        <f t="shared" si="9"/>
        <v>0</v>
      </c>
      <c r="K55" s="37">
        <f t="shared" si="9"/>
        <v>0</v>
      </c>
      <c r="L55" s="37">
        <f t="shared" si="9"/>
        <v>0</v>
      </c>
      <c r="M55" s="37">
        <f t="shared" si="9"/>
        <v>0</v>
      </c>
      <c r="N55" s="11"/>
      <c r="O55" s="11"/>
      <c r="P55" s="11"/>
      <c r="Q55" s="11"/>
    </row>
    <row r="56" spans="1:17" ht="15.6" thickTop="1" thickBot="1" x14ac:dyDescent="0.35">
      <c r="A56" s="51" t="s">
        <v>78</v>
      </c>
      <c r="B56" s="39">
        <f>SUM(B21:B28)</f>
        <v>0</v>
      </c>
      <c r="C56" s="50">
        <f t="shared" ref="C56:M56" si="10">SUM(C21:C28)</f>
        <v>0</v>
      </c>
      <c r="D56" s="50">
        <f t="shared" si="10"/>
        <v>0</v>
      </c>
      <c r="E56" s="50">
        <f t="shared" si="10"/>
        <v>0</v>
      </c>
      <c r="F56" s="50">
        <f t="shared" si="10"/>
        <v>0</v>
      </c>
      <c r="G56" s="50">
        <f t="shared" si="10"/>
        <v>0</v>
      </c>
      <c r="H56" s="50">
        <f t="shared" si="10"/>
        <v>0</v>
      </c>
      <c r="I56" s="50">
        <f t="shared" si="10"/>
        <v>0</v>
      </c>
      <c r="J56" s="50">
        <f t="shared" si="10"/>
        <v>0</v>
      </c>
      <c r="K56" s="50">
        <f t="shared" si="10"/>
        <v>0</v>
      </c>
      <c r="L56" s="50">
        <f t="shared" si="10"/>
        <v>0</v>
      </c>
      <c r="M56" s="50">
        <f t="shared" si="10"/>
        <v>0</v>
      </c>
      <c r="N56" s="11"/>
      <c r="O56" s="11"/>
      <c r="P56" s="11"/>
      <c r="Q56" s="11"/>
    </row>
    <row r="57" spans="1:17" ht="15.6" thickTop="1" thickBot="1" x14ac:dyDescent="0.35">
      <c r="A57" s="867" t="s">
        <v>81</v>
      </c>
      <c r="B57" s="879"/>
      <c r="C57" s="879"/>
      <c r="D57" s="879"/>
      <c r="E57" s="879"/>
      <c r="F57" s="879"/>
      <c r="G57" s="879"/>
      <c r="H57" s="879"/>
      <c r="I57" s="879"/>
      <c r="J57" s="879"/>
      <c r="K57" s="879"/>
      <c r="L57" s="879"/>
      <c r="M57" s="879"/>
      <c r="N57" s="11"/>
      <c r="O57" s="11"/>
      <c r="P57" s="11"/>
      <c r="Q57" s="11"/>
    </row>
    <row r="58" spans="1:17" ht="15.6" thickTop="1" thickBot="1" x14ac:dyDescent="0.35">
      <c r="A58" s="52" t="s">
        <v>34</v>
      </c>
      <c r="B58" s="53">
        <f>(B48*100)/(100-B45)</f>
        <v>0</v>
      </c>
      <c r="C58" s="54">
        <f t="shared" ref="C58:M58" si="11">(C48*100)/(100-C45)</f>
        <v>0</v>
      </c>
      <c r="D58" s="54">
        <f t="shared" si="11"/>
        <v>0</v>
      </c>
      <c r="E58" s="54">
        <f t="shared" si="11"/>
        <v>0</v>
      </c>
      <c r="F58" s="54">
        <f t="shared" si="11"/>
        <v>0</v>
      </c>
      <c r="G58" s="54">
        <f t="shared" si="11"/>
        <v>0</v>
      </c>
      <c r="H58" s="54">
        <f t="shared" si="11"/>
        <v>0</v>
      </c>
      <c r="I58" s="54">
        <f t="shared" si="11"/>
        <v>0</v>
      </c>
      <c r="J58" s="54">
        <f t="shared" si="11"/>
        <v>0</v>
      </c>
      <c r="K58" s="54">
        <f t="shared" si="11"/>
        <v>0</v>
      </c>
      <c r="L58" s="54">
        <f t="shared" si="11"/>
        <v>0</v>
      </c>
      <c r="M58" s="54">
        <f t="shared" si="11"/>
        <v>0</v>
      </c>
      <c r="N58" s="11"/>
      <c r="O58" s="11"/>
      <c r="P58" s="11"/>
      <c r="Q58" s="11"/>
    </row>
    <row r="59" spans="1:17" ht="15.6" thickTop="1" thickBot="1" x14ac:dyDescent="0.35">
      <c r="A59" s="55" t="s">
        <v>35</v>
      </c>
      <c r="B59" s="56">
        <f>(B48*100)/(100-B46)</f>
        <v>0</v>
      </c>
      <c r="C59" s="57">
        <f t="shared" ref="C59:M59" si="12">(C48*100)/(100-C46)</f>
        <v>0</v>
      </c>
      <c r="D59" s="57">
        <f t="shared" si="12"/>
        <v>0</v>
      </c>
      <c r="E59" s="57">
        <f t="shared" si="12"/>
        <v>0</v>
      </c>
      <c r="F59" s="57">
        <f t="shared" si="12"/>
        <v>0</v>
      </c>
      <c r="G59" s="57">
        <f t="shared" si="12"/>
        <v>0</v>
      </c>
      <c r="H59" s="57">
        <f t="shared" si="12"/>
        <v>0</v>
      </c>
      <c r="I59" s="57">
        <f t="shared" si="12"/>
        <v>0</v>
      </c>
      <c r="J59" s="57">
        <f t="shared" si="12"/>
        <v>0</v>
      </c>
      <c r="K59" s="57">
        <f t="shared" si="12"/>
        <v>0</v>
      </c>
      <c r="L59" s="57">
        <f t="shared" si="12"/>
        <v>0</v>
      </c>
      <c r="M59" s="57">
        <f t="shared" si="12"/>
        <v>0</v>
      </c>
      <c r="N59" s="11"/>
      <c r="O59" s="11"/>
      <c r="P59" s="11"/>
      <c r="Q59" s="11"/>
    </row>
    <row r="60" spans="1:17" ht="15.6" thickTop="1" thickBot="1" x14ac:dyDescent="0.35">
      <c r="A60" s="55" t="s">
        <v>80</v>
      </c>
      <c r="B60" s="58">
        <v>84</v>
      </c>
      <c r="C60" s="58">
        <v>84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11"/>
      <c r="O60" s="11"/>
      <c r="P60" s="11"/>
      <c r="Q60" s="11"/>
    </row>
    <row r="61" spans="1:17" ht="15.6" thickTop="1" thickBot="1" x14ac:dyDescent="0.35">
      <c r="A61" s="59" t="s">
        <v>79</v>
      </c>
      <c r="B61" s="60">
        <f>B18-B60</f>
        <v>-84</v>
      </c>
      <c r="C61" s="61">
        <f t="shared" ref="C61:M61" si="13">C18-C60</f>
        <v>-84</v>
      </c>
      <c r="D61" s="61">
        <f t="shared" si="13"/>
        <v>0</v>
      </c>
      <c r="E61" s="61">
        <f t="shared" si="13"/>
        <v>0</v>
      </c>
      <c r="F61" s="61">
        <f t="shared" si="13"/>
        <v>0</v>
      </c>
      <c r="G61" s="61">
        <f t="shared" si="13"/>
        <v>0</v>
      </c>
      <c r="H61" s="61">
        <f t="shared" si="13"/>
        <v>0</v>
      </c>
      <c r="I61" s="61">
        <f t="shared" si="13"/>
        <v>0</v>
      </c>
      <c r="J61" s="61">
        <f t="shared" si="13"/>
        <v>0</v>
      </c>
      <c r="K61" s="61">
        <f t="shared" si="13"/>
        <v>0</v>
      </c>
      <c r="L61" s="61">
        <f t="shared" si="13"/>
        <v>0</v>
      </c>
      <c r="M61" s="61">
        <f t="shared" si="13"/>
        <v>0</v>
      </c>
      <c r="N61" s="11"/>
      <c r="O61" s="11"/>
      <c r="P61" s="11"/>
      <c r="Q61" s="11"/>
    </row>
    <row r="62" spans="1:17" ht="15.6" thickTop="1" thickBot="1" x14ac:dyDescent="0.35">
      <c r="A62" s="867" t="s">
        <v>40</v>
      </c>
      <c r="B62" s="867"/>
      <c r="C62" s="867"/>
      <c r="D62" s="867"/>
      <c r="E62" s="867"/>
      <c r="F62" s="867"/>
      <c r="G62" s="867"/>
      <c r="H62" s="867"/>
      <c r="I62" s="867"/>
      <c r="J62" s="867"/>
      <c r="K62" s="867"/>
      <c r="L62" s="867"/>
      <c r="M62" s="867"/>
      <c r="N62" s="11"/>
      <c r="O62" s="11"/>
      <c r="P62" s="11"/>
      <c r="Q62" s="11"/>
    </row>
    <row r="63" spans="1:17" ht="15.6" thickTop="1" thickBot="1" x14ac:dyDescent="0.35">
      <c r="A63" s="62" t="s">
        <v>41</v>
      </c>
      <c r="B63" s="33" t="e">
        <f>(0.1451*((B21+B22+B25)*(170.18/B19)))-(0.00068* POWER(((B21+B22+B25)*(170.18/B19)),2))+(0.00000014*POWER(((B21+B22+B25)*(170.18/B19)),3))-0.7182</f>
        <v>#DIV/0!</v>
      </c>
      <c r="C63" s="63" t="e">
        <f t="shared" ref="C63:M63" si="14">(0.1451*((C21+C22+C25)*(170.18/C19)))-(0.00068* POWER(((C21+C22+C25)*(170.18/C19)),2))+(0.00000014*POWER(((C21+C22+C25)*(170.18/C19)),3))-0.7182</f>
        <v>#DIV/0!</v>
      </c>
      <c r="D63" s="63" t="e">
        <f t="shared" si="14"/>
        <v>#DIV/0!</v>
      </c>
      <c r="E63" s="63" t="e">
        <f t="shared" si="14"/>
        <v>#DIV/0!</v>
      </c>
      <c r="F63" s="63" t="e">
        <f t="shared" si="14"/>
        <v>#DIV/0!</v>
      </c>
      <c r="G63" s="63" t="e">
        <f t="shared" si="14"/>
        <v>#DIV/0!</v>
      </c>
      <c r="H63" s="63" t="e">
        <f t="shared" si="14"/>
        <v>#DIV/0!</v>
      </c>
      <c r="I63" s="63" t="e">
        <f t="shared" si="14"/>
        <v>#DIV/0!</v>
      </c>
      <c r="J63" s="63" t="e">
        <f t="shared" si="14"/>
        <v>#DIV/0!</v>
      </c>
      <c r="K63" s="63" t="e">
        <f t="shared" si="14"/>
        <v>#DIV/0!</v>
      </c>
      <c r="L63" s="63" t="e">
        <f t="shared" si="14"/>
        <v>#DIV/0!</v>
      </c>
      <c r="M63" s="63" t="e">
        <f t="shared" si="14"/>
        <v>#DIV/0!</v>
      </c>
      <c r="N63" s="11"/>
      <c r="O63" s="11"/>
      <c r="P63" s="11"/>
      <c r="Q63" s="11"/>
    </row>
    <row r="64" spans="1:17" ht="15.6" thickTop="1" thickBot="1" x14ac:dyDescent="0.35">
      <c r="A64" s="64" t="s">
        <v>42</v>
      </c>
      <c r="B64" s="36">
        <f>(0.858*B36)+(0.601*B37)+(0.188*(B31-(B21/10)))+(0.161*(B34-(B28/10)))-(0.131*B19)+4.5</f>
        <v>4.5</v>
      </c>
      <c r="C64" s="37">
        <f t="shared" ref="C64:M64" si="15">(0.858*C36)+(0.601*C37)+(0.188*(C31-(C21/10)))+(0.161*(C34-(C28/10)))-(0.131*C19)+4.5</f>
        <v>4.5</v>
      </c>
      <c r="D64" s="37">
        <f t="shared" si="15"/>
        <v>4.5</v>
      </c>
      <c r="E64" s="37">
        <f t="shared" si="15"/>
        <v>4.5</v>
      </c>
      <c r="F64" s="37">
        <f t="shared" si="15"/>
        <v>4.5</v>
      </c>
      <c r="G64" s="37">
        <f t="shared" si="15"/>
        <v>4.5</v>
      </c>
      <c r="H64" s="37">
        <f t="shared" si="15"/>
        <v>4.5</v>
      </c>
      <c r="I64" s="37">
        <f t="shared" si="15"/>
        <v>4.5</v>
      </c>
      <c r="J64" s="37">
        <f t="shared" si="15"/>
        <v>4.5</v>
      </c>
      <c r="K64" s="37">
        <f t="shared" si="15"/>
        <v>4.5</v>
      </c>
      <c r="L64" s="37">
        <f t="shared" si="15"/>
        <v>4.5</v>
      </c>
      <c r="M64" s="37">
        <f t="shared" si="15"/>
        <v>4.5</v>
      </c>
      <c r="N64" s="11"/>
      <c r="O64" s="11"/>
      <c r="P64" s="11"/>
      <c r="Q64" s="11"/>
    </row>
    <row r="65" spans="1:17" ht="15.6" thickTop="1" thickBot="1" x14ac:dyDescent="0.35">
      <c r="A65" s="65" t="s">
        <v>43</v>
      </c>
      <c r="B65" s="36" t="e">
        <f>IF(B66&gt;=40.75,(B66*0.732)-28.58,IF(AND(B66&lt;40.15,B66&gt;38.25),(B66*0.463)-17.63,IF(B66&lt;=38.25,0.1)))</f>
        <v>#DIV/0!</v>
      </c>
      <c r="C65" s="37" t="e">
        <f t="shared" ref="C65:M65" si="16">IF(C66&gt;=40.75,(C66*0.732)-28.58,IF(AND(C66&lt;40.15,C66&gt;38.25),(C66*0.463)-17.63,IF(C6&lt;=38.25,0.1)))</f>
        <v>#DIV/0!</v>
      </c>
      <c r="D65" s="37" t="e">
        <f t="shared" si="16"/>
        <v>#DIV/0!</v>
      </c>
      <c r="E65" s="37" t="e">
        <f t="shared" si="16"/>
        <v>#DIV/0!</v>
      </c>
      <c r="F65" s="37" t="e">
        <f t="shared" si="16"/>
        <v>#DIV/0!</v>
      </c>
      <c r="G65" s="37" t="e">
        <f t="shared" si="16"/>
        <v>#DIV/0!</v>
      </c>
      <c r="H65" s="37" t="e">
        <f t="shared" si="16"/>
        <v>#DIV/0!</v>
      </c>
      <c r="I65" s="37" t="e">
        <f t="shared" si="16"/>
        <v>#DIV/0!</v>
      </c>
      <c r="J65" s="37" t="e">
        <f t="shared" si="16"/>
        <v>#DIV/0!</v>
      </c>
      <c r="K65" s="37" t="e">
        <f t="shared" si="16"/>
        <v>#DIV/0!</v>
      </c>
      <c r="L65" s="37" t="e">
        <f t="shared" si="16"/>
        <v>#DIV/0!</v>
      </c>
      <c r="M65" s="37" t="e">
        <f t="shared" si="16"/>
        <v>#DIV/0!</v>
      </c>
      <c r="N65" s="11"/>
      <c r="O65" s="11"/>
      <c r="P65" s="11"/>
      <c r="Q65" s="11"/>
    </row>
    <row r="66" spans="1:17" ht="15.6" thickTop="1" thickBot="1" x14ac:dyDescent="0.35">
      <c r="A66" s="64" t="s">
        <v>44</v>
      </c>
      <c r="B66" s="36" t="e">
        <f>B19/POWER(B18,1/3)</f>
        <v>#DIV/0!</v>
      </c>
      <c r="C66" s="37" t="e">
        <f>C19/POWER(C18,1/3)</f>
        <v>#DIV/0!</v>
      </c>
      <c r="D66" s="37" t="e">
        <f t="shared" ref="D66:M66" si="17">D19/POWER(D18,1/3)</f>
        <v>#DIV/0!</v>
      </c>
      <c r="E66" s="37" t="e">
        <f t="shared" si="17"/>
        <v>#DIV/0!</v>
      </c>
      <c r="F66" s="37" t="e">
        <f t="shared" si="17"/>
        <v>#DIV/0!</v>
      </c>
      <c r="G66" s="37" t="e">
        <f t="shared" si="17"/>
        <v>#DIV/0!</v>
      </c>
      <c r="H66" s="37" t="e">
        <f t="shared" si="17"/>
        <v>#DIV/0!</v>
      </c>
      <c r="I66" s="37" t="e">
        <f t="shared" si="17"/>
        <v>#DIV/0!</v>
      </c>
      <c r="J66" s="37" t="e">
        <f t="shared" si="17"/>
        <v>#DIV/0!</v>
      </c>
      <c r="K66" s="37" t="e">
        <f t="shared" si="17"/>
        <v>#DIV/0!</v>
      </c>
      <c r="L66" s="37" t="e">
        <f t="shared" si="17"/>
        <v>#DIV/0!</v>
      </c>
      <c r="M66" s="37" t="e">
        <f t="shared" si="17"/>
        <v>#DIV/0!</v>
      </c>
      <c r="N66" s="11"/>
      <c r="O66" s="11"/>
      <c r="P66" s="11"/>
      <c r="Q66" s="11"/>
    </row>
    <row r="67" spans="1:17" ht="15" thickTop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3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7" x14ac:dyDescent="0.3">
      <c r="A84" s="11" t="s">
        <v>23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7" x14ac:dyDescent="0.3">
      <c r="A85" s="11" t="s">
        <v>24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</sheetData>
  <mergeCells count="9">
    <mergeCell ref="A62:M62"/>
    <mergeCell ref="A38:M38"/>
    <mergeCell ref="A1:M13"/>
    <mergeCell ref="A14:M14"/>
    <mergeCell ref="B16:M16"/>
    <mergeCell ref="B20:M20"/>
    <mergeCell ref="B29:M29"/>
    <mergeCell ref="B35:M35"/>
    <mergeCell ref="A57:M5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R74"/>
  <sheetViews>
    <sheetView topLeftCell="A12" zoomScaleNormal="100" workbookViewId="0">
      <selection activeCell="F17" sqref="F17"/>
    </sheetView>
  </sheetViews>
  <sheetFormatPr baseColWidth="10" defaultRowHeight="14.4" x14ac:dyDescent="0.3"/>
  <cols>
    <col min="2" max="2" width="12.6640625" customWidth="1"/>
    <col min="3" max="3" width="13.109375" customWidth="1"/>
    <col min="4" max="4" width="13.5546875" customWidth="1"/>
    <col min="5" max="5" width="15.44140625" customWidth="1"/>
    <col min="6" max="6" width="15" customWidth="1"/>
    <col min="7" max="7" width="15.109375" customWidth="1"/>
  </cols>
  <sheetData>
    <row r="1" spans="1:18" x14ac:dyDescent="0.3">
      <c r="A1" s="869"/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70"/>
      <c r="N1" s="11"/>
      <c r="O1" s="11"/>
      <c r="P1" s="11"/>
      <c r="Q1" s="11"/>
      <c r="R1" s="11"/>
    </row>
    <row r="2" spans="1:18" x14ac:dyDescent="0.3">
      <c r="A2" s="869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70"/>
      <c r="N2" s="11"/>
      <c r="O2" s="11"/>
      <c r="P2" s="11"/>
      <c r="Q2" s="11"/>
      <c r="R2" s="11"/>
    </row>
    <row r="3" spans="1:18" x14ac:dyDescent="0.3">
      <c r="A3" s="869"/>
      <c r="B3" s="869"/>
      <c r="C3" s="869"/>
      <c r="D3" s="869"/>
      <c r="E3" s="869"/>
      <c r="F3" s="869"/>
      <c r="G3" s="869"/>
      <c r="H3" s="869"/>
      <c r="I3" s="869"/>
      <c r="J3" s="869"/>
      <c r="K3" s="869"/>
      <c r="L3" s="869"/>
      <c r="M3" s="870"/>
      <c r="N3" s="11"/>
      <c r="O3" s="11"/>
      <c r="P3" s="11"/>
      <c r="Q3" s="11"/>
      <c r="R3" s="11"/>
    </row>
    <row r="4" spans="1:18" x14ac:dyDescent="0.3">
      <c r="A4" s="869"/>
      <c r="B4" s="869"/>
      <c r="C4" s="869"/>
      <c r="D4" s="869"/>
      <c r="E4" s="869"/>
      <c r="F4" s="869"/>
      <c r="G4" s="869"/>
      <c r="H4" s="869"/>
      <c r="I4" s="869"/>
      <c r="J4" s="869"/>
      <c r="K4" s="869"/>
      <c r="L4" s="869"/>
      <c r="M4" s="870"/>
      <c r="N4" s="11"/>
      <c r="O4" s="11"/>
      <c r="P4" s="11"/>
      <c r="Q4" s="11"/>
      <c r="R4" s="11"/>
    </row>
    <row r="5" spans="1:18" x14ac:dyDescent="0.3">
      <c r="A5" s="869"/>
      <c r="B5" s="869"/>
      <c r="C5" s="869"/>
      <c r="D5" s="869"/>
      <c r="E5" s="869"/>
      <c r="F5" s="869"/>
      <c r="G5" s="869"/>
      <c r="H5" s="869"/>
      <c r="I5" s="869"/>
      <c r="J5" s="869"/>
      <c r="K5" s="869"/>
      <c r="L5" s="869"/>
      <c r="M5" s="870"/>
      <c r="N5" s="11"/>
      <c r="O5" s="11"/>
      <c r="P5" s="11"/>
      <c r="Q5" s="11"/>
      <c r="R5" s="11"/>
    </row>
    <row r="6" spans="1:18" x14ac:dyDescent="0.3">
      <c r="A6" s="869"/>
      <c r="B6" s="869"/>
      <c r="C6" s="869"/>
      <c r="D6" s="869"/>
      <c r="E6" s="869"/>
      <c r="F6" s="869"/>
      <c r="G6" s="869"/>
      <c r="H6" s="869"/>
      <c r="I6" s="869"/>
      <c r="J6" s="869"/>
      <c r="K6" s="869"/>
      <c r="L6" s="869"/>
      <c r="M6" s="870"/>
      <c r="N6" s="11"/>
      <c r="O6" s="11"/>
      <c r="P6" s="11"/>
      <c r="Q6" s="11"/>
      <c r="R6" s="11"/>
    </row>
    <row r="7" spans="1:18" x14ac:dyDescent="0.3">
      <c r="A7" s="869"/>
      <c r="B7" s="869"/>
      <c r="C7" s="869"/>
      <c r="D7" s="869"/>
      <c r="E7" s="869"/>
      <c r="F7" s="869"/>
      <c r="G7" s="869"/>
      <c r="H7" s="869"/>
      <c r="I7" s="869"/>
      <c r="J7" s="869"/>
      <c r="K7" s="869"/>
      <c r="L7" s="869"/>
      <c r="M7" s="870"/>
      <c r="N7" s="11"/>
      <c r="O7" s="11"/>
      <c r="P7" s="11"/>
      <c r="Q7" s="11"/>
      <c r="R7" s="11"/>
    </row>
    <row r="8" spans="1:18" x14ac:dyDescent="0.3">
      <c r="A8" s="869"/>
      <c r="B8" s="869"/>
      <c r="C8" s="869"/>
      <c r="D8" s="869"/>
      <c r="E8" s="869"/>
      <c r="F8" s="869"/>
      <c r="G8" s="869"/>
      <c r="H8" s="869"/>
      <c r="I8" s="869"/>
      <c r="J8" s="869"/>
      <c r="K8" s="869"/>
      <c r="L8" s="869"/>
      <c r="M8" s="870"/>
      <c r="N8" s="11"/>
      <c r="O8" s="11"/>
      <c r="P8" s="11"/>
      <c r="Q8" s="11"/>
      <c r="R8" s="11"/>
    </row>
    <row r="9" spans="1:18" x14ac:dyDescent="0.3">
      <c r="A9" s="869"/>
      <c r="B9" s="869"/>
      <c r="C9" s="869"/>
      <c r="D9" s="869"/>
      <c r="E9" s="869"/>
      <c r="F9" s="869"/>
      <c r="G9" s="869"/>
      <c r="H9" s="869"/>
      <c r="I9" s="869"/>
      <c r="J9" s="869"/>
      <c r="K9" s="869"/>
      <c r="L9" s="869"/>
      <c r="M9" s="870"/>
      <c r="N9" s="11"/>
      <c r="O9" s="11"/>
      <c r="P9" s="11"/>
      <c r="Q9" s="11"/>
      <c r="R9" s="11"/>
    </row>
    <row r="10" spans="1:18" x14ac:dyDescent="0.3">
      <c r="A10" s="869"/>
      <c r="B10" s="869"/>
      <c r="C10" s="869"/>
      <c r="D10" s="869"/>
      <c r="E10" s="869"/>
      <c r="F10" s="869"/>
      <c r="G10" s="869"/>
      <c r="H10" s="869"/>
      <c r="I10" s="869"/>
      <c r="J10" s="869"/>
      <c r="K10" s="869"/>
      <c r="L10" s="869"/>
      <c r="M10" s="870"/>
      <c r="N10" s="11"/>
      <c r="O10" s="11"/>
      <c r="P10" s="11"/>
      <c r="Q10" s="11"/>
      <c r="R10" s="11"/>
    </row>
    <row r="11" spans="1:18" x14ac:dyDescent="0.3">
      <c r="A11" s="869"/>
      <c r="B11" s="869"/>
      <c r="C11" s="869"/>
      <c r="D11" s="869"/>
      <c r="E11" s="869"/>
      <c r="F11" s="869"/>
      <c r="G11" s="869"/>
      <c r="H11" s="869"/>
      <c r="I11" s="869"/>
      <c r="J11" s="869"/>
      <c r="K11" s="869"/>
      <c r="L11" s="869"/>
      <c r="M11" s="870"/>
      <c r="N11" s="11"/>
      <c r="O11" s="11"/>
      <c r="P11" s="11"/>
      <c r="Q11" s="11"/>
      <c r="R11" s="11"/>
    </row>
    <row r="12" spans="1:18" x14ac:dyDescent="0.3">
      <c r="A12" s="869"/>
      <c r="B12" s="869"/>
      <c r="C12" s="869"/>
      <c r="D12" s="869"/>
      <c r="E12" s="869"/>
      <c r="F12" s="869"/>
      <c r="G12" s="869"/>
      <c r="H12" s="869"/>
      <c r="I12" s="869"/>
      <c r="J12" s="869"/>
      <c r="K12" s="869"/>
      <c r="L12" s="869"/>
      <c r="M12" s="870"/>
      <c r="N12" s="11"/>
      <c r="O12" s="11"/>
      <c r="P12" s="11"/>
      <c r="Q12" s="11"/>
      <c r="R12" s="11"/>
    </row>
    <row r="13" spans="1:18" ht="15" thickBot="1" x14ac:dyDescent="0.35">
      <c r="A13" s="869"/>
      <c r="B13" s="869"/>
      <c r="C13" s="869"/>
      <c r="D13" s="869"/>
      <c r="E13" s="869"/>
      <c r="F13" s="869"/>
      <c r="G13" s="869"/>
      <c r="H13" s="869"/>
      <c r="I13" s="869"/>
      <c r="J13" s="869"/>
      <c r="K13" s="869"/>
      <c r="L13" s="869"/>
      <c r="M13" s="870"/>
      <c r="N13" s="11"/>
      <c r="O13" s="11"/>
      <c r="P13" s="11"/>
      <c r="Q13" s="11"/>
      <c r="R13" s="11"/>
    </row>
    <row r="14" spans="1:18" ht="15.6" thickTop="1" thickBot="1" x14ac:dyDescent="0.35">
      <c r="A14" s="880" t="s">
        <v>45</v>
      </c>
      <c r="B14" s="881"/>
      <c r="C14" s="881"/>
      <c r="D14" s="881"/>
      <c r="E14" s="881"/>
      <c r="F14" s="881"/>
      <c r="G14" s="881"/>
      <c r="H14" s="881"/>
      <c r="I14" s="881"/>
      <c r="J14" s="881"/>
      <c r="K14" s="881"/>
      <c r="L14" s="881"/>
      <c r="M14" s="882"/>
      <c r="N14" s="11"/>
      <c r="O14" s="11"/>
      <c r="P14" s="11"/>
      <c r="Q14" s="11"/>
      <c r="R14" s="11"/>
    </row>
    <row r="15" spans="1:18" ht="15.6" thickTop="1" thickBot="1" x14ac:dyDescent="0.35">
      <c r="A15" s="11"/>
      <c r="B15" s="68" t="s">
        <v>47</v>
      </c>
      <c r="C15" s="69" t="s">
        <v>41</v>
      </c>
      <c r="D15" s="70" t="s">
        <v>42</v>
      </c>
      <c r="E15" s="69" t="s">
        <v>46</v>
      </c>
      <c r="F15" s="69" t="s">
        <v>49</v>
      </c>
      <c r="G15" s="71" t="s">
        <v>50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15" thickTop="1" x14ac:dyDescent="0.3">
      <c r="A16" s="11"/>
      <c r="B16" s="4">
        <f>'DATOS ANTROPOMÉTRICOS'!B17</f>
        <v>0</v>
      </c>
      <c r="C16" s="3" t="e">
        <f>'DATOS ANTROPOMÉTRICOS'!B63</f>
        <v>#DIV/0!</v>
      </c>
      <c r="D16" s="3">
        <f>'DATOS ANTROPOMÉTRICOS'!B64</f>
        <v>4.5</v>
      </c>
      <c r="E16" s="3" t="e">
        <f>'DATOS ANTROPOMÉTRICOS'!B65</f>
        <v>#DIV/0!</v>
      </c>
      <c r="F16" s="3" t="e">
        <f>E16-C16</f>
        <v>#DIV/0!</v>
      </c>
      <c r="G16" s="3" t="e">
        <f>(2*D16)-(E16+C16)</f>
        <v>#DIV/0!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3">
      <c r="A17" s="11"/>
      <c r="B17" s="5">
        <f>'DATOS ANTROPOMÉTRICOS'!C17</f>
        <v>0</v>
      </c>
      <c r="C17" s="1" t="e">
        <f>'DATOS ANTROPOMÉTRICOS'!C63</f>
        <v>#DIV/0!</v>
      </c>
      <c r="D17" s="1">
        <f>'DATOS ANTROPOMÉTRICOS'!C64</f>
        <v>4.5</v>
      </c>
      <c r="E17" s="1" t="e">
        <f>'DATOS ANTROPOMÉTRICOS'!C65</f>
        <v>#DIV/0!</v>
      </c>
      <c r="F17" s="1" t="e">
        <f t="shared" ref="F17:F26" si="0">E17-C17</f>
        <v>#DIV/0!</v>
      </c>
      <c r="G17" s="1" t="e">
        <f t="shared" ref="G17:G26" si="1">(2*D17)-(E17+C17)</f>
        <v>#DIV/0!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3">
      <c r="A18" s="11"/>
      <c r="B18" s="5">
        <f>'DATOS ANTROPOMÉTRICOS'!D17</f>
        <v>0</v>
      </c>
      <c r="C18" s="1" t="e">
        <f>'DATOS ANTROPOMÉTRICOS'!D63</f>
        <v>#DIV/0!</v>
      </c>
      <c r="D18" s="1">
        <f>'DATOS ANTROPOMÉTRICOS'!D64</f>
        <v>4.5</v>
      </c>
      <c r="E18" s="1" t="e">
        <f>'DATOS ANTROPOMÉTRICOS'!D65</f>
        <v>#DIV/0!</v>
      </c>
      <c r="F18" s="1" t="e">
        <f t="shared" si="0"/>
        <v>#DIV/0!</v>
      </c>
      <c r="G18" s="1" t="e">
        <f t="shared" si="1"/>
        <v>#DIV/0!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3">
      <c r="A19" s="11"/>
      <c r="B19" s="2">
        <f>'DATOS ANTROPOMÉTRICOS'!B20</f>
        <v>0</v>
      </c>
      <c r="C19" s="1" t="e">
        <f>'DATOS ANTROPOMÉTRICOS'!D63</f>
        <v>#DIV/0!</v>
      </c>
      <c r="D19" s="1">
        <f>'DATOS ANTROPOMÉTRICOS'!E64</f>
        <v>4.5</v>
      </c>
      <c r="E19" s="1" t="e">
        <f>'DATOS ANTROPOMÉTRICOS'!E65</f>
        <v>#DIV/0!</v>
      </c>
      <c r="F19" s="1" t="e">
        <f t="shared" si="0"/>
        <v>#DIV/0!</v>
      </c>
      <c r="G19" s="1" t="e">
        <f t="shared" si="1"/>
        <v>#DIV/0!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3">
      <c r="A20" s="11"/>
      <c r="B20" s="2">
        <f>'DATOS ANTROPOMÉTRICOS'!E17</f>
        <v>0</v>
      </c>
      <c r="C20" s="1" t="e">
        <f>'DATOS ANTROPOMÉTRICOS'!E63</f>
        <v>#DIV/0!</v>
      </c>
      <c r="D20" s="1">
        <f>'DATOS ANTROPOMÉTRICOS'!F64</f>
        <v>4.5</v>
      </c>
      <c r="E20" s="1" t="e">
        <f>'DATOS ANTROPOMÉTRICOS'!E65</f>
        <v>#DIV/0!</v>
      </c>
      <c r="F20" s="1" t="e">
        <f t="shared" si="0"/>
        <v>#DIV/0!</v>
      </c>
      <c r="G20" s="1" t="e">
        <f t="shared" si="1"/>
        <v>#DIV/0!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3">
      <c r="A21" s="11"/>
      <c r="B21" s="2">
        <f>'DATOS ANTROPOMÉTRICOS'!F17</f>
        <v>0</v>
      </c>
      <c r="C21" s="1" t="e">
        <f>'DATOS ANTROPOMÉTRICOS'!F63</f>
        <v>#DIV/0!</v>
      </c>
      <c r="D21" s="1">
        <f>'DATOS ANTROPOMÉTRICOS'!G64</f>
        <v>4.5</v>
      </c>
      <c r="E21" s="1" t="e">
        <f>'DATOS ANTROPOMÉTRICOS'!F65</f>
        <v>#DIV/0!</v>
      </c>
      <c r="F21" s="1" t="e">
        <f t="shared" si="0"/>
        <v>#DIV/0!</v>
      </c>
      <c r="G21" s="1" t="e">
        <f t="shared" si="1"/>
        <v>#DIV/0!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3">
      <c r="A22" s="11"/>
      <c r="B22" s="2">
        <f>'DATOS ANTROPOMÉTRICOS'!G17</f>
        <v>0</v>
      </c>
      <c r="C22" s="1" t="e">
        <f>'DATOS ANTROPOMÉTRICOS'!G63</f>
        <v>#DIV/0!</v>
      </c>
      <c r="D22" s="1">
        <f>'DATOS ANTROPOMÉTRICOS'!F64</f>
        <v>4.5</v>
      </c>
      <c r="E22" s="1" t="e">
        <f>'DATOS ANTROPOMÉTRICOS'!G65</f>
        <v>#DIV/0!</v>
      </c>
      <c r="F22" s="1" t="e">
        <f t="shared" si="0"/>
        <v>#DIV/0!</v>
      </c>
      <c r="G22" s="1" t="e">
        <f t="shared" si="1"/>
        <v>#DIV/0!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3">
      <c r="A23" s="11"/>
      <c r="B23" s="2">
        <f>'DATOS ANTROPOMÉTRICOS'!H17</f>
        <v>0</v>
      </c>
      <c r="C23" s="1" t="e">
        <f>'DATOS ANTROPOMÉTRICOS'!H63</f>
        <v>#DIV/0!</v>
      </c>
      <c r="D23" s="1">
        <f>'DATOS ANTROPOMÉTRICOS'!H64</f>
        <v>4.5</v>
      </c>
      <c r="E23" s="1" t="e">
        <f>'DATOS ANTROPOMÉTRICOS'!H65</f>
        <v>#DIV/0!</v>
      </c>
      <c r="F23" s="1" t="e">
        <f t="shared" si="0"/>
        <v>#DIV/0!</v>
      </c>
      <c r="G23" s="1" t="e">
        <f t="shared" si="1"/>
        <v>#DIV/0!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">
      <c r="A24" s="11"/>
      <c r="B24" s="2">
        <f>'DATOS ANTROPOMÉTRICOS'!I17</f>
        <v>0</v>
      </c>
      <c r="C24" s="1" t="e">
        <f>'DATOS ANTROPOMÉTRICOS'!I63</f>
        <v>#DIV/0!</v>
      </c>
      <c r="D24" s="1">
        <f>'DATOS ANTROPOMÉTRICOS'!I64</f>
        <v>4.5</v>
      </c>
      <c r="E24" s="1" t="e">
        <f>'DATOS ANTROPOMÉTRICOS'!I65</f>
        <v>#DIV/0!</v>
      </c>
      <c r="F24" s="1" t="e">
        <f t="shared" si="0"/>
        <v>#DIV/0!</v>
      </c>
      <c r="G24" s="1" t="e">
        <f t="shared" si="1"/>
        <v>#DIV/0!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3">
      <c r="A25" s="11"/>
      <c r="B25" s="2">
        <f>'DATOS ANTROPOMÉTRICOS'!J17</f>
        <v>0</v>
      </c>
      <c r="C25" s="1" t="e">
        <f>'DATOS ANTROPOMÉTRICOS'!J63</f>
        <v>#DIV/0!</v>
      </c>
      <c r="D25" s="1">
        <f>'DATOS ANTROPOMÉTRICOS'!J64</f>
        <v>4.5</v>
      </c>
      <c r="E25" s="1" t="e">
        <f>'DATOS ANTROPOMÉTRICOS'!J65</f>
        <v>#DIV/0!</v>
      </c>
      <c r="F25" s="1" t="e">
        <f t="shared" si="0"/>
        <v>#DIV/0!</v>
      </c>
      <c r="G25" s="1" t="e">
        <f t="shared" si="1"/>
        <v>#DIV/0!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3">
      <c r="A26" s="11"/>
      <c r="B26" s="2">
        <f>'DATOS ANTROPOMÉTRICOS'!K17</f>
        <v>0</v>
      </c>
      <c r="C26" s="1" t="e">
        <f>'DATOS ANTROPOMÉTRICOS'!K63</f>
        <v>#DIV/0!</v>
      </c>
      <c r="D26" s="1">
        <f>'DATOS ANTROPOMÉTRICOS'!K64</f>
        <v>4.5</v>
      </c>
      <c r="E26" s="1" t="e">
        <f>'DATOS ANTROPOMÉTRICOS'!K65</f>
        <v>#DIV/0!</v>
      </c>
      <c r="F26" s="1" t="e">
        <f t="shared" si="0"/>
        <v>#DIV/0!</v>
      </c>
      <c r="G26" s="1" t="e">
        <f t="shared" si="1"/>
        <v>#DIV/0!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</sheetData>
  <mergeCells count="2">
    <mergeCell ref="A1:M13"/>
    <mergeCell ref="A14:M1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4:J100"/>
  <sheetViews>
    <sheetView view="pageLayout" topLeftCell="A51" zoomScaleNormal="100" workbookViewId="0">
      <selection activeCell="A51" sqref="A51:J51"/>
    </sheetView>
  </sheetViews>
  <sheetFormatPr baseColWidth="10" defaultRowHeight="14.4" x14ac:dyDescent="0.3"/>
  <cols>
    <col min="1" max="1" width="9.6640625" style="11" customWidth="1"/>
    <col min="2" max="2" width="8.5546875" style="11" customWidth="1"/>
    <col min="3" max="3" width="8.109375" style="11" customWidth="1"/>
    <col min="4" max="4" width="12.109375" style="11" customWidth="1"/>
    <col min="5" max="5" width="9" style="11" customWidth="1"/>
    <col min="6" max="6" width="12.33203125" style="11" customWidth="1"/>
    <col min="7" max="7" width="8" style="11" customWidth="1"/>
    <col min="8" max="8" width="10.6640625" style="11" customWidth="1"/>
    <col min="9" max="9" width="9" style="11" customWidth="1"/>
    <col min="10" max="10" width="10.33203125" style="11" customWidth="1"/>
  </cols>
  <sheetData>
    <row r="4" spans="1:10" x14ac:dyDescent="0.3">
      <c r="A4" s="576" t="s">
        <v>214</v>
      </c>
      <c r="B4" s="576"/>
      <c r="C4" s="576"/>
      <c r="D4" s="576"/>
      <c r="E4" s="576"/>
      <c r="F4" s="576"/>
      <c r="G4" s="576"/>
      <c r="H4" s="576"/>
      <c r="I4" s="576"/>
      <c r="J4" s="576"/>
    </row>
    <row r="5" spans="1:10" x14ac:dyDescent="0.3">
      <c r="A5" s="66"/>
      <c r="B5" s="66"/>
      <c r="C5" s="66"/>
      <c r="D5" s="66"/>
      <c r="E5" s="576" t="s">
        <v>215</v>
      </c>
      <c r="F5" s="576"/>
      <c r="G5" s="66"/>
      <c r="H5" s="66"/>
    </row>
    <row r="6" spans="1:10" ht="15" thickBot="1" x14ac:dyDescent="0.35"/>
    <row r="7" spans="1:10" ht="15" thickBot="1" x14ac:dyDescent="0.35">
      <c r="A7" s="936" t="s">
        <v>216</v>
      </c>
      <c r="B7" s="937"/>
      <c r="C7" s="937"/>
      <c r="D7" s="937"/>
      <c r="E7" s="937"/>
      <c r="F7" s="937"/>
      <c r="G7" s="937"/>
      <c r="H7" s="937"/>
      <c r="I7" s="937"/>
      <c r="J7" s="938"/>
    </row>
    <row r="8" spans="1:10" x14ac:dyDescent="0.3">
      <c r="A8" s="85"/>
      <c r="B8" s="74"/>
      <c r="C8" s="74"/>
      <c r="D8" s="74"/>
      <c r="E8" s="74"/>
      <c r="F8" s="74"/>
      <c r="G8" s="74"/>
      <c r="H8" s="74"/>
      <c r="I8" s="74"/>
      <c r="J8" s="86"/>
    </row>
    <row r="9" spans="1:10" x14ac:dyDescent="0.3">
      <c r="A9" s="934" t="s">
        <v>54</v>
      </c>
      <c r="B9" s="935"/>
      <c r="C9" s="939">
        <f>HISTORIA!C4</f>
        <v>0</v>
      </c>
      <c r="D9" s="939"/>
      <c r="E9" s="935" t="s">
        <v>55</v>
      </c>
      <c r="F9" s="935"/>
      <c r="G9" s="81">
        <f>HISTORIA!C8</f>
        <v>0</v>
      </c>
      <c r="H9" s="73"/>
      <c r="I9" s="79" t="s">
        <v>198</v>
      </c>
      <c r="J9" s="87"/>
    </row>
    <row r="10" spans="1:10" ht="15" thickBot="1" x14ac:dyDescent="0.35">
      <c r="A10" s="80"/>
      <c r="B10" s="75"/>
      <c r="C10" s="75"/>
      <c r="D10" s="75"/>
      <c r="E10" s="75"/>
      <c r="F10" s="75"/>
      <c r="G10" s="75"/>
      <c r="H10" s="75"/>
      <c r="I10" s="75"/>
      <c r="J10" s="88"/>
    </row>
    <row r="11" spans="1:10" ht="15" thickBot="1" x14ac:dyDescent="0.35">
      <c r="A11" s="931" t="s">
        <v>217</v>
      </c>
      <c r="B11" s="932"/>
      <c r="C11" s="932"/>
      <c r="D11" s="932"/>
      <c r="E11" s="932"/>
      <c r="F11" s="932"/>
      <c r="G11" s="932"/>
      <c r="H11" s="932"/>
      <c r="I11" s="932"/>
      <c r="J11" s="933"/>
    </row>
    <row r="12" spans="1:10" ht="15" thickBot="1" x14ac:dyDescent="0.35">
      <c r="A12" s="921" t="s">
        <v>218</v>
      </c>
      <c r="B12" s="921"/>
      <c r="C12" s="921">
        <v>1</v>
      </c>
      <c r="D12" s="921"/>
      <c r="E12" s="921">
        <v>2</v>
      </c>
      <c r="F12" s="921"/>
      <c r="G12" s="921">
        <v>3</v>
      </c>
      <c r="H12" s="921"/>
      <c r="I12" s="921">
        <v>4</v>
      </c>
      <c r="J12" s="921"/>
    </row>
    <row r="13" spans="1:10" ht="15" thickBot="1" x14ac:dyDescent="0.35">
      <c r="A13" s="921" t="s">
        <v>219</v>
      </c>
      <c r="B13" s="921"/>
      <c r="C13" s="920"/>
      <c r="D13" s="920"/>
      <c r="E13" s="920"/>
      <c r="F13" s="920"/>
      <c r="G13" s="920"/>
      <c r="H13" s="920"/>
      <c r="I13" s="920"/>
      <c r="J13" s="920"/>
    </row>
    <row r="14" spans="1:10" ht="15" thickBot="1" x14ac:dyDescent="0.35">
      <c r="A14" s="917" t="s">
        <v>220</v>
      </c>
      <c r="B14" s="918"/>
      <c r="C14" s="918"/>
      <c r="D14" s="918"/>
      <c r="E14" s="918"/>
      <c r="F14" s="918"/>
      <c r="G14" s="918"/>
      <c r="H14" s="918"/>
      <c r="I14" s="918"/>
      <c r="J14" s="919"/>
    </row>
    <row r="15" spans="1:10" ht="15" thickBot="1" x14ac:dyDescent="0.35">
      <c r="A15" s="927" t="s">
        <v>1</v>
      </c>
      <c r="B15" s="928" t="s">
        <v>1</v>
      </c>
      <c r="C15" s="920"/>
      <c r="D15" s="920"/>
      <c r="E15" s="920"/>
      <c r="F15" s="920"/>
      <c r="G15" s="920"/>
      <c r="H15" s="920"/>
      <c r="I15" s="920"/>
      <c r="J15" s="920"/>
    </row>
    <row r="16" spans="1:10" ht="15" thickBot="1" x14ac:dyDescent="0.35">
      <c r="A16" s="927" t="s">
        <v>5</v>
      </c>
      <c r="B16" s="928" t="s">
        <v>5</v>
      </c>
      <c r="C16" s="920"/>
      <c r="D16" s="920"/>
      <c r="E16" s="920"/>
      <c r="F16" s="920"/>
      <c r="G16" s="920"/>
      <c r="H16" s="920"/>
      <c r="I16" s="920"/>
      <c r="J16" s="920"/>
    </row>
    <row r="17" spans="1:10" ht="15" thickBot="1" x14ac:dyDescent="0.35">
      <c r="A17" s="917" t="s">
        <v>221</v>
      </c>
      <c r="B17" s="918"/>
      <c r="C17" s="918"/>
      <c r="D17" s="918"/>
      <c r="E17" s="918"/>
      <c r="F17" s="918"/>
      <c r="G17" s="918"/>
      <c r="H17" s="918"/>
      <c r="I17" s="918"/>
      <c r="J17" s="919"/>
    </row>
    <row r="18" spans="1:10" ht="15" thickBot="1" x14ac:dyDescent="0.35">
      <c r="A18" s="921" t="s">
        <v>199</v>
      </c>
      <c r="B18" s="921" t="s">
        <v>199</v>
      </c>
      <c r="C18" s="920"/>
      <c r="D18" s="920"/>
      <c r="E18" s="920"/>
      <c r="F18" s="920"/>
      <c r="G18" s="920"/>
      <c r="H18" s="920"/>
      <c r="I18" s="920"/>
      <c r="J18" s="920"/>
    </row>
    <row r="19" spans="1:10" ht="15" thickBot="1" x14ac:dyDescent="0.35">
      <c r="A19" s="921" t="s">
        <v>6</v>
      </c>
      <c r="B19" s="921" t="s">
        <v>6</v>
      </c>
      <c r="C19" s="920"/>
      <c r="D19" s="920"/>
      <c r="E19" s="920"/>
      <c r="F19" s="920"/>
      <c r="G19" s="920"/>
      <c r="H19" s="920"/>
      <c r="I19" s="920"/>
      <c r="J19" s="920"/>
    </row>
    <row r="20" spans="1:10" ht="15" thickBot="1" x14ac:dyDescent="0.35">
      <c r="A20" s="921" t="s">
        <v>202</v>
      </c>
      <c r="B20" s="921" t="s">
        <v>202</v>
      </c>
      <c r="C20" s="920"/>
      <c r="D20" s="920"/>
      <c r="E20" s="920"/>
      <c r="F20" s="920"/>
      <c r="G20" s="920"/>
      <c r="H20" s="920"/>
      <c r="I20" s="920"/>
      <c r="J20" s="920"/>
    </row>
    <row r="21" spans="1:10" ht="15" thickBot="1" x14ac:dyDescent="0.35">
      <c r="A21" s="921" t="s">
        <v>203</v>
      </c>
      <c r="B21" s="921" t="s">
        <v>203</v>
      </c>
      <c r="C21" s="920"/>
      <c r="D21" s="920"/>
      <c r="E21" s="920"/>
      <c r="F21" s="920"/>
      <c r="G21" s="920"/>
      <c r="H21" s="920"/>
      <c r="I21" s="920"/>
      <c r="J21" s="920"/>
    </row>
    <row r="22" spans="1:10" ht="15" thickBot="1" x14ac:dyDescent="0.35">
      <c r="A22" s="921" t="s">
        <v>9</v>
      </c>
      <c r="B22" s="921" t="s">
        <v>9</v>
      </c>
      <c r="C22" s="920"/>
      <c r="D22" s="920"/>
      <c r="E22" s="920"/>
      <c r="F22" s="920"/>
      <c r="G22" s="920"/>
      <c r="H22" s="920"/>
      <c r="I22" s="920"/>
      <c r="J22" s="920"/>
    </row>
    <row r="23" spans="1:10" ht="15" thickBot="1" x14ac:dyDescent="0.35">
      <c r="A23" s="921" t="s">
        <v>10</v>
      </c>
      <c r="B23" s="921" t="s">
        <v>10</v>
      </c>
      <c r="C23" s="920"/>
      <c r="D23" s="920"/>
      <c r="E23" s="920"/>
      <c r="F23" s="920"/>
      <c r="G23" s="920"/>
      <c r="H23" s="920"/>
      <c r="I23" s="920"/>
      <c r="J23" s="920"/>
    </row>
    <row r="24" spans="1:10" ht="15" thickBot="1" x14ac:dyDescent="0.35">
      <c r="A24" s="921" t="s">
        <v>200</v>
      </c>
      <c r="B24" s="921" t="s">
        <v>200</v>
      </c>
      <c r="C24" s="920"/>
      <c r="D24" s="920"/>
      <c r="E24" s="920"/>
      <c r="F24" s="920"/>
      <c r="G24" s="920"/>
      <c r="H24" s="920"/>
      <c r="I24" s="920"/>
      <c r="J24" s="920"/>
    </row>
    <row r="25" spans="1:10" ht="15" thickBot="1" x14ac:dyDescent="0.35">
      <c r="A25" s="921" t="s">
        <v>201</v>
      </c>
      <c r="B25" s="921" t="s">
        <v>201</v>
      </c>
      <c r="C25" s="920"/>
      <c r="D25" s="920"/>
      <c r="E25" s="920"/>
      <c r="F25" s="920"/>
      <c r="G25" s="920"/>
      <c r="H25" s="920"/>
      <c r="I25" s="920"/>
      <c r="J25" s="920"/>
    </row>
    <row r="26" spans="1:10" ht="15" thickBot="1" x14ac:dyDescent="0.35">
      <c r="A26" s="917" t="s">
        <v>222</v>
      </c>
      <c r="B26" s="918"/>
      <c r="C26" s="918"/>
      <c r="D26" s="918"/>
      <c r="E26" s="918"/>
      <c r="F26" s="918"/>
      <c r="G26" s="918"/>
      <c r="H26" s="918"/>
      <c r="I26" s="918"/>
      <c r="J26" s="919"/>
    </row>
    <row r="27" spans="1:10" ht="15" thickBot="1" x14ac:dyDescent="0.35">
      <c r="A27" s="921" t="s">
        <v>204</v>
      </c>
      <c r="B27" s="921" t="s">
        <v>204</v>
      </c>
      <c r="C27" s="920"/>
      <c r="D27" s="920"/>
      <c r="E27" s="920"/>
      <c r="F27" s="920"/>
      <c r="G27" s="920"/>
      <c r="H27" s="920"/>
      <c r="I27" s="920"/>
      <c r="J27" s="920"/>
    </row>
    <row r="28" spans="1:10" ht="15" thickBot="1" x14ac:dyDescent="0.35">
      <c r="A28" s="921" t="s">
        <v>223</v>
      </c>
      <c r="B28" s="921" t="s">
        <v>205</v>
      </c>
      <c r="C28" s="920"/>
      <c r="D28" s="920"/>
      <c r="E28" s="920"/>
      <c r="F28" s="920"/>
      <c r="G28" s="920"/>
      <c r="H28" s="920"/>
      <c r="I28" s="920"/>
      <c r="J28" s="920"/>
    </row>
    <row r="29" spans="1:10" ht="15" thickBot="1" x14ac:dyDescent="0.35">
      <c r="A29" s="921" t="s">
        <v>206</v>
      </c>
      <c r="B29" s="921" t="s">
        <v>206</v>
      </c>
      <c r="C29" s="920"/>
      <c r="D29" s="920"/>
      <c r="E29" s="920"/>
      <c r="F29" s="920"/>
      <c r="G29" s="920"/>
      <c r="H29" s="920"/>
      <c r="I29" s="920"/>
      <c r="J29" s="920"/>
    </row>
    <row r="30" spans="1:10" ht="15" thickBot="1" x14ac:dyDescent="0.35">
      <c r="A30" s="921" t="s">
        <v>207</v>
      </c>
      <c r="B30" s="921" t="s">
        <v>207</v>
      </c>
      <c r="C30" s="920"/>
      <c r="D30" s="920"/>
      <c r="E30" s="920"/>
      <c r="F30" s="920"/>
      <c r="G30" s="920"/>
      <c r="H30" s="920"/>
      <c r="I30" s="920"/>
      <c r="J30" s="920"/>
    </row>
    <row r="31" spans="1:10" ht="15" thickBot="1" x14ac:dyDescent="0.35">
      <c r="A31" s="921" t="s">
        <v>208</v>
      </c>
      <c r="B31" s="921" t="s">
        <v>208</v>
      </c>
      <c r="C31" s="920"/>
      <c r="D31" s="920"/>
      <c r="E31" s="920"/>
      <c r="F31" s="920"/>
      <c r="G31" s="920"/>
      <c r="H31" s="920"/>
      <c r="I31" s="920"/>
      <c r="J31" s="920"/>
    </row>
    <row r="32" spans="1:10" ht="15" thickBot="1" x14ac:dyDescent="0.35">
      <c r="A32" s="921" t="s">
        <v>209</v>
      </c>
      <c r="B32" s="921" t="s">
        <v>209</v>
      </c>
      <c r="C32" s="920"/>
      <c r="D32" s="920"/>
      <c r="E32" s="920"/>
      <c r="F32" s="920"/>
      <c r="G32" s="920"/>
      <c r="H32" s="920"/>
      <c r="I32" s="920"/>
      <c r="J32" s="920"/>
    </row>
    <row r="33" spans="1:10" ht="15" thickBot="1" x14ac:dyDescent="0.35">
      <c r="A33" s="921" t="s">
        <v>201</v>
      </c>
      <c r="B33" s="921" t="s">
        <v>201</v>
      </c>
      <c r="C33" s="920"/>
      <c r="D33" s="920"/>
      <c r="E33" s="920"/>
      <c r="F33" s="920"/>
      <c r="G33" s="920"/>
      <c r="H33" s="920"/>
      <c r="I33" s="920"/>
      <c r="J33" s="920"/>
    </row>
    <row r="34" spans="1:10" ht="15" thickBot="1" x14ac:dyDescent="0.35">
      <c r="A34" s="917" t="s">
        <v>224</v>
      </c>
      <c r="B34" s="918"/>
      <c r="C34" s="918"/>
      <c r="D34" s="918"/>
      <c r="E34" s="918"/>
      <c r="F34" s="918"/>
      <c r="G34" s="918"/>
      <c r="H34" s="918"/>
      <c r="I34" s="918"/>
      <c r="J34" s="919"/>
    </row>
    <row r="35" spans="1:10" ht="15" thickBot="1" x14ac:dyDescent="0.35">
      <c r="A35" s="923" t="s">
        <v>225</v>
      </c>
      <c r="B35" s="924"/>
      <c r="C35" s="927">
        <v>1</v>
      </c>
      <c r="D35" s="928"/>
      <c r="E35" s="927">
        <v>2</v>
      </c>
      <c r="F35" s="928"/>
      <c r="G35" s="927">
        <v>3</v>
      </c>
      <c r="H35" s="928"/>
      <c r="I35" s="927">
        <v>4</v>
      </c>
      <c r="J35" s="928"/>
    </row>
    <row r="36" spans="1:10" ht="15" thickBot="1" x14ac:dyDescent="0.35">
      <c r="A36" s="925"/>
      <c r="B36" s="926"/>
      <c r="C36" s="91" t="s">
        <v>227</v>
      </c>
      <c r="D36" s="91" t="s">
        <v>228</v>
      </c>
      <c r="E36" s="91" t="s">
        <v>227</v>
      </c>
      <c r="F36" s="91" t="s">
        <v>228</v>
      </c>
      <c r="G36" s="91" t="s">
        <v>227</v>
      </c>
      <c r="H36" s="91" t="s">
        <v>228</v>
      </c>
      <c r="I36" s="91" t="s">
        <v>227</v>
      </c>
      <c r="J36" s="91" t="s">
        <v>228</v>
      </c>
    </row>
    <row r="37" spans="1:10" ht="15" thickBot="1" x14ac:dyDescent="0.35">
      <c r="A37" s="940" t="s">
        <v>229</v>
      </c>
      <c r="B37" s="940"/>
      <c r="C37" s="89" t="e">
        <f>IF($A37="% Grasa (Durnin y W., 1974)",#REF!,IF($A37="% Grasa (Carter, 1986)",#REF!,IF($A37="% Grasa Brook (1-11 años)",#REF!,IF($A37="% Grasa Durnin (12-16 años)",#REF!))))</f>
        <v>#REF!</v>
      </c>
      <c r="D37" s="90"/>
      <c r="E37" s="90" t="e">
        <f>IF($A37="% Grasa (Durnin y W., 1974)",#REF!,IF($A37="% Grasa (Carter, 1986)",#REF!,IF($A37="% Grasa Brook (1-11 años)",#REF!,IF($A37="% Grasa Durnin (12-16 años)",#REF!))))</f>
        <v>#REF!</v>
      </c>
      <c r="F37" s="90"/>
      <c r="G37" s="90" t="e">
        <f>IF($A37="% Grasa (Durnin y W., 1974)",#REF!,IF($A37="% Grasa (Carter, 1986)",#REF!,IF($A37="% Grasa Brook (1-11 años)",#REF!,IF($A37="% Grasa Durnin (12-16 años)",#REF!))))</f>
        <v>#REF!</v>
      </c>
      <c r="H37" s="90"/>
      <c r="I37" s="90" t="e">
        <f>IF($A37="% Grasa (Durnin y W., 1974)",#REF!,IF($A37="% Grasa (Carter, 1986)",#REF!,IF($A37="% Grasa Brook (1-11 años)",#REF!,IF($A37="% Grasa Durnin (12-16 años)",#REF!))))</f>
        <v>#REF!</v>
      </c>
      <c r="J37" s="90"/>
    </row>
    <row r="38" spans="1:10" ht="15" thickBot="1" x14ac:dyDescent="0.35">
      <c r="A38" s="929" t="s">
        <v>226</v>
      </c>
      <c r="B38" s="929"/>
      <c r="C38" s="90" t="e">
        <f>#REF!</f>
        <v>#REF!</v>
      </c>
      <c r="D38" s="90"/>
      <c r="E38" s="90" t="e">
        <f>#REF!</f>
        <v>#REF!</v>
      </c>
      <c r="F38" s="90"/>
      <c r="G38" s="90" t="e">
        <f>#REF!</f>
        <v>#REF!</v>
      </c>
      <c r="H38" s="90"/>
      <c r="I38" s="90" t="e">
        <f>#REF!</f>
        <v>#REF!</v>
      </c>
      <c r="J38" s="90"/>
    </row>
    <row r="39" spans="1:10" ht="15" thickBot="1" x14ac:dyDescent="0.35">
      <c r="A39" s="921" t="s">
        <v>231</v>
      </c>
      <c r="B39" s="921"/>
      <c r="C39" s="90" t="e">
        <f>IF($A39="Sum de 8 pliegues (mm)",#REF!,IF($A39="Sum de 6 pliegues (mm)",#REF!,IF($A39="Sum de 4 pliegues (mm)",#REF!)))</f>
        <v>#REF!</v>
      </c>
      <c r="D39" s="90"/>
      <c r="E39" s="90" t="e">
        <f>IF($A39="Sum de 8 pliegues (mm)",#REF!,IF($A39="Sum de 6 pliegues (mm)",#REF!,IF($A39="Sum de 4 pliegues (mm)",#REF!)))</f>
        <v>#REF!</v>
      </c>
      <c r="F39" s="90"/>
      <c r="G39" s="90" t="e">
        <f>IF($A39="Sum de 8 pliegues (mm)",#REF!,IF($A39="Sum de 6 pliegues (mm)",#REF!,IF($A39="Sum de 4 pliegues (mm)",#REF!)))</f>
        <v>#REF!</v>
      </c>
      <c r="H39" s="90"/>
      <c r="I39" s="90" t="e">
        <f>IF($A39="Sum de 8 pliegues (mm)",#REF!,IF($A39="Sum de 6 pliegues (mm)",#REF!,IF($A39="Sum de 4 pliegues (mm)",#REF!)))</f>
        <v>#REF!</v>
      </c>
      <c r="J39" s="90"/>
    </row>
    <row r="40" spans="1:10" ht="15" thickBot="1" x14ac:dyDescent="0.35">
      <c r="A40" s="930" t="s">
        <v>232</v>
      </c>
      <c r="B40" s="930"/>
      <c r="C40" s="930"/>
      <c r="D40" s="930"/>
      <c r="E40" s="930"/>
      <c r="F40" s="930"/>
      <c r="G40" s="930"/>
      <c r="H40" s="930"/>
      <c r="I40" s="930"/>
      <c r="J40" s="930"/>
    </row>
    <row r="41" spans="1:10" ht="15" thickBot="1" x14ac:dyDescent="0.35">
      <c r="A41" s="922" t="s">
        <v>225</v>
      </c>
      <c r="B41" s="922"/>
      <c r="C41" s="920">
        <v>1</v>
      </c>
      <c r="D41" s="920"/>
      <c r="E41" s="920">
        <v>2</v>
      </c>
      <c r="F41" s="920"/>
      <c r="G41" s="920">
        <v>3</v>
      </c>
      <c r="H41" s="920"/>
      <c r="I41" s="920">
        <v>4</v>
      </c>
      <c r="J41" s="920"/>
    </row>
    <row r="42" spans="1:10" ht="15" thickBot="1" x14ac:dyDescent="0.35">
      <c r="A42" s="922"/>
      <c r="B42" s="922"/>
      <c r="C42" s="82" t="s">
        <v>227</v>
      </c>
      <c r="D42" s="82" t="s">
        <v>228</v>
      </c>
      <c r="E42" s="82" t="s">
        <v>227</v>
      </c>
      <c r="F42" s="82" t="s">
        <v>228</v>
      </c>
      <c r="G42" s="82" t="s">
        <v>227</v>
      </c>
      <c r="H42" s="82" t="s">
        <v>228</v>
      </c>
      <c r="I42" s="82" t="s">
        <v>227</v>
      </c>
      <c r="J42" s="82" t="s">
        <v>228</v>
      </c>
    </row>
    <row r="43" spans="1:10" ht="15" customHeight="1" thickBot="1" x14ac:dyDescent="0.35">
      <c r="A43" s="921" t="s">
        <v>233</v>
      </c>
      <c r="B43" s="921"/>
      <c r="C43" s="920" t="e">
        <f>#REF!</f>
        <v>#REF!</v>
      </c>
      <c r="D43" s="920"/>
      <c r="E43" s="920" t="e">
        <f>#REF!</f>
        <v>#REF!</v>
      </c>
      <c r="F43" s="920"/>
      <c r="G43" s="920" t="e">
        <f>#REF!</f>
        <v>#REF!</v>
      </c>
      <c r="H43" s="920"/>
      <c r="I43" s="920" t="e">
        <f>#REF!</f>
        <v>#REF!</v>
      </c>
      <c r="J43" s="920"/>
    </row>
    <row r="44" spans="1:10" ht="15" thickBot="1" x14ac:dyDescent="0.35">
      <c r="A44" s="921" t="s">
        <v>234</v>
      </c>
      <c r="B44" s="921"/>
      <c r="C44" s="920" t="e">
        <f>#REF!</f>
        <v>#REF!</v>
      </c>
      <c r="D44" s="920"/>
      <c r="E44" s="920" t="e">
        <f>#REF!</f>
        <v>#REF!</v>
      </c>
      <c r="F44" s="920"/>
      <c r="G44" s="920" t="e">
        <f>#REF!</f>
        <v>#REF!</v>
      </c>
      <c r="H44" s="920"/>
      <c r="I44" s="920" t="e">
        <f>#REF!</f>
        <v>#REF!</v>
      </c>
      <c r="J44" s="920"/>
    </row>
    <row r="45" spans="1:10" ht="15" thickBot="1" x14ac:dyDescent="0.35">
      <c r="A45" s="921" t="s">
        <v>210</v>
      </c>
      <c r="B45" s="921"/>
      <c r="C45" s="92" t="e">
        <f>#REF!</f>
        <v>#REF!</v>
      </c>
      <c r="D45" s="93" t="e">
        <f>IF($C45="+3DE",#REF!,IF($C45="P97 - +3DE",#REF!,IF($C45="P97",#REF!,IF($C45="P90 - P97",#REF!,IF($C45="p90",#REF!,IF($C45="P90 - P50",#REF!,IF($C45="P50",#REF!,IF($C45="P50 - P10",#REF!,IF($C45="P10",#REF!,IF($C45="P10 - P3",#REF!,IF($C45="P3",#REF!,IF($C45="P3 - -3DE",#REF!,IF($C45="-3DE",#REF!,IF($C45="-3DE - -4DE",#REF!,IF($C45="-4DE",#REF!)))))))))))))))</f>
        <v>#REF!</v>
      </c>
      <c r="E45" s="92" t="e">
        <f>#REF!</f>
        <v>#REF!</v>
      </c>
      <c r="F45" s="93" t="e">
        <f>IF($E45="+3DE",#REF!,IF($E45="P97 - +3DE",#REF!,IF($E45="P97",#REF!,IF($E45="P90 - P97",#REF!,IF($E45="p90",#REF!,IF($E45="P90 - P50",#REF!,IF($E45="P50",#REF!,IF($E45="P50 - P10",#REF!,IF($E45="P10",#REF!,IF($E45="P10 - P3",#REF!,IF($E45="P3",#REF!,IF($E45="P3 - -3DE",#REF!,IF($E45="-3DE",#REF!,IF($E45="-3DE - -4DE",#REF!,IF($E45="-4DE",#REF!)))))))))))))))</f>
        <v>#REF!</v>
      </c>
      <c r="G45" s="92" t="e">
        <f>#REF!</f>
        <v>#REF!</v>
      </c>
      <c r="H45" s="93" t="e">
        <f>IF($G45="+3DE",#REF!,IF($G45="P97 - +3DE",#REF!,IF($G45="P97",#REF!,IF($G45="P90 - P97",#REF!,IF($G45="p90",#REF!,IF($G45="P90 - P50",#REF!,IF($G45="P50",#REF!,IF($G45="P50 - P10",#REF!,IF($G45="P10",#REF!,IF($G45="P10 - P3",#REF!,IF($G45="P3",#REF!,IF($G45="P3 - -3DE",#REF!,IF($G45="-3DE",#REF!,IF($G45="-3DE - -4DE",#REF!,IF($G45="-4DE",#REF!)))))))))))))))</f>
        <v>#REF!</v>
      </c>
      <c r="I45" s="92" t="e">
        <f>#REF!</f>
        <v>#REF!</v>
      </c>
      <c r="J45" s="93" t="e">
        <f>IF($I45="+3DE",#REF!,IF($I45="P97 - +3DE",#REF!,IF($I45="P97",#REF!,IF($I45="P90 - P97",#REF!,IF($I45="p90",#REF!,IF($I45="P90 - P50",#REF!,IF($I45="P50",#REF!,IF($I45="P50 - P10",#REF!,IF($I45="P10",#REF!,IF($I45="P10 - P3",#REF!,IF($I45="P3",#REF!,IF($I45="P3 - -3DE",#REF!,IF($I45="-3DE",#REF!,IF($I45="-3DE - -4DE",#REF!,IF($I45="-4DE",#REF!)))))))))))))))</f>
        <v>#REF!</v>
      </c>
    </row>
    <row r="46" spans="1:10" ht="15" thickBot="1" x14ac:dyDescent="0.35">
      <c r="A46" s="921" t="s">
        <v>211</v>
      </c>
      <c r="B46" s="921"/>
      <c r="C46" s="82" t="e">
        <f>#REF!</f>
        <v>#REF!</v>
      </c>
      <c r="D46" s="93" t="e">
        <f>IF($C46="+3DE",#REF!,IF($C46="P97 - +3DE",#REF!,IF($C46="P97",#REF!,IF($C46="P90 - P97",#REF!,IF($C46="p90",#REF!,IF($C46="P90 - P50",#REF!,IF($C46="P50",#REF!,IF($C46="P50 - P10",#REF!,IF($C46="P10",#REF!,IF($C46="P10 - P3",#REF!,IF($C46="P3",#REF!,IF($C46="P3 - -3DE",#REF!,IF($C46="-3DE",#REF!,IF($C46="-3DE - -4DE",#REF!,IF($C46="-4DE",#REF!)))))))))))))))</f>
        <v>#REF!</v>
      </c>
      <c r="E46" s="92" t="e">
        <f>#REF!</f>
        <v>#REF!</v>
      </c>
      <c r="F46" s="93" t="e">
        <f>IF($E46="+3DE",#REF!,IF($E46="P97 - +3DE",#REF!,IF($E46="P97",#REF!,IF($E46="P90 - P97",#REF!,IF($E46="p90",#REF!,IF($E46="P90 - P50",#REF!,IF($E46="P50",#REF!,IF($E46="P50 - P10",#REF!,IF($E46="P10",#REF!,IF($E46="P10 - P3",#REF!,IF($E46="P3",#REF!,IF($E46="P3 - -3DE",#REF!,IF($E46="-3DE",#REF!,IF($E46="-3DE - -4DE",#REF!,IF($E46="-4DE",#REF!)))))))))))))))</f>
        <v>#REF!</v>
      </c>
      <c r="G46" s="92" t="e">
        <f>#REF!</f>
        <v>#REF!</v>
      </c>
      <c r="H46" s="93" t="e">
        <f>IF($G46="+3DE",#REF!,IF($G46="P97 - +3DE",#REF!,IF($G46="P97",#REF!,IF($G46="P90 - P97",#REF!,IF($G46="p90",#REF!,IF($G46="P90 - P50",#REF!,IF($G46="P50",#REF!,IF($G46="P50 - P10",#REF!,IF($G46="P10",#REF!,IF($G46="P10 - P3",#REF!,IF($G46="P3",#REF!,IF($G46="P3 - -3DE",#REF!,IF($G46="-3DE",#REF!,IF($G46="-3DE - -4DE",#REF!,IF($G46="-4DE",#REF!)))))))))))))))</f>
        <v>#REF!</v>
      </c>
      <c r="I46" s="92" t="e">
        <f>#REF!</f>
        <v>#REF!</v>
      </c>
      <c r="J46" s="93" t="e">
        <f>IF($I46="+3DE",#REF!,IF($I46="P97 - +3DE",#REF!,IF($I46="P97",#REF!,IF($I46="P90 - P97",#REF!,IF($I46="p90",#REF!,IF($I46="P90 - P50",#REF!,IF($I46="P50",#REF!,IF($I46="P50 - P10",#REF!,IF($I46="P10",#REF!,IF($I46="P10 - P3",#REF!,IF($I46="P3",#REF!,IF($I46="P3 - -3DE",#REF!,IF($I46="-3DE",#REF!,IF($I46="-3DE - -4DE",#REF!,IF($I46="-4DE",#REF!)))))))))))))))</f>
        <v>#REF!</v>
      </c>
    </row>
    <row r="47" spans="1:10" ht="15" thickBot="1" x14ac:dyDescent="0.35">
      <c r="A47" s="921" t="s">
        <v>212</v>
      </c>
      <c r="B47" s="921"/>
      <c r="C47" s="82" t="e">
        <f>#REF!</f>
        <v>#REF!</v>
      </c>
      <c r="D47" s="93" t="e">
        <f>IF($C47="+3DE",#REF!,IF($C47="P97 - +3DE",#REF!,IF($C47="P97",#REF!,IF($C47="P90 - P97",#REF!,IF($C47="p90",#REF!,IF($C47="P90 - P50",#REF!,IF($C47="P50",#REF!,IF($C47="P50 - P10",#REF!,IF($C47="P10",#REF!,IF($C47="P10 - P3",#REF!,IF($C47="P3",#REF!,IF($C47="P3 - -3DE",#REF!,IF($C47="-3DE",#REF!,IF($C47="-3DE - -4DE",#REF!,IF($C47="-4DE",#REF!)))))))))))))))</f>
        <v>#REF!</v>
      </c>
      <c r="E47" s="92" t="e">
        <f>#REF!</f>
        <v>#REF!</v>
      </c>
      <c r="F47" s="93" t="e">
        <f>IF($E47="+3DE",#REF!,IF($E47="P97 - +3DE",#REF!,IF($E47="P97",#REF!,IF($E47="P90 - P97",#REF!,IF($E47="p90",#REF!,IF($E47="P90 - P50",#REF!,IF($E47="P50",#REF!,IF($E47="P50 - P10",#REF!,IF($E47="P10",#REF!,IF($E47="P10 - P3",#REF!,IF($E47="P3",#REF!,IF($E47="P3 - -3DE",#REF!,IF($E47="-3DE",#REF!,IF($E47="-3DE - -4DE",#REF!,IF($E47="-4DE",#REF!)))))))))))))))</f>
        <v>#REF!</v>
      </c>
      <c r="G47" s="92" t="e">
        <f>#REF!</f>
        <v>#REF!</v>
      </c>
      <c r="H47" s="93" t="e">
        <f>IF($G47="+3DE",#REF!,IF($G47="P97 - +3DE",#REF!,IF($G47="P97",#REF!,IF($G47="P90 - P97",#REF!,IF($G47="p90",#REF!,IF($G47="P90 - P50",#REF!,IF($G47="P50",#REF!,IF($G47="P50 - P10",#REF!,IF($G47="P10",#REF!,IF($G47="P10 - P3",#REF!,IF($G47="P3",#REF!,IF($G47="P3 - -3DE",#REF!,IF($G47="-3DE",#REF!,IF($G47="-3DE - -4DE",#REF!,IF($G47="-4DE",#REF!)))))))))))))))</f>
        <v>#REF!</v>
      </c>
      <c r="I47" s="92" t="e">
        <f>#REF!</f>
        <v>#REF!</v>
      </c>
      <c r="J47" s="93" t="e">
        <f>IF($I47="+3DE",#REF!,IF($I47="P97 - +3DE",#REF!,IF($I47="P97",#REF!,IF($I47="P90 - P97",#REF!,IF($I47="p90",#REF!,IF($I47="P90 - P50",#REF!,IF($I47="P50",#REF!,IF($I47="P50 - P10",#REF!,IF($I47="P10",#REF!,IF($I47="P10 - P3",#REF!,IF($I47="P3",#REF!,IF($I47="P3 - -3DE",#REF!,IF($I47="-3DE",#REF!,IF($I47="-3DE - -4DE",#REF!,IF($I47="-4DE",#REF!)))))))))))))))</f>
        <v>#REF!</v>
      </c>
    </row>
    <row r="48" spans="1:10" ht="15" thickBot="1" x14ac:dyDescent="0.35">
      <c r="A48" s="921" t="s">
        <v>213</v>
      </c>
      <c r="B48" s="921"/>
      <c r="C48" s="82" t="e">
        <f>#REF!</f>
        <v>#REF!</v>
      </c>
      <c r="D48" s="93" t="e">
        <f>IF($C48="+3DE",#REF!,IF($C48="P97 - +3DE",#REF!,IF($C48="P97",#REF!,IF($C48="P90 - P97",#REF!,IF($C48="p90",#REF!,IF($C48="P90 - P50",#REF!,IF($C48="P50",#REF!,IF($C48="P50 - P10",#REF!,IF($C48="P10",#REF!,IF($C48="P10 - P3",#REF!,IF($C48="P3",#REF!,IF($C48="P3 - -3DE",#REF!,IF($C48="-3DE",#REF!,IF($C48="-3DE - -4DE",#REF!,IF($C48="-4DE",#REF!)))))))))))))))</f>
        <v>#REF!</v>
      </c>
      <c r="E48" s="92" t="e">
        <f>#REF!</f>
        <v>#REF!</v>
      </c>
      <c r="F48" s="93" t="e">
        <f>IF($E48="+3DE",#REF!,IF($E48="P97 - +3DE",#REF!,IF($E48="P97",#REF!,IF($E48="P90 - P97",#REF!,IF($E48="p90",#REF!,IF($E48="P90 - P50",#REF!,IF($E48="P50",#REF!,IF($E48="P50 - P10",#REF!,IF($E48="P10",#REF!,IF($E48="P10 - P3",#REF!,IF($E48="P3",#REF!,IF($E48="P3 - -3DE",#REF!,IF($E48="-3DE",#REF!,IF($E48="-3DE - -4DE",#REF!,IF($E48="-4DE",#REF!)))))))))))))))</f>
        <v>#REF!</v>
      </c>
      <c r="G48" s="92" t="e">
        <f>#REF!</f>
        <v>#REF!</v>
      </c>
      <c r="H48" s="93" t="e">
        <f>IF($G48="+3DE",#REF!,IF($G48="P97 - +3DE",#REF!,IF($G48="P97",#REF!,IF($G48="P90 - P97",#REF!,IF($G48="p90",#REF!,IF($G48="P90 - P50",#REF!,IF($G48="P50",#REF!,IF($G48="P50 - P10",#REF!,IF($G48="P10",#REF!,IF($G48="P10 - P3",#REF!,IF($G48="P3",#REF!,IF($G48="P3 - -3DE",#REF!,IF($G48="-3DE",#REF!,IF($G48="-3DE - -4DE",#REF!,IF($G48="-4DE",#REF!)))))))))))))))</f>
        <v>#REF!</v>
      </c>
      <c r="I48" s="92" t="e">
        <f>#REF!</f>
        <v>#REF!</v>
      </c>
      <c r="J48" s="93" t="e">
        <f>IF($I48="+3DE",#REF!,IF($I48="P97 - +3DE",#REF!,IF($I48="P97",#REF!,IF($I48="P90 - P97",#REF!,IF($I48="p90",#REF!,IF($I48="P90 - P50",#REF!,IF($I48="P50",#REF!,IF($I48="P50 - P10",#REF!,IF($I48="P10",#REF!,IF($I48="P10 - P3",#REF!,IF($I48="P3",#REF!,IF($I48="P3 - -3DE",#REF!,IF($I48="-3DE",#REF!,IF($I48="-3DE - -4DE",#REF!,IF($I48="-4DE",#REF!)))))))))))))))</f>
        <v>#REF!</v>
      </c>
    </row>
    <row r="49" spans="1:10" ht="15" thickBot="1" x14ac:dyDescent="0.35">
      <c r="A49" s="921" t="s">
        <v>235</v>
      </c>
      <c r="B49" s="921"/>
      <c r="C49" s="920"/>
      <c r="D49" s="920"/>
      <c r="E49" s="920"/>
      <c r="F49" s="920"/>
      <c r="G49" s="920"/>
      <c r="H49" s="920"/>
      <c r="I49" s="920"/>
      <c r="J49" s="920"/>
    </row>
    <row r="50" spans="1:10" ht="15" thickBot="1" x14ac:dyDescent="0.35"/>
    <row r="51" spans="1:10" ht="15" thickBot="1" x14ac:dyDescent="0.35">
      <c r="A51" s="902" t="s">
        <v>236</v>
      </c>
      <c r="B51" s="903"/>
      <c r="C51" s="903"/>
      <c r="D51" s="903"/>
      <c r="E51" s="903"/>
      <c r="F51" s="903"/>
      <c r="G51" s="903"/>
      <c r="H51" s="903"/>
      <c r="I51" s="903"/>
      <c r="J51" s="904"/>
    </row>
    <row r="52" spans="1:10" x14ac:dyDescent="0.3">
      <c r="A52" s="94"/>
      <c r="B52" s="77"/>
      <c r="C52" s="77"/>
      <c r="D52" s="77"/>
      <c r="E52" s="77"/>
      <c r="F52" s="77"/>
      <c r="G52" s="77"/>
      <c r="H52" s="77"/>
      <c r="I52" s="77"/>
      <c r="J52" s="78"/>
    </row>
    <row r="53" spans="1:10" ht="15" customHeight="1" x14ac:dyDescent="0.3">
      <c r="A53" s="905" t="s">
        <v>237</v>
      </c>
      <c r="B53" s="906"/>
      <c r="C53" s="906"/>
      <c r="D53" s="906"/>
      <c r="E53" s="906"/>
      <c r="F53" s="906"/>
      <c r="G53" s="906"/>
      <c r="H53" s="906"/>
      <c r="I53" s="906"/>
      <c r="J53" s="907"/>
    </row>
    <row r="54" spans="1:10" x14ac:dyDescent="0.3">
      <c r="A54" s="905"/>
      <c r="B54" s="906"/>
      <c r="C54" s="906"/>
      <c r="D54" s="906"/>
      <c r="E54" s="906"/>
      <c r="F54" s="906"/>
      <c r="G54" s="906"/>
      <c r="H54" s="906"/>
      <c r="I54" s="906"/>
      <c r="J54" s="907"/>
    </row>
    <row r="55" spans="1:10" x14ac:dyDescent="0.3">
      <c r="A55" s="905"/>
      <c r="B55" s="906"/>
      <c r="C55" s="906"/>
      <c r="D55" s="906"/>
      <c r="E55" s="906"/>
      <c r="F55" s="906"/>
      <c r="G55" s="906"/>
      <c r="H55" s="906"/>
      <c r="I55" s="906"/>
      <c r="J55" s="907"/>
    </row>
    <row r="56" spans="1:10" ht="21" customHeight="1" thickBot="1" x14ac:dyDescent="0.35">
      <c r="A56" s="908"/>
      <c r="B56" s="909"/>
      <c r="C56" s="909"/>
      <c r="D56" s="909"/>
      <c r="E56" s="909"/>
      <c r="F56" s="909"/>
      <c r="G56" s="909"/>
      <c r="H56" s="909"/>
      <c r="I56" s="909"/>
      <c r="J56" s="910"/>
    </row>
    <row r="57" spans="1:10" ht="15" thickBot="1" x14ac:dyDescent="0.35">
      <c r="A57" s="100"/>
      <c r="J57" s="95"/>
    </row>
    <row r="58" spans="1:10" ht="15" thickBot="1" x14ac:dyDescent="0.35">
      <c r="A58" s="98" t="s">
        <v>198</v>
      </c>
      <c r="B58" s="911"/>
      <c r="C58" s="911"/>
      <c r="D58" s="901" t="s">
        <v>41</v>
      </c>
      <c r="E58" s="901"/>
      <c r="F58" s="901" t="s">
        <v>42</v>
      </c>
      <c r="G58" s="901"/>
      <c r="H58" s="901" t="s">
        <v>43</v>
      </c>
      <c r="I58" s="901"/>
      <c r="J58" s="76"/>
    </row>
    <row r="59" spans="1:10" ht="15" thickBot="1" x14ac:dyDescent="0.35">
      <c r="A59" s="91" t="s">
        <v>240</v>
      </c>
      <c r="B59" s="83"/>
      <c r="C59" s="84"/>
      <c r="D59" s="889"/>
      <c r="E59" s="891"/>
      <c r="F59" s="889"/>
      <c r="G59" s="891"/>
      <c r="H59" s="889"/>
      <c r="I59" s="891"/>
      <c r="J59" s="87"/>
    </row>
    <row r="60" spans="1:10" ht="15" thickBot="1" x14ac:dyDescent="0.35">
      <c r="A60" s="97"/>
      <c r="J60" s="87"/>
    </row>
    <row r="61" spans="1:10" ht="15" thickBot="1" x14ac:dyDescent="0.35">
      <c r="A61" s="912" t="s">
        <v>238</v>
      </c>
      <c r="B61" s="913"/>
      <c r="C61" s="914"/>
      <c r="D61" s="901" t="s">
        <v>43</v>
      </c>
      <c r="E61" s="901"/>
      <c r="F61" s="901" t="s">
        <v>42</v>
      </c>
      <c r="G61" s="901"/>
      <c r="H61" s="901" t="s">
        <v>43</v>
      </c>
      <c r="I61" s="901"/>
      <c r="J61" s="87"/>
    </row>
    <row r="62" spans="1:10" ht="15.75" customHeight="1" thickBot="1" x14ac:dyDescent="0.35">
      <c r="A62" s="912" t="s">
        <v>244</v>
      </c>
      <c r="B62" s="913"/>
      <c r="C62" s="914"/>
      <c r="D62" s="915" t="e">
        <f>IF($A62=#REF!,#REF!,IF($A62=#REF!,#REF!,IF($A62=#REF!,#REF!,IF($A62=#REF!,#REF!))))</f>
        <v>#REF!</v>
      </c>
      <c r="E62" s="916"/>
      <c r="F62" s="915" t="e">
        <f>IF($A62=#REF!,#REF!,IF($A62=#REF!,#REF!,IF($A62=#REF!,#REF!,IF($A62=#REF!,#REF!))))</f>
        <v>#REF!</v>
      </c>
      <c r="G62" s="916"/>
      <c r="H62" s="915" t="e">
        <f>IF($A62=#REF!,#REF!,IF($A62=#REF!,#REF!,IF($A62=#REF!,#REF!,IF($A62=#REF!,#REF!))))</f>
        <v>#REF!</v>
      </c>
      <c r="I62" s="916"/>
      <c r="J62" s="87"/>
    </row>
    <row r="63" spans="1:10" ht="15" thickBot="1" x14ac:dyDescent="0.35">
      <c r="A63" s="94"/>
      <c r="J63" s="87"/>
    </row>
    <row r="64" spans="1:10" ht="15" thickBot="1" x14ac:dyDescent="0.35">
      <c r="A64" s="96"/>
      <c r="D64" s="99" t="s">
        <v>241</v>
      </c>
      <c r="E64" s="889"/>
      <c r="F64" s="890"/>
      <c r="G64" s="891"/>
      <c r="J64" s="76"/>
    </row>
    <row r="65" spans="1:10" x14ac:dyDescent="0.3">
      <c r="A65" s="96"/>
      <c r="J65" s="76"/>
    </row>
    <row r="66" spans="1:10" x14ac:dyDescent="0.3">
      <c r="A66" s="96"/>
      <c r="J66" s="76"/>
    </row>
    <row r="67" spans="1:10" x14ac:dyDescent="0.3">
      <c r="A67" s="96"/>
      <c r="J67" s="76"/>
    </row>
    <row r="68" spans="1:10" x14ac:dyDescent="0.3">
      <c r="A68" s="96"/>
      <c r="J68" s="76"/>
    </row>
    <row r="69" spans="1:10" x14ac:dyDescent="0.3">
      <c r="A69" s="96"/>
      <c r="J69" s="76"/>
    </row>
    <row r="70" spans="1:10" x14ac:dyDescent="0.3">
      <c r="A70" s="96"/>
      <c r="J70" s="76"/>
    </row>
    <row r="71" spans="1:10" x14ac:dyDescent="0.3">
      <c r="A71" s="96"/>
      <c r="J71" s="76"/>
    </row>
    <row r="72" spans="1:10" x14ac:dyDescent="0.3">
      <c r="A72" s="96"/>
      <c r="J72" s="76"/>
    </row>
    <row r="73" spans="1:10" x14ac:dyDescent="0.3">
      <c r="A73" s="96"/>
      <c r="J73" s="76"/>
    </row>
    <row r="74" spans="1:10" x14ac:dyDescent="0.3">
      <c r="A74" s="96"/>
      <c r="J74" s="76"/>
    </row>
    <row r="75" spans="1:10" x14ac:dyDescent="0.3">
      <c r="A75" s="96"/>
      <c r="J75" s="76"/>
    </row>
    <row r="76" spans="1:10" x14ac:dyDescent="0.3">
      <c r="A76" s="96"/>
      <c r="J76" s="76"/>
    </row>
    <row r="77" spans="1:10" x14ac:dyDescent="0.3">
      <c r="A77" s="96"/>
      <c r="J77" s="76"/>
    </row>
    <row r="78" spans="1:10" x14ac:dyDescent="0.3">
      <c r="A78" s="96"/>
      <c r="J78" s="76"/>
    </row>
    <row r="79" spans="1:10" x14ac:dyDescent="0.3">
      <c r="A79" s="96"/>
      <c r="J79" s="76"/>
    </row>
    <row r="80" spans="1:10" x14ac:dyDescent="0.3">
      <c r="A80" s="96"/>
      <c r="J80" s="76"/>
    </row>
    <row r="81" spans="1:10" x14ac:dyDescent="0.3">
      <c r="A81" s="96"/>
      <c r="J81" s="76"/>
    </row>
    <row r="82" spans="1:10" x14ac:dyDescent="0.3">
      <c r="A82" s="96"/>
      <c r="J82" s="76"/>
    </row>
    <row r="83" spans="1:10" x14ac:dyDescent="0.3">
      <c r="A83" s="96"/>
      <c r="J83" s="76"/>
    </row>
    <row r="84" spans="1:10" x14ac:dyDescent="0.3">
      <c r="A84" s="96"/>
      <c r="J84" s="76"/>
    </row>
    <row r="85" spans="1:10" x14ac:dyDescent="0.3">
      <c r="A85" s="96"/>
      <c r="J85" s="76"/>
    </row>
    <row r="86" spans="1:10" x14ac:dyDescent="0.3">
      <c r="A86" s="96"/>
      <c r="J86" s="76"/>
    </row>
    <row r="87" spans="1:10" x14ac:dyDescent="0.3">
      <c r="A87" s="96"/>
      <c r="J87" s="76"/>
    </row>
    <row r="88" spans="1:10" x14ac:dyDescent="0.3">
      <c r="A88" s="96"/>
      <c r="J88" s="76"/>
    </row>
    <row r="89" spans="1:10" x14ac:dyDescent="0.3">
      <c r="A89" s="96"/>
      <c r="J89" s="76"/>
    </row>
    <row r="90" spans="1:10" x14ac:dyDescent="0.3">
      <c r="A90" s="96"/>
      <c r="J90" s="76"/>
    </row>
    <row r="91" spans="1:10" x14ac:dyDescent="0.3">
      <c r="A91" s="96"/>
      <c r="J91" s="76"/>
    </row>
    <row r="92" spans="1:10" x14ac:dyDescent="0.3">
      <c r="A92" s="96"/>
      <c r="J92" s="76"/>
    </row>
    <row r="93" spans="1:10" ht="15" thickBot="1" x14ac:dyDescent="0.35">
      <c r="A93" s="96"/>
      <c r="J93" s="76"/>
    </row>
    <row r="94" spans="1:10" ht="15" thickBot="1" x14ac:dyDescent="0.35">
      <c r="A94" s="917" t="s">
        <v>239</v>
      </c>
      <c r="B94" s="918"/>
      <c r="C94" s="918"/>
      <c r="D94" s="918"/>
      <c r="E94" s="918"/>
      <c r="F94" s="918"/>
      <c r="G94" s="918"/>
      <c r="H94" s="918"/>
      <c r="I94" s="918"/>
      <c r="J94" s="919"/>
    </row>
    <row r="95" spans="1:10" x14ac:dyDescent="0.3">
      <c r="A95" s="883"/>
      <c r="B95" s="884"/>
      <c r="C95" s="884"/>
      <c r="D95" s="884"/>
      <c r="E95" s="884"/>
      <c r="F95" s="884"/>
      <c r="G95" s="884"/>
      <c r="H95" s="884"/>
      <c r="I95" s="884"/>
      <c r="J95" s="885"/>
    </row>
    <row r="96" spans="1:10" x14ac:dyDescent="0.3">
      <c r="A96" s="886"/>
      <c r="B96" s="887"/>
      <c r="C96" s="887"/>
      <c r="D96" s="887"/>
      <c r="E96" s="887"/>
      <c r="F96" s="887"/>
      <c r="G96" s="887"/>
      <c r="H96" s="887"/>
      <c r="I96" s="887"/>
      <c r="J96" s="888"/>
    </row>
    <row r="97" spans="1:10" x14ac:dyDescent="0.3">
      <c r="A97" s="892"/>
      <c r="B97" s="893"/>
      <c r="C97" s="893"/>
      <c r="D97" s="893"/>
      <c r="E97" s="893"/>
      <c r="F97" s="893"/>
      <c r="G97" s="893"/>
      <c r="H97" s="893"/>
      <c r="I97" s="893"/>
      <c r="J97" s="894"/>
    </row>
    <row r="98" spans="1:10" x14ac:dyDescent="0.3">
      <c r="A98" s="892"/>
      <c r="B98" s="893"/>
      <c r="C98" s="893"/>
      <c r="D98" s="893"/>
      <c r="E98" s="893"/>
      <c r="F98" s="893"/>
      <c r="G98" s="893"/>
      <c r="H98" s="893"/>
      <c r="I98" s="893"/>
      <c r="J98" s="894"/>
    </row>
    <row r="99" spans="1:10" x14ac:dyDescent="0.3">
      <c r="A99" s="895" t="s">
        <v>242</v>
      </c>
      <c r="B99" s="896"/>
      <c r="C99" s="896"/>
      <c r="D99" s="896"/>
      <c r="E99" s="896"/>
      <c r="F99" s="896"/>
      <c r="G99" s="896"/>
      <c r="H99" s="896"/>
      <c r="I99" s="896"/>
      <c r="J99" s="897"/>
    </row>
    <row r="100" spans="1:10" ht="15" thickBot="1" x14ac:dyDescent="0.35">
      <c r="A100" s="898"/>
      <c r="B100" s="899"/>
      <c r="C100" s="899"/>
      <c r="D100" s="899"/>
      <c r="E100" s="899"/>
      <c r="F100" s="899"/>
      <c r="G100" s="899"/>
      <c r="H100" s="899"/>
      <c r="I100" s="899"/>
      <c r="J100" s="900"/>
    </row>
  </sheetData>
  <mergeCells count="158">
    <mergeCell ref="A17:J17"/>
    <mergeCell ref="A26:J26"/>
    <mergeCell ref="A34:J34"/>
    <mergeCell ref="A37:B37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7:B27"/>
    <mergeCell ref="C27:D27"/>
    <mergeCell ref="E27:F27"/>
    <mergeCell ref="G27:H27"/>
    <mergeCell ref="I27:J27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C9:D9"/>
    <mergeCell ref="A16:B16"/>
    <mergeCell ref="C16:D16"/>
    <mergeCell ref="E16:F16"/>
    <mergeCell ref="G16:H16"/>
    <mergeCell ref="I16:J16"/>
    <mergeCell ref="A15:B15"/>
    <mergeCell ref="C15:D15"/>
    <mergeCell ref="E15:F15"/>
    <mergeCell ref="G15:H15"/>
    <mergeCell ref="I15:J15"/>
    <mergeCell ref="A14:J14"/>
    <mergeCell ref="A4:J4"/>
    <mergeCell ref="A35:B36"/>
    <mergeCell ref="C35:D35"/>
    <mergeCell ref="E35:F35"/>
    <mergeCell ref="G35:H35"/>
    <mergeCell ref="I35:J35"/>
    <mergeCell ref="A38:B38"/>
    <mergeCell ref="A39:B39"/>
    <mergeCell ref="A40:J40"/>
    <mergeCell ref="E5:F5"/>
    <mergeCell ref="A13:B13"/>
    <mergeCell ref="C13:D13"/>
    <mergeCell ref="E13:F13"/>
    <mergeCell ref="G13:H13"/>
    <mergeCell ref="I13:J13"/>
    <mergeCell ref="A11:J11"/>
    <mergeCell ref="A12:B12"/>
    <mergeCell ref="C12:D12"/>
    <mergeCell ref="E12:F12"/>
    <mergeCell ref="G12:H12"/>
    <mergeCell ref="I12:J12"/>
    <mergeCell ref="A9:B9"/>
    <mergeCell ref="A7:J7"/>
    <mergeCell ref="E9:F9"/>
    <mergeCell ref="E41:F41"/>
    <mergeCell ref="G41:H41"/>
    <mergeCell ref="I41:J41"/>
    <mergeCell ref="A49:B49"/>
    <mergeCell ref="C49:J49"/>
    <mergeCell ref="C43:D43"/>
    <mergeCell ref="C44:D44"/>
    <mergeCell ref="E43:F43"/>
    <mergeCell ref="G43:H43"/>
    <mergeCell ref="I43:J43"/>
    <mergeCell ref="E44:F44"/>
    <mergeCell ref="G44:H44"/>
    <mergeCell ref="I44:J44"/>
    <mergeCell ref="A41:B42"/>
    <mergeCell ref="A43:B43"/>
    <mergeCell ref="A44:B44"/>
    <mergeCell ref="A45:B45"/>
    <mergeCell ref="A46:B46"/>
    <mergeCell ref="A47:B47"/>
    <mergeCell ref="A48:B48"/>
    <mergeCell ref="C41:D41"/>
    <mergeCell ref="A95:J96"/>
    <mergeCell ref="E64:G64"/>
    <mergeCell ref="A97:J98"/>
    <mergeCell ref="A99:J100"/>
    <mergeCell ref="D61:E61"/>
    <mergeCell ref="F61:G61"/>
    <mergeCell ref="H61:I61"/>
    <mergeCell ref="A51:J51"/>
    <mergeCell ref="A53:J56"/>
    <mergeCell ref="B58:C58"/>
    <mergeCell ref="D58:E58"/>
    <mergeCell ref="F58:G58"/>
    <mergeCell ref="H58:I58"/>
    <mergeCell ref="A61:C61"/>
    <mergeCell ref="D62:E62"/>
    <mergeCell ref="A62:C62"/>
    <mergeCell ref="F62:G62"/>
    <mergeCell ref="H62:I62"/>
    <mergeCell ref="D59:E59"/>
    <mergeCell ref="F59:G59"/>
    <mergeCell ref="H59:I59"/>
    <mergeCell ref="A94:J94"/>
  </mergeCells>
  <dataValidations count="1">
    <dataValidation type="list" allowBlank="1" showInputMessage="1" showErrorMessage="1" sqref="A39:B39 A37:B37 A62" xr:uid="{00000000-0002-0000-0800-000000000000}">
      <formula1>#REF!</formula1>
    </dataValidation>
  </dataValidations>
  <pageMargins left="0.33333333333333331" right="0.25" top="0.375" bottom="0.80208333333333337" header="0.3" footer="0.3"/>
  <pageSetup paperSize="9" orientation="portrait" r:id="rId1"/>
  <headerFooter>
    <oddFooter>&amp;L&amp;8Domenico Visentini
Nutricionista Deportivo
Telf: 0412-8219923
Correo: domevisentini@hotmail.com&amp;R&amp;8Victoria Gomez
Nutricionista Deportiva
Telf: 0416-5251251
Correo: gosvi93@gmail.com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HISTORIA</vt:lpstr>
      <vt:lpstr>LABORATORIO</vt:lpstr>
      <vt:lpstr>ANTROPOMETRÍA DEPORTISTAS</vt:lpstr>
      <vt:lpstr>5 componentes</vt:lpstr>
      <vt:lpstr>REFERENTES</vt:lpstr>
      <vt:lpstr>REQUERIMIENTOS</vt:lpstr>
      <vt:lpstr>RESUMEN ANTROPOMETRICO</vt:lpstr>
      <vt:lpstr>Feedback</vt:lpstr>
      <vt:lpstr>DATOS ANTROPOMÉTRICOS</vt:lpstr>
      <vt:lpstr>SOMATOCARTA</vt:lpstr>
      <vt:lpstr>INFORME 2 COMPONENTES PEDIATRIA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Equipo-pc</dc:creator>
  <cp:lastModifiedBy>samuel8a.nutrition@gmail.com</cp:lastModifiedBy>
  <cp:lastPrinted>2017-09-02T14:46:05Z</cp:lastPrinted>
  <dcterms:created xsi:type="dcterms:W3CDTF">2016-11-20T15:55:33Z</dcterms:created>
  <dcterms:modified xsi:type="dcterms:W3CDTF">2026-01-07T00:16:45Z</dcterms:modified>
</cp:coreProperties>
</file>