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showInkAnnotation="0" codeName="EsteLivro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tiagosottomayor/Downloads/"/>
    </mc:Choice>
  </mc:AlternateContent>
  <xr:revisionPtr revIDLastSave="0" documentId="13_ncr:1_{16F2138E-B8C0-EE46-8CED-F597D7D9D59E}" xr6:coauthVersionLast="45" xr6:coauthVersionMax="45" xr10:uidLastSave="{00000000-0000-0000-0000-000000000000}"/>
  <bookViews>
    <workbookView xWindow="0" yWindow="460" windowWidth="33600" windowHeight="19240" tabRatio="500" activeTab="3" xr2:uid="{00000000-000D-0000-FFFF-FFFF00000000}"/>
  </bookViews>
  <sheets>
    <sheet name="EQUIPA MASTER" sheetId="13" r:id="rId1"/>
    <sheet name="Database Extract" sheetId="9" r:id="rId2"/>
    <sheet name="REFERENCE_TABLES" sheetId="7" r:id="rId3"/>
    <sheet name="BASE TABLES" sheetId="8" r:id="rId4"/>
    <sheet name="IRS" sheetId="5" r:id="rId5"/>
    <sheet name="CALCULATOR" sheetId="6" r:id="rId6"/>
  </sheets>
  <definedNames>
    <definedName name="_xlnm._FilterDatabase" localSheetId="1" hidden="1">'Database Extract'!$A$1:$G$5</definedName>
    <definedName name="_xlnm._FilterDatabase" localSheetId="0" hidden="1">'EQUIPA MASTER'!$B$2:$BI$6</definedName>
    <definedName name="_RespAGDTV" localSheetId="0" hidden="1">'EQUIPA MASTER'!$B$2:$BI$2</definedName>
    <definedName name="asasd" localSheetId="0" hidden="1">'EQUIPA MASTER'!$B$2:$BI$2</definedName>
    <definedName name="d" localSheetId="0" hidden="1">'EQUIPA MASTER'!$B$2:$BG$2</definedName>
    <definedName name="DadosExternos_1" localSheetId="1" hidden="1">'Database Extract'!#REF!</definedName>
    <definedName name="dd" localSheetId="0" hidden="1">'EQUIPA MASTER'!$B$2:$BG$2</definedName>
    <definedName name="dddsfv" localSheetId="0" hidden="1">'EQUIPA MASTER'!$B$2:$BI$2</definedName>
    <definedName name="ff" localSheetId="0" hidden="1">'EQUIPA MASTER'!$B$2:$BG$2</definedName>
    <definedName name="HR" localSheetId="1">#REF!</definedName>
    <definedName name="HR">HR_table[NEW POSITION]</definedName>
    <definedName name="MARITAL_STATUS" localSheetId="1">Table69[#All]</definedName>
    <definedName name="MARITAL_STATUS">Table69[#All]</definedName>
    <definedName name="Marketing" localSheetId="1">#REF!</definedName>
    <definedName name="Marketing">Marketing_table[NEW POSITION]</definedName>
    <definedName name="MARRIED_1T">IRS!$B$56:$B$92</definedName>
    <definedName name="MARRIED_1T_DEF">IRS!$B$192:$B$220</definedName>
    <definedName name="MARRIED_1T_DEF_table">IRS!$A$192:$H$220</definedName>
    <definedName name="MARRIED_1T_Extra">REFERENCE_TABLES!$M$10:$M$13</definedName>
    <definedName name="MARRIED_1T_Extra_table">REFERENCE_TABLES!$M$10:$N$13</definedName>
    <definedName name="MARRIED_1T_table">IRS!$A$56:$H$92</definedName>
    <definedName name="MARRIED_2T">IRS!$B$104:$B$139</definedName>
    <definedName name="MARRIED_2T_DEF">IRS!$B$232:$B$261</definedName>
    <definedName name="MARRIED_2T_DEF_table">IRS!$A$232:$H$261</definedName>
    <definedName name="MARRIED_2T_table">IRS!$A$104:$H$139</definedName>
    <definedName name="NOT_MARRIED">IRS!$B$10:$B$45</definedName>
    <definedName name="NOT_MARRIED_DEF">IRS!$B$151:$B$180</definedName>
    <definedName name="NOT_MARRIED_DEF_table">IRS!$A$151:$H$180</definedName>
    <definedName name="NOT_MARRIED_or_MARRIED_1T_Extra">REFERENCE_TABLES!$M$3:$M$6</definedName>
    <definedName name="NOT_MARRIED_or_MARRIED_2T_Extra">REFERENCE_TABLES!$M$3:$M$6</definedName>
    <definedName name="NOT_MARRIED_or_MARRIED_2T_Extra_table">REFERENCE_TABLES!$M$3:$N$6</definedName>
    <definedName name="NOT_MARRIED_table">IRS!$A$10:$H$45</definedName>
    <definedName name="NUMERO_DEPENDENTES" localSheetId="1">#REF!</definedName>
    <definedName name="OFFICE_OPERATIONS_DIRECTOR_A" localSheetId="1">#REF!</definedName>
    <definedName name="OfficeOperations" localSheetId="1">#REF!</definedName>
    <definedName name="OfficeOperations_table" localSheetId="1">#REF!</definedName>
    <definedName name="OO">OO_table[NEW POSITION]</definedName>
    <definedName name="Partner" localSheetId="1">#REF!</definedName>
    <definedName name="Partner_table" localSheetId="1">#REF!</definedName>
    <definedName name="PP" localSheetId="0" hidden="1">'EQUIPA MASTER'!$C$2:$BG$2</definedName>
    <definedName name="Professional_Services" localSheetId="1">SPS_table[NEW_POSITION]</definedName>
    <definedName name="PS" localSheetId="1">SPS_table[NEW_POSITION]</definedName>
    <definedName name="Sales" localSheetId="1">#REF!</definedName>
    <definedName name="SALES">SALES_table[NEW POSITION]</definedName>
    <definedName name="SPS" localSheetId="1">SPS_table[NEW_POSITION]</definedName>
    <definedName name="SPS">SPS_table[NEW_POSITION]</definedName>
    <definedName name="sq" localSheetId="0" hidden="1">'EQUIPA MASTER'!$C$2:$BG$2</definedName>
    <definedName name="SS" localSheetId="0" hidden="1">'EQUIPA MASTER'!$C$2:$BG$2</definedName>
    <definedName name="sw" localSheetId="0" hidden="1">'EQUIPA MASTER'!$C$2:$BG$2</definedName>
    <definedName name="xx" localSheetId="0" hidden="1">'EQUIPA MASTER'!$B$2:$BG$2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" i="13" l="1"/>
  <c r="BA5" i="13"/>
  <c r="BH5" i="13" s="1"/>
  <c r="AS5" i="13"/>
  <c r="AR5" i="13"/>
  <c r="AQ5" i="13"/>
  <c r="AM5" i="13"/>
  <c r="AN5" i="13" s="1"/>
  <c r="AH5" i="13"/>
  <c r="W5" i="13"/>
  <c r="T5" i="13"/>
  <c r="N5" i="13"/>
  <c r="O5" i="13" s="1"/>
  <c r="L5" i="13"/>
  <c r="M5" i="13" s="1"/>
  <c r="BG5" i="13" l="1"/>
  <c r="AR3" i="13" l="1"/>
  <c r="AR4" i="13"/>
  <c r="AR6" i="13"/>
  <c r="BB4" i="13" l="1"/>
  <c r="BB6" i="13"/>
  <c r="G17" i="8" l="1"/>
  <c r="AS3" i="13"/>
  <c r="AS6" i="13"/>
  <c r="AS4" i="13"/>
  <c r="E2" i="9"/>
  <c r="F2" i="9" s="1"/>
  <c r="P3" i="13" s="1"/>
  <c r="AI3" i="13" s="1"/>
  <c r="E3" i="9"/>
  <c r="F3" i="9" s="1"/>
  <c r="E4" i="9"/>
  <c r="F4" i="9" s="1"/>
  <c r="E5" i="9"/>
  <c r="F5" i="9" s="1"/>
  <c r="F75" i="8"/>
  <c r="G75" i="8" s="1"/>
  <c r="K75" i="8" s="1"/>
  <c r="AM3" i="13"/>
  <c r="AN3" i="13" s="1"/>
  <c r="AM6" i="13"/>
  <c r="AN6" i="13" s="1"/>
  <c r="AM4" i="13"/>
  <c r="AN4" i="13" s="1"/>
  <c r="E9" i="6"/>
  <c r="T3" i="13"/>
  <c r="T6" i="13"/>
  <c r="T4" i="13"/>
  <c r="W3" i="13"/>
  <c r="W6" i="13"/>
  <c r="W4" i="13"/>
  <c r="G13" i="8"/>
  <c r="G11" i="8"/>
  <c r="G9" i="8"/>
  <c r="G23" i="8"/>
  <c r="G22" i="8"/>
  <c r="G27" i="8"/>
  <c r="G15" i="8"/>
  <c r="G21" i="8"/>
  <c r="G14" i="8"/>
  <c r="G24" i="8"/>
  <c r="G19" i="8"/>
  <c r="G25" i="8"/>
  <c r="G61" i="8"/>
  <c r="G64" i="8"/>
  <c r="G65" i="8"/>
  <c r="G63" i="8"/>
  <c r="G62" i="8"/>
  <c r="G47" i="8"/>
  <c r="G7" i="8"/>
  <c r="G59" i="8"/>
  <c r="G53" i="8"/>
  <c r="G52" i="8"/>
  <c r="G51" i="8"/>
  <c r="G16" i="8"/>
  <c r="G10" i="8"/>
  <c r="G18" i="8"/>
  <c r="G77" i="8"/>
  <c r="G20" i="8"/>
  <c r="G12" i="8"/>
  <c r="G40" i="8"/>
  <c r="G38" i="8"/>
  <c r="G39" i="8"/>
  <c r="K39" i="8" s="1"/>
  <c r="G41" i="8"/>
  <c r="G43" i="8"/>
  <c r="E15" i="6"/>
  <c r="G15" i="6" s="1"/>
  <c r="BA4" i="13"/>
  <c r="BH4" i="13" s="1"/>
  <c r="AQ4" i="13"/>
  <c r="AH4" i="13"/>
  <c r="N4" i="13"/>
  <c r="O4" i="13" s="1"/>
  <c r="L4" i="13"/>
  <c r="M4" i="13" s="1"/>
  <c r="BA3" i="13"/>
  <c r="BH3" i="13" s="1"/>
  <c r="AQ3" i="13"/>
  <c r="N3" i="13"/>
  <c r="O3" i="13" s="1"/>
  <c r="L3" i="13"/>
  <c r="M3" i="13" s="1"/>
  <c r="BA6" i="13"/>
  <c r="BH6" i="13" s="1"/>
  <c r="AQ6" i="13"/>
  <c r="N6" i="13"/>
  <c r="O6" i="13" s="1"/>
  <c r="L6" i="13"/>
  <c r="M6" i="13" s="1"/>
  <c r="N26" i="8"/>
  <c r="N29" i="8"/>
  <c r="C17" i="6"/>
  <c r="D17" i="6" s="1"/>
  <c r="G2" i="9"/>
  <c r="G3" i="9"/>
  <c r="G4" i="9"/>
  <c r="G5" i="9"/>
  <c r="F15" i="6"/>
  <c r="E16" i="6"/>
  <c r="G16" i="6" s="1"/>
  <c r="D16" i="6"/>
  <c r="F16" i="6" s="1"/>
  <c r="D15" i="6"/>
  <c r="J53" i="8"/>
  <c r="N23" i="8"/>
  <c r="J18" i="8"/>
  <c r="N27" i="8"/>
  <c r="D18" i="6"/>
  <c r="E18" i="6" s="1"/>
  <c r="D19" i="6"/>
  <c r="E8" i="6"/>
  <c r="N25" i="8"/>
  <c r="K80" i="8"/>
  <c r="J79" i="8"/>
  <c r="G78" i="8"/>
  <c r="J78" i="8" s="1"/>
  <c r="J77" i="8"/>
  <c r="K77" i="8"/>
  <c r="G76" i="8"/>
  <c r="J76" i="8" s="1"/>
  <c r="G74" i="8"/>
  <c r="K74" i="8" s="1"/>
  <c r="G73" i="8"/>
  <c r="J73" i="8" s="1"/>
  <c r="G72" i="8"/>
  <c r="K72" i="8" s="1"/>
  <c r="G71" i="8"/>
  <c r="K71" i="8" s="1"/>
  <c r="G70" i="8"/>
  <c r="J70" i="8" s="1"/>
  <c r="G69" i="8"/>
  <c r="J69" i="8" s="1"/>
  <c r="J67" i="8"/>
  <c r="K67" i="8"/>
  <c r="J66" i="8"/>
  <c r="J65" i="8"/>
  <c r="K64" i="8"/>
  <c r="J63" i="8"/>
  <c r="K63" i="8"/>
  <c r="K62" i="8"/>
  <c r="J61" i="8"/>
  <c r="G60" i="8"/>
  <c r="J60" i="8" s="1"/>
  <c r="K59" i="8"/>
  <c r="G58" i="8"/>
  <c r="K58" i="8" s="1"/>
  <c r="G57" i="8"/>
  <c r="J57" i="8" s="1"/>
  <c r="G55" i="8"/>
  <c r="J55" i="8" s="1"/>
  <c r="K54" i="8"/>
  <c r="J52" i="8"/>
  <c r="K51" i="8"/>
  <c r="J51" i="8"/>
  <c r="G50" i="8"/>
  <c r="K50" i="8" s="1"/>
  <c r="G49" i="8"/>
  <c r="K49" i="8" s="1"/>
  <c r="G48" i="8"/>
  <c r="K48" i="8" s="1"/>
  <c r="K47" i="8"/>
  <c r="J47" i="8"/>
  <c r="G46" i="8"/>
  <c r="J46" i="8" s="1"/>
  <c r="G45" i="8"/>
  <c r="K45" i="8" s="1"/>
  <c r="K43" i="8"/>
  <c r="G42" i="8"/>
  <c r="J42" i="8" s="1"/>
  <c r="J41" i="8"/>
  <c r="K41" i="8"/>
  <c r="K40" i="8"/>
  <c r="J39" i="8"/>
  <c r="J38" i="8"/>
  <c r="G37" i="8"/>
  <c r="J37" i="8" s="1"/>
  <c r="G36" i="8"/>
  <c r="J36" i="8" s="1"/>
  <c r="G35" i="8"/>
  <c r="J35" i="8" s="1"/>
  <c r="G34" i="8"/>
  <c r="J34" i="8" s="1"/>
  <c r="G33" i="8"/>
  <c r="J33" i="8" s="1"/>
  <c r="G32" i="8"/>
  <c r="J32" i="8" s="1"/>
  <c r="G31" i="8"/>
  <c r="J31" i="8" s="1"/>
  <c r="J29" i="8"/>
  <c r="G28" i="8"/>
  <c r="J28" i="8" s="1"/>
  <c r="K27" i="8"/>
  <c r="J26" i="8"/>
  <c r="G8" i="8"/>
  <c r="N8" i="8" s="1"/>
  <c r="G6" i="8"/>
  <c r="N6" i="8" s="1"/>
  <c r="G5" i="8"/>
  <c r="K5" i="8" s="1"/>
  <c r="G4" i="8"/>
  <c r="K4" i="8" s="1"/>
  <c r="K26" i="8"/>
  <c r="K29" i="8"/>
  <c r="K79" i="8"/>
  <c r="J54" i="8"/>
  <c r="K66" i="8"/>
  <c r="J80" i="8"/>
  <c r="E19" i="6"/>
  <c r="E20" i="6"/>
  <c r="G20" i="6" s="1"/>
  <c r="H6" i="6"/>
  <c r="I28" i="6"/>
  <c r="K65" i="8"/>
  <c r="J23" i="8"/>
  <c r="J40" i="8"/>
  <c r="J43" i="8"/>
  <c r="J59" i="8"/>
  <c r="J62" i="8"/>
  <c r="K38" i="8"/>
  <c r="K52" i="8"/>
  <c r="K53" i="8"/>
  <c r="K61" i="8"/>
  <c r="J64" i="8"/>
  <c r="J27" i="8"/>
  <c r="K23" i="8"/>
  <c r="K25" i="8"/>
  <c r="K10" i="8"/>
  <c r="N10" i="8"/>
  <c r="K15" i="8"/>
  <c r="N15" i="8"/>
  <c r="K20" i="8"/>
  <c r="N20" i="8"/>
  <c r="J13" i="8"/>
  <c r="N13" i="8"/>
  <c r="K18" i="8"/>
  <c r="N18" i="8"/>
  <c r="J11" i="8"/>
  <c r="N11" i="8"/>
  <c r="J16" i="8"/>
  <c r="N16" i="8"/>
  <c r="J22" i="8"/>
  <c r="N22" i="8"/>
  <c r="K14" i="8"/>
  <c r="N14" i="8"/>
  <c r="K21" i="8"/>
  <c r="N21" i="8"/>
  <c r="K7" i="8"/>
  <c r="N7" i="8"/>
  <c r="J12" i="8"/>
  <c r="N12" i="8"/>
  <c r="K17" i="8"/>
  <c r="N17" i="8"/>
  <c r="J19" i="8"/>
  <c r="N19" i="8"/>
  <c r="J24" i="8"/>
  <c r="N24" i="8"/>
  <c r="J9" i="8"/>
  <c r="N9" i="8"/>
  <c r="K24" i="8"/>
  <c r="J10" i="8"/>
  <c r="K12" i="8"/>
  <c r="J25" i="8"/>
  <c r="K22" i="8"/>
  <c r="K13" i="8"/>
  <c r="K19" i="8"/>
  <c r="K16" i="8"/>
  <c r="K11" i="8"/>
  <c r="J14" i="8"/>
  <c r="J7" i="8"/>
  <c r="J17" i="8"/>
  <c r="J21" i="8"/>
  <c r="K9" i="8"/>
  <c r="J15" i="8"/>
  <c r="J20" i="8"/>
  <c r="P5" i="13" l="1"/>
  <c r="AI5" i="13" s="1"/>
  <c r="P4" i="13"/>
  <c r="AI4" i="13" s="1"/>
  <c r="J6" i="8"/>
  <c r="K34" i="8"/>
  <c r="J48" i="8"/>
  <c r="J72" i="8"/>
  <c r="J50" i="8"/>
  <c r="K31" i="8"/>
  <c r="K46" i="8"/>
  <c r="K8" i="8"/>
  <c r="K76" i="8"/>
  <c r="G19" i="6"/>
  <c r="BG3" i="13"/>
  <c r="J58" i="8"/>
  <c r="K32" i="8"/>
  <c r="E17" i="6"/>
  <c r="K37" i="8"/>
  <c r="K6" i="8"/>
  <c r="K36" i="8"/>
  <c r="J4" i="8"/>
  <c r="F19" i="6"/>
  <c r="N4" i="8"/>
  <c r="K42" i="8"/>
  <c r="J71" i="8"/>
  <c r="J5" i="8"/>
  <c r="G18" i="6"/>
  <c r="F18" i="6"/>
  <c r="K70" i="8"/>
  <c r="J74" i="8"/>
  <c r="J8" i="8"/>
  <c r="N5" i="8"/>
  <c r="N28" i="8"/>
  <c r="K69" i="8"/>
  <c r="K57" i="8"/>
  <c r="K60" i="8"/>
  <c r="P6" i="13"/>
  <c r="AI6" i="13" s="1"/>
  <c r="K33" i="8"/>
  <c r="J45" i="8"/>
  <c r="J49" i="8"/>
  <c r="K55" i="8"/>
  <c r="K73" i="8"/>
  <c r="K78" i="8"/>
  <c r="J75" i="8"/>
  <c r="K35" i="8"/>
  <c r="K28" i="8"/>
  <c r="BG4" i="13"/>
  <c r="BG6" i="13"/>
  <c r="V5" i="13"/>
  <c r="U5" i="13"/>
  <c r="AD5" i="13" l="1"/>
  <c r="AA5" i="13"/>
  <c r="AC5" i="13" s="1"/>
  <c r="AO5" i="13"/>
  <c r="AP5" i="13"/>
  <c r="Q5" i="13"/>
  <c r="AX5" i="13" l="1"/>
  <c r="AE5" i="13"/>
  <c r="AF5" i="13" s="1"/>
  <c r="AB5" i="13"/>
  <c r="AU5" i="13"/>
  <c r="AY5" i="13" s="1"/>
  <c r="BF5" i="13"/>
  <c r="G17" i="6"/>
  <c r="F17" i="6"/>
  <c r="AK5" i="13"/>
  <c r="AW5" i="13" l="1"/>
  <c r="AJ5" i="13"/>
  <c r="AZ5" i="13"/>
  <c r="BC5" i="13"/>
  <c r="BE5" i="13" l="1"/>
  <c r="BD5" i="13"/>
  <c r="AV5" i="13"/>
  <c r="V3" i="13"/>
  <c r="C14" i="6"/>
  <c r="E14" i="6" l="1"/>
  <c r="G14" i="6" s="1"/>
  <c r="AH6" i="13" l="1"/>
  <c r="G21" i="6" l="1"/>
  <c r="C21" i="6"/>
  <c r="AO3" i="13"/>
  <c r="D6" i="6"/>
  <c r="C13" i="6"/>
  <c r="AP6" i="13"/>
  <c r="C6" i="6"/>
  <c r="V6" i="13"/>
  <c r="AO4" i="13"/>
  <c r="AP4" i="13"/>
  <c r="AP3" i="13"/>
  <c r="U6" i="13"/>
  <c r="U3" i="13"/>
  <c r="AO6" i="13"/>
  <c r="U4" i="13"/>
  <c r="V4" i="13"/>
  <c r="AA4" i="13" l="1"/>
  <c r="AC4" i="13" s="1"/>
  <c r="AB4" i="13" s="1"/>
  <c r="AD4" i="13"/>
  <c r="AU6" i="13"/>
  <c r="AW6" i="13" s="1"/>
  <c r="AV6" i="13" s="1"/>
  <c r="AX6" i="13"/>
  <c r="BF6" i="13"/>
  <c r="AA6" i="13"/>
  <c r="AE6" i="13" s="1"/>
  <c r="AF6" i="13" s="1"/>
  <c r="AD6" i="13"/>
  <c r="AU4" i="13"/>
  <c r="AY4" i="13" s="1"/>
  <c r="AZ4" i="13" s="1"/>
  <c r="AX4" i="13"/>
  <c r="BF4" i="13"/>
  <c r="E13" i="6"/>
  <c r="K7" i="6"/>
  <c r="BF3" i="13"/>
  <c r="AX3" i="13"/>
  <c r="AU3" i="13"/>
  <c r="AW3" i="13" s="1"/>
  <c r="AV3" i="13" s="1"/>
  <c r="AD3" i="13"/>
  <c r="AA3" i="13"/>
  <c r="AE3" i="13" s="1"/>
  <c r="AH3" i="13" s="1"/>
  <c r="C22" i="6"/>
  <c r="G9" i="6"/>
  <c r="F9" i="6"/>
  <c r="Q3" i="13"/>
  <c r="AK6" i="13"/>
  <c r="AK3" i="13"/>
  <c r="Q4" i="13"/>
  <c r="Q6" i="13"/>
  <c r="AK4" i="13"/>
  <c r="AF3" i="13" l="1"/>
  <c r="AY3" i="13"/>
  <c r="AZ3" i="13" s="1"/>
  <c r="AY6" i="13"/>
  <c r="AJ6" i="13"/>
  <c r="AJ3" i="13"/>
  <c r="D20" i="6"/>
  <c r="F20" i="6" s="1"/>
  <c r="D14" i="6"/>
  <c r="F14" i="6" s="1"/>
  <c r="F21" i="6"/>
  <c r="D21" i="6" s="1"/>
  <c r="K6" i="6"/>
  <c r="D13" i="6"/>
  <c r="AJ4" i="13"/>
  <c r="AC6" i="13"/>
  <c r="AE4" i="13"/>
  <c r="E22" i="6"/>
  <c r="G13" i="6"/>
  <c r="G22" i="6" s="1"/>
  <c r="I22" i="6" s="1"/>
  <c r="AC3" i="13"/>
  <c r="AB3" i="13" s="1"/>
  <c r="AW4" i="13"/>
  <c r="BC3" i="13" l="1"/>
  <c r="BD3" i="13"/>
  <c r="J22" i="6"/>
  <c r="J24" i="6" s="1"/>
  <c r="BB3" i="13"/>
  <c r="BC6" i="13"/>
  <c r="AZ6" i="13"/>
  <c r="AV4" i="13"/>
  <c r="BD4" i="13"/>
  <c r="BE4" i="13"/>
  <c r="AF4" i="13"/>
  <c r="BC4" i="13"/>
  <c r="AB6" i="13"/>
  <c r="BE6" i="13"/>
  <c r="BD6" i="13"/>
  <c r="BE3" i="13"/>
  <c r="F13" i="6"/>
  <c r="F22" i="6" s="1"/>
  <c r="D22" i="6"/>
  <c r="K8" i="6" s="1"/>
  <c r="I23" i="6"/>
  <c r="I24" i="6"/>
  <c r="J23" i="6" l="1"/>
  <c r="K28" i="6" s="1"/>
  <c r="D25" i="6"/>
  <c r="D26" i="6" s="1"/>
  <c r="F25" i="6"/>
  <c r="F26" i="6" s="1"/>
  <c r="K27" i="6"/>
  <c r="I25" i="6"/>
  <c r="J25" i="6" l="1"/>
</calcChain>
</file>

<file path=xl/sharedStrings.xml><?xml version="1.0" encoding="utf-8"?>
<sst xmlns="http://schemas.openxmlformats.org/spreadsheetml/2006/main" count="896" uniqueCount="372">
  <si>
    <t>SPS</t>
  </si>
  <si>
    <t>OO</t>
  </si>
  <si>
    <t>HR</t>
  </si>
  <si>
    <t>C</t>
  </si>
  <si>
    <t>SALES</t>
  </si>
  <si>
    <t>Bruto Anual Empresa</t>
  </si>
  <si>
    <t>PROJECT</t>
  </si>
  <si>
    <t>SERVICE DESK</t>
  </si>
  <si>
    <t>SIBS</t>
  </si>
  <si>
    <t>Nome</t>
  </si>
  <si>
    <t>Grupo</t>
  </si>
  <si>
    <t>Nível</t>
  </si>
  <si>
    <t>Tabela Salarial</t>
  </si>
  <si>
    <t>Sítio</t>
  </si>
  <si>
    <t>Departamento</t>
  </si>
  <si>
    <t>Posição/Cliente</t>
  </si>
  <si>
    <t>Data de Última Revisão de Nível</t>
  </si>
  <si>
    <t>Meses Última Revisão de Nível</t>
  </si>
  <si>
    <t>Data Fim Contrato</t>
  </si>
  <si>
    <t>Meses Para Fim Contrato</t>
  </si>
  <si>
    <t>Level</t>
  </si>
  <si>
    <t>Salário Mensal Líquido</t>
  </si>
  <si>
    <t>Car Type</t>
  </si>
  <si>
    <t>Car Value</t>
  </si>
  <si>
    <t>TTA</t>
  </si>
  <si>
    <t>Base Salary</t>
  </si>
  <si>
    <t>IHT</t>
  </si>
  <si>
    <t>Subs Refeição</t>
  </si>
  <si>
    <t>Despesas</t>
  </si>
  <si>
    <t>Variável</t>
  </si>
  <si>
    <t>Bonus</t>
  </si>
  <si>
    <t>Bruto Anual Colaborador
 (S/ Prémio)</t>
  </si>
  <si>
    <t>Bruto Anual Colaborador</t>
  </si>
  <si>
    <t>Bruto Anual Empresa
(S/ Prémio)</t>
  </si>
  <si>
    <t>Custo Mensal Empresa</t>
  </si>
  <si>
    <t>Rate</t>
  </si>
  <si>
    <t>Margem Atual
(c/ Prémio)</t>
  </si>
  <si>
    <t>New Level</t>
  </si>
  <si>
    <t>Bruto Anual Colaborador
(S/ Prémio)</t>
  </si>
  <si>
    <t>Bruto Anual Empresa (S/ Prémio)</t>
  </si>
  <si>
    <t>Custo Mensal Empresa
(Sem Prémio)</t>
  </si>
  <si>
    <t>Aumento Bruto Empresa</t>
  </si>
  <si>
    <t>Aumento Colaborador Anual</t>
  </si>
  <si>
    <t>% Aumento</t>
  </si>
  <si>
    <t>Aumento Base</t>
  </si>
  <si>
    <t>Aumento Despesas</t>
  </si>
  <si>
    <t>Aumento Rate</t>
  </si>
  <si>
    <t>Comentário</t>
  </si>
  <si>
    <t>IC</t>
  </si>
  <si>
    <t>Outsourcing</t>
  </si>
  <si>
    <t>Normal</t>
  </si>
  <si>
    <t>Marketing</t>
  </si>
  <si>
    <t>HQ</t>
  </si>
  <si>
    <t>CONSULTANT B</t>
  </si>
  <si>
    <t>N/A</t>
  </si>
  <si>
    <t>HUMAN RESOURCES MANAGER B</t>
  </si>
  <si>
    <t>CONSULTANT C</t>
  </si>
  <si>
    <t>SENIOR CONSULTANT D</t>
  </si>
  <si>
    <t>OFFICE OPERATIONS ASSISTANT D</t>
  </si>
  <si>
    <t>old-ADM-IV</t>
  </si>
  <si>
    <t>HUMAN RESOURCES ASSISTANT B</t>
  </si>
  <si>
    <t>PROJ/TEAM MANAGER OR SOLUTION MANAGER B</t>
  </si>
  <si>
    <t>SENIOR PROJ/TEAM  MANAGER OR SENIOR SOLUTION MNG C</t>
  </si>
  <si>
    <t>SENIOR CONSULTANT B</t>
  </si>
  <si>
    <t>ASSOCIATE PROJ MANAGER OR SOLUTION ARCH D</t>
  </si>
  <si>
    <t>OFFICE OPERATIONS ASSISTANT B</t>
  </si>
  <si>
    <t>SENIOR CONSULTANT C</t>
  </si>
  <si>
    <t>SENIOR PROJ/TEAM  MANAGER OR SENIOR SOLUTION MNG B</t>
  </si>
  <si>
    <t>CONSULTANT D</t>
  </si>
  <si>
    <t>PROF SERVICES MANAGER B</t>
  </si>
  <si>
    <t>TERRITORY ACCOUNT MANAGER A</t>
  </si>
  <si>
    <t>SENIOR CONSULTANT A</t>
  </si>
  <si>
    <t>João Papoila Silva</t>
  </si>
  <si>
    <t>STRATEGIC ACCOUNT MANAGER B</t>
  </si>
  <si>
    <t>ASSOCIATE PROJ MANAGER OR SOLUTION ARCH C</t>
  </si>
  <si>
    <t>PROJ/TEAM MANAGER OR SOLUTION MANAGER A</t>
  </si>
  <si>
    <t>ASSOCIATE PROJ MANAGER OR SOLUTION ARCH A</t>
  </si>
  <si>
    <t>PROJ/TEAM MANAGER OR SOLUTION MANAGER C</t>
  </si>
  <si>
    <t>HUMAN RESOURCES ASSISTANT C</t>
  </si>
  <si>
    <t>CONSULTANT A</t>
  </si>
  <si>
    <t>MARKETING MANAGER C</t>
  </si>
  <si>
    <t>HUMAN RESOURCES  MANAGER C</t>
  </si>
  <si>
    <t>TERRITORY ACCOUNT MANAGER B</t>
  </si>
  <si>
    <t>nomecolaborador</t>
  </si>
  <si>
    <t>begindate</t>
  </si>
  <si>
    <t>desc</t>
  </si>
  <si>
    <t>datafim</t>
  </si>
  <si>
    <t>2099-12-31 00:00:00.000</t>
  </si>
  <si>
    <t>MARKETING ASSISTANT C</t>
  </si>
  <si>
    <t>old-PMng III</t>
  </si>
  <si>
    <t>ASSOCIATE CONSULTANT B</t>
  </si>
  <si>
    <t>MARKETING ASSISTANT B</t>
  </si>
  <si>
    <t>old-PPMng II</t>
  </si>
  <si>
    <t>MARKETING DIRECTOR C</t>
  </si>
  <si>
    <t>2020-01-02 00:00:00.000</t>
  </si>
  <si>
    <t>HUMAN RESOURCES DIRECTOR C</t>
  </si>
  <si>
    <t>old-CST   VII</t>
  </si>
  <si>
    <t>HUMAN RESOURCES ASSISTANT A</t>
  </si>
  <si>
    <t>MARKETING ASSISTANT A</t>
  </si>
  <si>
    <t>old-PPMng I</t>
  </si>
  <si>
    <t xml:space="preserve"> TERRITORY ACCOUNT MANAGER D</t>
  </si>
  <si>
    <t>Novo Projeto</t>
  </si>
  <si>
    <t>Ida para o Estrangeiro</t>
  </si>
  <si>
    <t>Internalização Cliente</t>
  </si>
  <si>
    <t>Não Renovação - Decisão Syone</t>
  </si>
  <si>
    <t>Não Adaptação</t>
  </si>
  <si>
    <t>Sujeitos passivos não casados e a sujeitos passivos casados (dois titulares)</t>
  </si>
  <si>
    <t>AREAS</t>
  </si>
  <si>
    <t>MARITAL STATUS</t>
  </si>
  <si>
    <t>TABLE NAME</t>
  </si>
  <si>
    <t>Column1</t>
  </si>
  <si>
    <t>NUMBER OF DEPENDENTS</t>
  </si>
  <si>
    <t>Employee Social Security</t>
  </si>
  <si>
    <t>Remuneração Mensal Bruta</t>
  </si>
  <si>
    <t>Taxa </t>
  </si>
  <si>
    <t>NÃO CASADO</t>
  </si>
  <si>
    <t>NOT_MARRIED</t>
  </si>
  <si>
    <t>NOT_MARRIED_or_MARRIED_2T_Extra</t>
  </si>
  <si>
    <t>Company Social Secutiry</t>
  </si>
  <si>
    <t>Sales</t>
  </si>
  <si>
    <t>CASADO UNICO TITULAR</t>
  </si>
  <si>
    <t>MARRIED_1T</t>
  </si>
  <si>
    <t>MARRIED_1T_Extra</t>
  </si>
  <si>
    <t>Extra Tax</t>
  </si>
  <si>
    <t>CASADO DOIS TITULARES</t>
  </si>
  <si>
    <t>MARRIED_2T</t>
  </si>
  <si>
    <t>Minimum Wage</t>
  </si>
  <si>
    <t>NÃO CASADO - DEFICIENTE</t>
  </si>
  <si>
    <t>NOT_MARRIED_DEF</t>
  </si>
  <si>
    <t>A La Card Tax</t>
  </si>
  <si>
    <t>CASADO UNICO TITULAR - DEFICIENTE</t>
  </si>
  <si>
    <t>MARRIED_1T_DEF</t>
  </si>
  <si>
    <t>TTA KMs</t>
  </si>
  <si>
    <t>CASADO DOIS TITULARES - DEFICIENTE</t>
  </si>
  <si>
    <t>MARRIED_2T_DEF</t>
  </si>
  <si>
    <t>TTA Car Normal -25K</t>
  </si>
  <si>
    <t>Sujeitos passivos casados (único titular)</t>
  </si>
  <si>
    <t>TTA Car Normal -35K</t>
  </si>
  <si>
    <t>TTA Car Normal +35K</t>
  </si>
  <si>
    <t>TTA Car Plugin -25K</t>
  </si>
  <si>
    <t>TTA Car Plugin -35K</t>
  </si>
  <si>
    <t>CAR TYPE</t>
  </si>
  <si>
    <t>TTA Car Plugin -50K</t>
  </si>
  <si>
    <t>Car Amortization Months</t>
  </si>
  <si>
    <t>Plugin</t>
  </si>
  <si>
    <t>Lunch</t>
  </si>
  <si>
    <t>SAÍDA SYONE</t>
  </si>
  <si>
    <t>PROFESSIONAL SERVICES</t>
  </si>
  <si>
    <t>NEW_LEVEL</t>
  </si>
  <si>
    <t>OLD_LEVEL</t>
  </si>
  <si>
    <t>NEW_POSITION</t>
  </si>
  <si>
    <t>ORDENADO</t>
  </si>
  <si>
    <t>ISENÇÃO</t>
  </si>
  <si>
    <t>ALIM</t>
  </si>
  <si>
    <t>COMPL</t>
  </si>
  <si>
    <t>YEAR MAX</t>
  </si>
  <si>
    <t>YEAR MIN</t>
  </si>
  <si>
    <t>CAR</t>
  </si>
  <si>
    <t>BONUS</t>
  </si>
  <si>
    <t>PSDir A</t>
  </si>
  <si>
    <t>PROF SERVICES DIRECTOR A</t>
  </si>
  <si>
    <t>Car Plugin -50K or Car Normal -35K</t>
  </si>
  <si>
    <t>PSDir B</t>
  </si>
  <si>
    <t>PROF SERVICES DIRECTOR B</t>
  </si>
  <si>
    <t>PSMng A</t>
  </si>
  <si>
    <t>PROF SERVICES MANAGER A</t>
  </si>
  <si>
    <t>Car Plugin -35K or Car Normal -30K</t>
  </si>
  <si>
    <t>PSMng B</t>
  </si>
  <si>
    <t>SMng A</t>
  </si>
  <si>
    <t>SENIOR PROJ/TEAM  MANAGER OR SENIOR SOLUTION MNG A</t>
  </si>
  <si>
    <t>Car Plugin -30K or Car Normal -25K</t>
  </si>
  <si>
    <t>SMng B</t>
  </si>
  <si>
    <t>SMng C</t>
  </si>
  <si>
    <t>Mng A</t>
  </si>
  <si>
    <t>Mng B</t>
  </si>
  <si>
    <t>old-PMng II</t>
  </si>
  <si>
    <t>Mng C</t>
  </si>
  <si>
    <t>old-PMng I</t>
  </si>
  <si>
    <t>AMng A</t>
  </si>
  <si>
    <t>old-CST XII</t>
  </si>
  <si>
    <t>Evaluation</t>
  </si>
  <si>
    <t>AMng B</t>
  </si>
  <si>
    <t>old-CST XI</t>
  </si>
  <si>
    <t>ASSOCIATE PROJ MANAGER OR SOLUTION ARCH B</t>
  </si>
  <si>
    <t>AMng C</t>
  </si>
  <si>
    <t>old-CST X</t>
  </si>
  <si>
    <t>AMng D</t>
  </si>
  <si>
    <t>old-CST IX</t>
  </si>
  <si>
    <t>SCons A</t>
  </si>
  <si>
    <t>old-CST   VIII</t>
  </si>
  <si>
    <t>SCons B</t>
  </si>
  <si>
    <t>SCons C</t>
  </si>
  <si>
    <t>old-CST   VI</t>
  </si>
  <si>
    <t>SCons D</t>
  </si>
  <si>
    <t>old-CST   V</t>
  </si>
  <si>
    <t>Cons A</t>
  </si>
  <si>
    <t>old-CST   IV</t>
  </si>
  <si>
    <t>Cons B</t>
  </si>
  <si>
    <t>old-CST   III</t>
  </si>
  <si>
    <t>Cons C</t>
  </si>
  <si>
    <t>old-CST   II</t>
  </si>
  <si>
    <t>Cons D</t>
  </si>
  <si>
    <t>CST I C/ ISENÇÃO</t>
  </si>
  <si>
    <t>ACons A</t>
  </si>
  <si>
    <t>old-CST I</t>
  </si>
  <si>
    <t>ASSOCIATE CONSULTANT A</t>
  </si>
  <si>
    <t>ACons B</t>
  </si>
  <si>
    <t>ACons C</t>
  </si>
  <si>
    <t>ASSOCIATE CONSULTANT C</t>
  </si>
  <si>
    <t>ACons D</t>
  </si>
  <si>
    <t>ASSOCIATE CONSULTANT D</t>
  </si>
  <si>
    <t>NEW LEVEL</t>
  </si>
  <si>
    <t>NEW POSITION</t>
  </si>
  <si>
    <t>COMDIR-III</t>
  </si>
  <si>
    <t>SALES DIRECTOR A</t>
  </si>
  <si>
    <t>COMDIR-II</t>
  </si>
  <si>
    <t>SALES DIRECTOR B</t>
  </si>
  <si>
    <t>COMDIR-I</t>
  </si>
  <si>
    <t>SALES DIRECTOR C</t>
  </si>
  <si>
    <t>COMMNG-III</t>
  </si>
  <si>
    <t>SALES MANAGER A</t>
  </si>
  <si>
    <t>COMMNG-II</t>
  </si>
  <si>
    <t>SALES MANAGER B</t>
  </si>
  <si>
    <t>COMMNG-I</t>
  </si>
  <si>
    <t>SALES MANAGER C</t>
  </si>
  <si>
    <t>COMS III</t>
  </si>
  <si>
    <t>STRATEGIC ACCOUNT MANAGER A</t>
  </si>
  <si>
    <t>COMS II</t>
  </si>
  <si>
    <t>COMS I</t>
  </si>
  <si>
    <t>STRATEGIC ACCOUNT MANAGER C</t>
  </si>
  <si>
    <t>COMT IV</t>
  </si>
  <si>
    <t>COMT III</t>
  </si>
  <si>
    <t>COMT II</t>
  </si>
  <si>
    <t>TERRITORY ACCOUNT MANAGER C</t>
  </si>
  <si>
    <t>COMT I</t>
  </si>
  <si>
    <t>MARKETING</t>
  </si>
  <si>
    <t>MKTDIR-III</t>
  </si>
  <si>
    <t>MARKETING DIRECTOR A</t>
  </si>
  <si>
    <t>MKTDIR-II</t>
  </si>
  <si>
    <t>MARKETING DIRECTOR B</t>
  </si>
  <si>
    <t>MKTDIR-I</t>
  </si>
  <si>
    <t>MKTMNG-III</t>
  </si>
  <si>
    <t>MARKETING MANAGER A</t>
  </si>
  <si>
    <t>MKTMNG-II</t>
  </si>
  <si>
    <t>MARKETING MANAGER B</t>
  </si>
  <si>
    <t>MKTMNG-I</t>
  </si>
  <si>
    <t>MKT-V</t>
  </si>
  <si>
    <t>MKT-IV</t>
  </si>
  <si>
    <t>MKT-III</t>
  </si>
  <si>
    <t>MKT-II</t>
  </si>
  <si>
    <t>MARKETING ASSISTANT D</t>
  </si>
  <si>
    <t>MKT-I</t>
  </si>
  <si>
    <t>MARKETING ASSISTANT E</t>
  </si>
  <si>
    <t>HUMAN RESOURCES</t>
  </si>
  <si>
    <t>HRDIR-III</t>
  </si>
  <si>
    <t>HUMAN RESOURCES DIRECTOR A</t>
  </si>
  <si>
    <t>HRDIR-II</t>
  </si>
  <si>
    <t>HUMAN RESOURCES DIRECTOR B</t>
  </si>
  <si>
    <t>HRDIR-I</t>
  </si>
  <si>
    <t>HRMNG-III</t>
  </si>
  <si>
    <t>HUMAN RESOURCES MANAGER A</t>
  </si>
  <si>
    <t>HRMNG-II</t>
  </si>
  <si>
    <t>HRMNG-I</t>
  </si>
  <si>
    <t>HR-V</t>
  </si>
  <si>
    <t>HR-IV</t>
  </si>
  <si>
    <t>HR-III</t>
  </si>
  <si>
    <t>HR-II</t>
  </si>
  <si>
    <t>HUMAN RESOURCES ASSISTANT D</t>
  </si>
  <si>
    <t>HR-I</t>
  </si>
  <si>
    <t>HUMAN RESOURCES ASSISTANT E</t>
  </si>
  <si>
    <t>OFFICE OPERATIONS</t>
  </si>
  <si>
    <t>OOPDIR-III</t>
  </si>
  <si>
    <t>OFFICE OPERATIONS DIRECTOR A</t>
  </si>
  <si>
    <t>OOPDIR-II</t>
  </si>
  <si>
    <t>OFFICE OPERATIONS DIRECTOR B</t>
  </si>
  <si>
    <t>OOPDIR-I</t>
  </si>
  <si>
    <t>OFFICE OPERATIONS DIRECTOR C</t>
  </si>
  <si>
    <t>OOPMNG-III</t>
  </si>
  <si>
    <t>OFFICE OPERATIONS MANAGER A</t>
  </si>
  <si>
    <t>OOPMNG-II</t>
  </si>
  <si>
    <t>OFFICE OPERATIONS MANAGER B</t>
  </si>
  <si>
    <t>OOPMNG-I</t>
  </si>
  <si>
    <t>OFFICE OPERATIONS  MANAGER C</t>
  </si>
  <si>
    <t>OOP-V</t>
  </si>
  <si>
    <t>OFFICE OPERATIONS ASSISTANT A</t>
  </si>
  <si>
    <t>OOP-IV</t>
  </si>
  <si>
    <t>OOP-III</t>
  </si>
  <si>
    <t>OFFICE OPERATIONS ASSISTANT C</t>
  </si>
  <si>
    <t>OOP-II</t>
  </si>
  <si>
    <t>OOP-I</t>
  </si>
  <si>
    <t>OFFICE OPERATIONS ASSISTANT E</t>
  </si>
  <si>
    <t>Tabela I - Trabalho dependente</t>
  </si>
  <si>
    <t>Não casado</t>
  </si>
  <si>
    <t>Remuneração mensal</t>
  </si>
  <si>
    <t>Número de dependentes</t>
  </si>
  <si>
    <t>Euros</t>
  </si>
  <si>
    <t>5 ou mais</t>
  </si>
  <si>
    <t>Até</t>
  </si>
  <si>
    <t>Superior a</t>
  </si>
  <si>
    <t>Tabela II - Trabalho dependente</t>
  </si>
  <si>
    <t>Casado único titular</t>
  </si>
  <si>
    <t>Tabela III - Trabalho dependente</t>
  </si>
  <si>
    <t>Casado dois titulares</t>
  </si>
  <si>
    <t>Tabela IV - Trabalho dependente</t>
  </si>
  <si>
    <t>Não casado - Deficiente</t>
  </si>
  <si>
    <t>Tabela V - Trabalho dependente</t>
  </si>
  <si>
    <t>Casado único titular - Deficiente</t>
  </si>
  <si>
    <t>Tabela VI - Trabalho dependente</t>
  </si>
  <si>
    <t>Casado dois titulares - Deficiente</t>
  </si>
  <si>
    <t>Tabela VII - Pensões</t>
  </si>
  <si>
    <t>Tabela VIII - Rendimentos de pensões</t>
  </si>
  <si>
    <t>Titulares deficientes</t>
  </si>
  <si>
    <t>Tabela IX - Rendimentos de pensões</t>
  </si>
  <si>
    <t>Titulares deficientes das Forças Armadas</t>
  </si>
  <si>
    <t>PICK AREA</t>
  </si>
  <si>
    <t>PICK LEVEL</t>
  </si>
  <si>
    <t>OLD LEVEL</t>
  </si>
  <si>
    <t>Car Total Value</t>
  </si>
  <si>
    <t>Employee IRS</t>
  </si>
  <si>
    <t>IRS</t>
  </si>
  <si>
    <t>COMPONENT</t>
  </si>
  <si>
    <t>MONTH</t>
  </si>
  <si>
    <t>YEAR</t>
  </si>
  <si>
    <t>TOTAL COMPANY</t>
  </si>
  <si>
    <t>All</t>
  </si>
  <si>
    <t>GROSS</t>
  </si>
  <si>
    <t>NET</t>
  </si>
  <si>
    <t>Number of Months</t>
  </si>
  <si>
    <t>Number of Days/Month</t>
  </si>
  <si>
    <t>Target Margin</t>
  </si>
  <si>
    <t>Subs. Refeição</t>
  </si>
  <si>
    <t>Justified Expenses</t>
  </si>
  <si>
    <t>Car</t>
  </si>
  <si>
    <t>Car Expenses</t>
  </si>
  <si>
    <t>Car Fuel</t>
  </si>
  <si>
    <t>Variable</t>
  </si>
  <si>
    <t>With Bonus</t>
  </si>
  <si>
    <t>Without Bonus</t>
  </si>
  <si>
    <t>Total</t>
  </si>
  <si>
    <t>Cost / Month</t>
  </si>
  <si>
    <t>Cost / Day</t>
  </si>
  <si>
    <t>Month Target Marg</t>
  </si>
  <si>
    <t>Total Net After Extra Tax with Bonus</t>
  </si>
  <si>
    <t>Day Target Marg</t>
  </si>
  <si>
    <t>Total Net After Extra Tax without Bonus</t>
  </si>
  <si>
    <t>Proposed Daily Rate</t>
  </si>
  <si>
    <t>Margin with Bonus</t>
  </si>
  <si>
    <t>Proposed Hour Rate</t>
  </si>
  <si>
    <t>Margin without Bonus</t>
  </si>
  <si>
    <t>Coluna1</t>
  </si>
  <si>
    <t>Coluna2</t>
  </si>
  <si>
    <t>Local</t>
  </si>
  <si>
    <t>Lisboa</t>
  </si>
  <si>
    <t>Service Desk</t>
  </si>
  <si>
    <t>Developers</t>
  </si>
  <si>
    <t>2019-11-22 00:00:00.000</t>
  </si>
  <si>
    <t>2020-11-22 00:00:00.000</t>
  </si>
  <si>
    <t>Account Manager</t>
  </si>
  <si>
    <t>2021-01-02 00:00:00.000</t>
  </si>
  <si>
    <t>Seg. Saúde</t>
  </si>
  <si>
    <t>Diferença</t>
  </si>
  <si>
    <t>Área</t>
  </si>
  <si>
    <t>Tabelas de retenção na fonte para o continente — 2020</t>
  </si>
  <si>
    <t>0,1%</t>
  </si>
  <si>
    <t>4,2%</t>
  </si>
  <si>
    <t>0,8%</t>
  </si>
  <si>
    <t>37,4%</t>
  </si>
  <si>
    <t>2020-05-04 00:00:00.000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</si>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</sst>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_-"/>
    <numFmt numFmtId="165" formatCode="_-&quot;€&quot;* #,##0.00_-;\-&quot;€&quot;* #,##0.00_-;_-&quot;€&quot;* &quot;-&quot;??_-;_-@_-"/>
    <numFmt numFmtId="166" formatCode="_-* #,##0.00\ _€_-;\-* #,##0.00\ _€_-;_-* &quot;-&quot;??\ _€_-;_-@_-"/>
    <numFmt numFmtId="167" formatCode="_(&quot;€&quot;* #,##0.00_);_(&quot;€&quot;* \(#,##0.00\);_(&quot;€&quot;* &quot;-&quot;??_);_(@_)"/>
    <numFmt numFmtId="169" formatCode="0.0%"/>
    <numFmt numFmtId="170" formatCode="_-* #,##0.00\ [$€]_-;\-* #,##0.00\ [$€]_-;_-* &quot;-&quot;??\ [$€]_-;_-@_-"/>
    <numFmt numFmtId="171" formatCode="#,##0.000000"/>
    <numFmt numFmtId="172" formatCode="#,##0.00\ [$€-1];[Red]\-#,##0.00\ [$€-1]"/>
    <numFmt numFmtId="173" formatCode="#,##0.00\ [$€-816]"/>
    <numFmt numFmtId="174" formatCode="\y\y\y\y\-mm\-dd"/>
    <numFmt numFmtId="175" formatCode="dd\-mm\-yyyy;@"/>
  </numFmts>
  <fonts count="52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0.5"/>
      <color rgb="FF2A6678"/>
      <name val="Calibri"/>
      <family val="2"/>
    </font>
    <font>
      <sz val="10.5"/>
      <color rgb="FF2A6678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Titillium WebRegular"/>
    </font>
    <font>
      <sz val="12"/>
      <color rgb="FFFFFFFF"/>
      <name val="Titillium WebRegular"/>
    </font>
    <font>
      <sz val="10.5"/>
      <color rgb="FF2A6678"/>
      <name val="Titillium WebRegular"/>
    </font>
    <font>
      <b/>
      <sz val="10.5"/>
      <color rgb="FF2A6678"/>
      <name val="Titillium WebRegular"/>
    </font>
    <font>
      <sz val="9"/>
      <name val="Titillium WebRegular"/>
    </font>
    <font>
      <sz val="11"/>
      <color theme="0"/>
      <name val="Titillium WebRegular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8"/>
      <name val="Comic Sans MS"/>
      <family val="4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3"/>
      <color rgb="FF0000FF"/>
      <name val="Verdana"/>
      <family val="2"/>
    </font>
    <font>
      <sz val="9"/>
      <color rgb="FFFFFFFF"/>
      <name val="Titillium WebRegular"/>
    </font>
    <font>
      <sz val="10"/>
      <color theme="0"/>
      <name val="Titillium WebRegular"/>
    </font>
    <font>
      <sz val="10.5"/>
      <color rgb="FFFFFFFF"/>
      <name val="Titillium WebRegular"/>
    </font>
    <font>
      <sz val="11"/>
      <color rgb="FFFFFFFF"/>
      <name val="Titillium WebRegular"/>
    </font>
    <font>
      <sz val="11"/>
      <color rgb="FF2A6678"/>
      <name val="Titillium WebRegular"/>
    </font>
    <font>
      <b/>
      <sz val="10.5"/>
      <color rgb="FFFFFFFF"/>
      <name val="Titillium WebRegular"/>
    </font>
    <font>
      <sz val="10"/>
      <name val="Titillium Web Regular"/>
    </font>
    <font>
      <sz val="14"/>
      <color theme="0"/>
      <name val="Titillium Web"/>
    </font>
    <font>
      <sz val="10"/>
      <name val="Titillium Web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color rgb="FF004A61"/>
      <name val="Titillium Web"/>
    </font>
    <font>
      <sz val="10.5"/>
      <color rgb="FF2A6678"/>
      <name val="Calibri"/>
      <family val="2"/>
    </font>
    <font>
      <sz val="12"/>
      <color rgb="FFFFFFFF"/>
      <name val="Calibri"/>
      <family val="2"/>
    </font>
    <font>
      <sz val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2A6678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27"/>
        <bgColor indexed="27"/>
      </patternFill>
    </fill>
    <fill>
      <patternFill patternType="solid">
        <f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9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2A6678"/>
      </top>
      <bottom style="medium">
        <color rgb="FF2A667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rgb="FF2A6678"/>
      </bottom>
      <diagonal/>
    </border>
    <border>
      <left style="thin">
        <color theme="0"/>
      </left>
      <right/>
      <top style="medium">
        <color rgb="FF2A6678"/>
      </top>
      <bottom style="medium">
        <color rgb="FF2A6678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medium">
        <color rgb="FF2A6678"/>
      </top>
      <bottom style="medium">
        <color rgb="FF2A6678"/>
      </bottom>
      <diagonal/>
    </border>
    <border>
      <left style="thin">
        <color theme="0"/>
      </left>
      <right style="thick">
        <color theme="0"/>
      </right>
      <top style="medium">
        <color rgb="FF2A6678"/>
      </top>
      <bottom/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 style="medium">
        <color rgb="FF2A6678"/>
      </top>
      <bottom style="medium">
        <color rgb="FF2A6678"/>
      </bottom>
      <diagonal/>
    </border>
    <border>
      <left style="thick">
        <color theme="0"/>
      </left>
      <right style="thin">
        <color theme="0"/>
      </right>
      <top style="medium">
        <color rgb="FF2A6678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medium">
        <color rgb="FF2A6678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rgb="FF2A6678"/>
      </top>
      <bottom style="medium">
        <color rgb="FF2A667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medium">
        <color rgb="FF2A6678"/>
      </top>
      <bottom style="medium">
        <color rgb="FF2A6678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medium">
        <color rgb="FF2A6678"/>
      </top>
      <bottom style="medium">
        <color rgb="FF2A6678"/>
      </bottom>
      <diagonal/>
    </border>
    <border>
      <left style="thick">
        <color theme="0"/>
      </left>
      <right style="thick">
        <color theme="0"/>
      </right>
      <top style="medium">
        <color rgb="FF2A6678"/>
      </top>
      <bottom/>
      <diagonal/>
    </border>
    <border>
      <left/>
      <right style="thick">
        <color theme="0"/>
      </right>
      <top style="medium">
        <color rgb="FF2A6678"/>
      </top>
      <bottom/>
      <diagonal/>
    </border>
    <border>
      <left style="thick">
        <color theme="0"/>
      </left>
      <right/>
      <top style="medium">
        <color rgb="FF2A6678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rgb="FF2A6678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ck">
        <color theme="0"/>
      </right>
      <top style="thick">
        <color theme="0"/>
      </top>
      <bottom style="medium">
        <color rgb="FF2A6678"/>
      </bottom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medium">
        <color rgb="FF2A6678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2A6678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rgb="FF2A6678"/>
      </top>
      <bottom style="medium">
        <color rgb="FF2A6678"/>
      </bottom>
      <diagonal/>
    </border>
    <border>
      <left style="medium">
        <color theme="0"/>
      </left>
      <right style="medium">
        <color theme="0"/>
      </right>
      <top style="medium">
        <color rgb="FF2A6678"/>
      </top>
      <bottom style="medium">
        <color rgb="FF2A6678"/>
      </bottom>
      <diagonal/>
    </border>
    <border>
      <left style="thick">
        <color theme="0"/>
      </left>
      <right style="thick">
        <color theme="0"/>
      </right>
      <top/>
      <bottom style="medium">
        <color rgb="FF2A6678"/>
      </bottom>
      <diagonal/>
    </border>
    <border>
      <left style="thin">
        <color theme="0"/>
      </left>
      <right style="thick">
        <color theme="0"/>
      </right>
      <top/>
      <bottom style="medium">
        <color rgb="FF2A6678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26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9" fillId="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18" fillId="6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2" fillId="18" borderId="29" applyNumberFormat="0" applyAlignment="0" applyProtection="0"/>
    <xf numFmtId="0" fontId="23" fillId="19" borderId="30" applyNumberForma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164" fontId="2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2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9" fillId="18" borderId="3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2" applyNumberFormat="0" applyFill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10" fillId="0" borderId="1" xfId="0" applyFont="1" applyBorder="1"/>
    <xf numFmtId="164" fontId="12" fillId="0" borderId="2" xfId="1" applyFont="1" applyBorder="1" applyAlignment="1">
      <alignment horizontal="center" vertical="center" wrapText="1"/>
    </xf>
    <xf numFmtId="0" fontId="10" fillId="0" borderId="4" xfId="0" applyFont="1" applyBorder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164" fontId="12" fillId="0" borderId="14" xfId="1" applyFont="1" applyBorder="1" applyAlignment="1">
      <alignment horizontal="center" vertical="center" wrapText="1"/>
    </xf>
    <xf numFmtId="164" fontId="12" fillId="0" borderId="15" xfId="1" applyFont="1" applyBorder="1" applyAlignment="1">
      <alignment horizontal="center" vertical="center" wrapText="1"/>
    </xf>
    <xf numFmtId="164" fontId="12" fillId="0" borderId="18" xfId="1" applyFont="1" applyBorder="1" applyAlignment="1">
      <alignment horizontal="center" vertical="center" wrapText="1"/>
    </xf>
    <xf numFmtId="164" fontId="12" fillId="0" borderId="19" xfId="1" applyFont="1" applyBorder="1" applyAlignment="1">
      <alignment horizontal="center" vertical="center" wrapText="1"/>
    </xf>
    <xf numFmtId="0" fontId="10" fillId="0" borderId="6" xfId="0" applyFont="1" applyBorder="1"/>
    <xf numFmtId="164" fontId="12" fillId="0" borderId="21" xfId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20" xfId="0" applyBorder="1"/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4" fontId="6" fillId="0" borderId="25" xfId="1" applyFont="1" applyBorder="1" applyAlignment="1">
      <alignment horizontal="center" vertical="center" wrapText="1"/>
    </xf>
    <xf numFmtId="0" fontId="7" fillId="0" borderId="0" xfId="2" applyFill="1"/>
    <xf numFmtId="0" fontId="7" fillId="0" borderId="0" xfId="2" applyFill="1" applyBorder="1"/>
    <xf numFmtId="0" fontId="4" fillId="2" borderId="33" xfId="0" applyFont="1" applyFill="1" applyBorder="1" applyAlignment="1">
      <alignment horizontal="center" vertical="center" wrapText="1"/>
    </xf>
    <xf numFmtId="164" fontId="6" fillId="0" borderId="34" xfId="1" applyFont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164" fontId="6" fillId="0" borderId="39" xfId="1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164" fontId="6" fillId="0" borderId="41" xfId="1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33" fillId="0" borderId="0" xfId="0" applyFont="1"/>
    <xf numFmtId="0" fontId="35" fillId="0" borderId="1" xfId="0" applyFont="1" applyBorder="1"/>
    <xf numFmtId="165" fontId="14" fillId="0" borderId="1" xfId="0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10" fontId="12" fillId="0" borderId="25" xfId="223" applyNumberFormat="1" applyFont="1" applyBorder="1" applyAlignment="1">
      <alignment horizontal="right" vertical="center" wrapText="1"/>
    </xf>
    <xf numFmtId="164" fontId="12" fillId="0" borderId="25" xfId="1" applyFont="1" applyBorder="1" applyAlignment="1">
      <alignment horizontal="center" vertical="center" wrapText="1"/>
    </xf>
    <xf numFmtId="1" fontId="12" fillId="0" borderId="25" xfId="1" applyNumberFormat="1" applyFont="1" applyBorder="1" applyAlignment="1">
      <alignment horizontal="center" vertical="center" wrapText="1"/>
    </xf>
    <xf numFmtId="164" fontId="12" fillId="0" borderId="25" xfId="1" applyFont="1" applyBorder="1" applyAlignment="1">
      <alignment horizontal="right" vertical="center" wrapText="1"/>
    </xf>
    <xf numFmtId="0" fontId="12" fillId="0" borderId="25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0" fontId="12" fillId="0" borderId="1" xfId="223" applyNumberFormat="1" applyFont="1" applyBorder="1" applyAlignment="1">
      <alignment horizontal="center" vertical="center" wrapText="1"/>
    </xf>
    <xf numFmtId="165" fontId="10" fillId="0" borderId="1" xfId="0" applyNumberFormat="1" applyFont="1" applyBorder="1"/>
    <xf numFmtId="0" fontId="10" fillId="0" borderId="43" xfId="0" applyFont="1" applyBorder="1"/>
    <xf numFmtId="164" fontId="12" fillId="0" borderId="38" xfId="1" applyFont="1" applyBorder="1" applyAlignment="1">
      <alignment horizontal="center" vertical="center" wrapText="1"/>
    </xf>
    <xf numFmtId="164" fontId="15" fillId="2" borderId="46" xfId="1" applyFont="1" applyFill="1" applyBorder="1" applyAlignment="1">
      <alignment horizontal="center" vertical="center" wrapText="1"/>
    </xf>
    <xf numFmtId="0" fontId="37" fillId="2" borderId="17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164" fontId="13" fillId="0" borderId="18" xfId="1" applyFont="1" applyBorder="1" applyAlignment="1">
      <alignment horizontal="center" vertical="center" wrapText="1"/>
    </xf>
    <xf numFmtId="0" fontId="10" fillId="0" borderId="3" xfId="0" applyFont="1" applyBorder="1"/>
    <xf numFmtId="10" fontId="38" fillId="0" borderId="42" xfId="223" applyNumberFormat="1" applyFont="1" applyBorder="1" applyAlignment="1">
      <alignment horizontal="center" vertical="center" wrapText="1"/>
    </xf>
    <xf numFmtId="0" fontId="34" fillId="2" borderId="50" xfId="0" applyFont="1" applyFill="1" applyBorder="1" applyAlignment="1">
      <alignment horizontal="center" vertical="center" wrapText="1"/>
    </xf>
    <xf numFmtId="10" fontId="12" fillId="0" borderId="2" xfId="223" applyNumberFormat="1" applyFont="1" applyBorder="1" applyAlignment="1">
      <alignment horizontal="center" vertical="center" wrapText="1"/>
    </xf>
    <xf numFmtId="164" fontId="15" fillId="24" borderId="2" xfId="1" applyFont="1" applyFill="1" applyBorder="1" applyAlignment="1" applyProtection="1">
      <alignment horizontal="center" vertical="center" wrapText="1"/>
      <protection locked="0"/>
    </xf>
    <xf numFmtId="0" fontId="15" fillId="24" borderId="52" xfId="0" applyFont="1" applyFill="1" applyBorder="1" applyAlignment="1" applyProtection="1">
      <alignment horizontal="left" vertical="center" wrapText="1"/>
      <protection locked="0"/>
    </xf>
    <xf numFmtId="0" fontId="37" fillId="2" borderId="13" xfId="0" applyFont="1" applyFill="1" applyBorder="1" applyAlignment="1">
      <alignment horizontal="left" vertical="center" wrapText="1"/>
    </xf>
    <xf numFmtId="0" fontId="15" fillId="24" borderId="55" xfId="0" applyFont="1" applyFill="1" applyBorder="1" applyAlignment="1" applyProtection="1">
      <alignment horizontal="left" vertical="center" wrapText="1"/>
      <protection locked="0"/>
    </xf>
    <xf numFmtId="164" fontId="15" fillId="24" borderId="59" xfId="1" applyFont="1" applyFill="1" applyBorder="1" applyAlignment="1" applyProtection="1">
      <alignment horizontal="center" vertical="center" wrapText="1"/>
      <protection locked="0"/>
    </xf>
    <xf numFmtId="1" fontId="15" fillId="24" borderId="51" xfId="1" applyNumberFormat="1" applyFont="1" applyFill="1" applyBorder="1" applyAlignment="1" applyProtection="1">
      <alignment horizontal="center" vertical="center" wrapText="1"/>
      <protection locked="0"/>
    </xf>
    <xf numFmtId="1" fontId="15" fillId="24" borderId="2" xfId="1" applyNumberFormat="1" applyFont="1" applyFill="1" applyBorder="1" applyAlignment="1" applyProtection="1">
      <alignment horizontal="center" vertical="center" wrapText="1"/>
      <protection locked="0"/>
    </xf>
    <xf numFmtId="9" fontId="15" fillId="24" borderId="2" xfId="223" applyFont="1" applyFill="1" applyBorder="1" applyAlignment="1" applyProtection="1">
      <alignment horizontal="center" vertical="center" wrapText="1"/>
      <protection locked="0"/>
    </xf>
    <xf numFmtId="1" fontId="12" fillId="0" borderId="25" xfId="223" applyNumberFormat="1" applyFont="1" applyBorder="1" applyAlignment="1">
      <alignment horizontal="right" vertical="center" wrapText="1"/>
    </xf>
    <xf numFmtId="2" fontId="10" fillId="0" borderId="1" xfId="0" applyNumberFormat="1" applyFont="1" applyBorder="1"/>
    <xf numFmtId="164" fontId="15" fillId="2" borderId="46" xfId="1" applyFont="1" applyFill="1" applyBorder="1" applyAlignment="1">
      <alignment horizontal="right" vertical="center" wrapText="1"/>
    </xf>
    <xf numFmtId="0" fontId="37" fillId="2" borderId="20" xfId="0" applyFont="1" applyFill="1" applyBorder="1" applyAlignment="1">
      <alignment horizontal="right" vertical="center" wrapText="1"/>
    </xf>
    <xf numFmtId="0" fontId="37" fillId="2" borderId="49" xfId="0" applyFont="1" applyFill="1" applyBorder="1" applyAlignment="1">
      <alignment horizontal="left" vertical="center" wrapText="1"/>
    </xf>
    <xf numFmtId="0" fontId="37" fillId="2" borderId="48" xfId="0" applyFont="1" applyFill="1" applyBorder="1" applyAlignment="1">
      <alignment horizontal="left" vertical="center" wrapText="1"/>
    </xf>
    <xf numFmtId="49" fontId="12" fillId="0" borderId="2" xfId="223" applyNumberFormat="1" applyFont="1" applyBorder="1" applyAlignment="1">
      <alignment horizontal="center" vertical="center" wrapText="1"/>
    </xf>
    <xf numFmtId="164" fontId="6" fillId="0" borderId="60" xfId="1" applyFont="1" applyBorder="1" applyAlignment="1">
      <alignment horizontal="center" vertical="center" wrapText="1"/>
    </xf>
    <xf numFmtId="10" fontId="6" fillId="0" borderId="60" xfId="223" applyNumberFormat="1" applyFont="1" applyBorder="1" applyAlignment="1">
      <alignment horizontal="center" vertical="center" wrapText="1"/>
    </xf>
    <xf numFmtId="10" fontId="6" fillId="0" borderId="25" xfId="223" applyNumberFormat="1" applyFont="1" applyBorder="1" applyAlignment="1">
      <alignment horizontal="center" vertical="center" wrapText="1"/>
    </xf>
    <xf numFmtId="172" fontId="36" fillId="2" borderId="1" xfId="0" applyNumberFormat="1" applyFont="1" applyFill="1" applyBorder="1" applyAlignment="1">
      <alignment horizontal="left" vertical="center" wrapText="1"/>
    </xf>
    <xf numFmtId="0" fontId="39" fillId="2" borderId="43" xfId="0" applyFont="1" applyFill="1" applyBorder="1" applyAlignment="1">
      <alignment horizontal="center" vertical="center" wrapText="1"/>
    </xf>
    <xf numFmtId="0" fontId="15" fillId="0" borderId="1" xfId="0" applyFont="1" applyBorder="1"/>
    <xf numFmtId="173" fontId="12" fillId="0" borderId="25" xfId="223" applyNumberFormat="1" applyFont="1" applyBorder="1" applyAlignment="1">
      <alignment horizontal="right" vertical="center" wrapText="1"/>
    </xf>
    <xf numFmtId="165" fontId="10" fillId="0" borderId="44" xfId="0" applyNumberFormat="1" applyFont="1" applyBorder="1"/>
    <xf numFmtId="165" fontId="12" fillId="0" borderId="47" xfId="1" applyNumberFormat="1" applyFont="1" applyBorder="1" applyAlignment="1">
      <alignment horizontal="center" vertical="center" wrapText="1"/>
    </xf>
    <xf numFmtId="165" fontId="12" fillId="0" borderId="34" xfId="1" applyNumberFormat="1" applyFont="1" applyBorder="1" applyAlignment="1">
      <alignment horizontal="center" vertical="center" wrapText="1"/>
    </xf>
    <xf numFmtId="165" fontId="15" fillId="24" borderId="59" xfId="1" applyNumberFormat="1" applyFont="1" applyFill="1" applyBorder="1" applyAlignment="1" applyProtection="1">
      <alignment horizontal="center" vertical="center" wrapText="1"/>
      <protection locked="0"/>
    </xf>
    <xf numFmtId="165" fontId="12" fillId="0" borderId="58" xfId="1" applyNumberFormat="1" applyFont="1" applyBorder="1" applyAlignment="1">
      <alignment horizontal="center" vertical="center" wrapText="1"/>
    </xf>
    <xf numFmtId="165" fontId="12" fillId="0" borderId="18" xfId="1" applyNumberFormat="1" applyFont="1" applyBorder="1" applyAlignment="1">
      <alignment horizontal="center" vertical="center" wrapText="1"/>
    </xf>
    <xf numFmtId="165" fontId="15" fillId="2" borderId="46" xfId="1" applyNumberFormat="1" applyFont="1" applyFill="1" applyBorder="1" applyAlignment="1">
      <alignment horizontal="center" vertical="center" wrapText="1"/>
    </xf>
    <xf numFmtId="165" fontId="38" fillId="0" borderId="21" xfId="1" applyNumberFormat="1" applyFont="1" applyBorder="1" applyAlignment="1">
      <alignment horizontal="center" vertical="center" wrapText="1"/>
    </xf>
    <xf numFmtId="165" fontId="38" fillId="0" borderId="2" xfId="1" applyNumberFormat="1" applyFont="1" applyBorder="1" applyAlignment="1">
      <alignment horizontal="center" vertical="center" wrapText="1"/>
    </xf>
    <xf numFmtId="165" fontId="15" fillId="24" borderId="51" xfId="1" applyNumberFormat="1" applyFont="1" applyFill="1" applyBorder="1" applyAlignment="1" applyProtection="1">
      <alignment horizontal="center" vertical="center" wrapText="1"/>
      <protection locked="0"/>
    </xf>
    <xf numFmtId="165" fontId="12" fillId="0" borderId="45" xfId="1" applyNumberFormat="1" applyFont="1" applyBorder="1" applyAlignment="1">
      <alignment horizontal="center" vertical="center" wrapText="1"/>
    </xf>
    <xf numFmtId="165" fontId="12" fillId="0" borderId="21" xfId="1" applyNumberFormat="1" applyFont="1" applyBorder="1" applyAlignment="1">
      <alignment horizontal="center" vertical="center" wrapText="1"/>
    </xf>
    <xf numFmtId="165" fontId="15" fillId="24" borderId="2" xfId="1" applyNumberFormat="1" applyFont="1" applyFill="1" applyBorder="1" applyAlignment="1" applyProtection="1">
      <alignment horizontal="center" vertical="center" wrapText="1"/>
      <protection locked="0"/>
    </xf>
    <xf numFmtId="165" fontId="12" fillId="0" borderId="51" xfId="1" applyNumberFormat="1" applyFont="1" applyBorder="1" applyAlignment="1">
      <alignment horizontal="center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0" fontId="2" fillId="0" borderId="0" xfId="415"/>
    <xf numFmtId="174" fontId="2" fillId="0" borderId="0" xfId="415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10" fillId="0" borderId="1" xfId="0" applyNumberFormat="1" applyFont="1" applyBorder="1"/>
    <xf numFmtId="0" fontId="41" fillId="25" borderId="1" xfId="415" applyFont="1" applyFill="1" applyBorder="1" applyAlignment="1">
      <alignment horizontal="center" vertical="center"/>
    </xf>
    <xf numFmtId="0" fontId="41" fillId="25" borderId="1" xfId="415" applyFont="1" applyFill="1" applyBorder="1" applyAlignment="1">
      <alignment horizontal="center" vertical="center" wrapText="1"/>
    </xf>
    <xf numFmtId="0" fontId="41" fillId="28" borderId="1" xfId="415" applyFont="1" applyFill="1" applyBorder="1" applyAlignment="1">
      <alignment horizontal="center"/>
    </xf>
    <xf numFmtId="0" fontId="41" fillId="28" borderId="1" xfId="415" applyFont="1" applyFill="1" applyBorder="1" applyAlignment="1">
      <alignment horizontal="left" indent="1"/>
    </xf>
    <xf numFmtId="175" fontId="42" fillId="29" borderId="1" xfId="415" applyNumberFormat="1" applyFont="1" applyFill="1" applyBorder="1" applyAlignment="1">
      <alignment horizontal="center"/>
    </xf>
    <xf numFmtId="1" fontId="42" fillId="29" borderId="1" xfId="415" applyNumberFormat="1" applyFont="1" applyFill="1" applyBorder="1" applyAlignment="1">
      <alignment horizontal="center"/>
    </xf>
    <xf numFmtId="0" fontId="44" fillId="0" borderId="70" xfId="0" applyFont="1" applyBorder="1" applyAlignment="1">
      <alignment horizontal="center"/>
    </xf>
    <xf numFmtId="0" fontId="44" fillId="0" borderId="69" xfId="0" applyFont="1" applyBorder="1" applyAlignment="1">
      <alignment horizontal="center"/>
    </xf>
    <xf numFmtId="2" fontId="2" fillId="0" borderId="72" xfId="0" applyNumberFormat="1" applyFont="1" applyBorder="1" applyAlignment="1">
      <alignment horizontal="right"/>
    </xf>
    <xf numFmtId="169" fontId="2" fillId="0" borderId="72" xfId="0" applyNumberFormat="1" applyFont="1" applyBorder="1" applyAlignment="1">
      <alignment horizontal="right"/>
    </xf>
    <xf numFmtId="169" fontId="2" fillId="0" borderId="73" xfId="0" applyNumberFormat="1" applyFont="1" applyBorder="1" applyAlignment="1">
      <alignment horizontal="right"/>
    </xf>
    <xf numFmtId="2" fontId="2" fillId="0" borderId="27" xfId="0" applyNumberFormat="1" applyFont="1" applyBorder="1" applyAlignment="1">
      <alignment horizontal="right"/>
    </xf>
    <xf numFmtId="169" fontId="2" fillId="0" borderId="27" xfId="0" applyNumberFormat="1" applyFont="1" applyBorder="1" applyAlignment="1">
      <alignment horizontal="right"/>
    </xf>
    <xf numFmtId="169" fontId="2" fillId="0" borderId="75" xfId="0" applyNumberFormat="1" applyFont="1" applyBorder="1" applyAlignment="1">
      <alignment horizontal="right"/>
    </xf>
    <xf numFmtId="4" fontId="2" fillId="0" borderId="27" xfId="0" applyNumberFormat="1" applyFont="1" applyBorder="1" applyAlignment="1">
      <alignment horizontal="right"/>
    </xf>
    <xf numFmtId="4" fontId="2" fillId="0" borderId="77" xfId="0" applyNumberFormat="1" applyFont="1" applyBorder="1" applyAlignment="1">
      <alignment horizontal="right"/>
    </xf>
    <xf numFmtId="169" fontId="2" fillId="0" borderId="77" xfId="0" applyNumberFormat="1" applyFont="1" applyBorder="1" applyAlignment="1">
      <alignment horizontal="right"/>
    </xf>
    <xf numFmtId="169" fontId="2" fillId="0" borderId="78" xfId="0" applyNumberFormat="1" applyFont="1" applyBorder="1" applyAlignment="1">
      <alignment horizontal="right"/>
    </xf>
    <xf numFmtId="169" fontId="2" fillId="0" borderId="81" xfId="0" applyNumberFormat="1" applyFont="1" applyBorder="1" applyAlignment="1">
      <alignment horizontal="right"/>
    </xf>
    <xf numFmtId="169" fontId="2" fillId="0" borderId="82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9" fontId="2" fillId="0" borderId="84" xfId="0" applyNumberFormat="1" applyFont="1" applyBorder="1" applyAlignment="1">
      <alignment horizontal="right"/>
    </xf>
    <xf numFmtId="4" fontId="2" fillId="0" borderId="72" xfId="0" applyNumberFormat="1" applyFont="1" applyBorder="1" applyAlignment="1">
      <alignment horizontal="right"/>
    </xf>
    <xf numFmtId="4" fontId="2" fillId="0" borderId="86" xfId="0" applyNumberFormat="1" applyFont="1" applyBorder="1" applyAlignment="1">
      <alignment horizontal="right"/>
    </xf>
    <xf numFmtId="169" fontId="2" fillId="0" borderId="86" xfId="0" applyNumberFormat="1" applyFont="1" applyBorder="1" applyAlignment="1">
      <alignment horizontal="right"/>
    </xf>
    <xf numFmtId="169" fontId="2" fillId="0" borderId="87" xfId="0" applyNumberFormat="1" applyFont="1" applyBorder="1" applyAlignment="1">
      <alignment horizontal="right"/>
    </xf>
    <xf numFmtId="169" fontId="2" fillId="0" borderId="90" xfId="0" applyNumberFormat="1" applyFont="1" applyBorder="1" applyAlignment="1">
      <alignment horizontal="right"/>
    </xf>
    <xf numFmtId="169" fontId="2" fillId="0" borderId="64" xfId="0" applyNumberFormat="1" applyFont="1" applyBorder="1" applyAlignment="1">
      <alignment horizontal="right"/>
    </xf>
    <xf numFmtId="169" fontId="2" fillId="0" borderId="28" xfId="0" applyNumberFormat="1" applyFont="1" applyBorder="1" applyAlignment="1">
      <alignment horizontal="right"/>
    </xf>
    <xf numFmtId="169" fontId="2" fillId="0" borderId="91" xfId="0" applyNumberFormat="1" applyFont="1" applyBorder="1" applyAlignment="1">
      <alignment horizontal="right"/>
    </xf>
    <xf numFmtId="169" fontId="2" fillId="0" borderId="93" xfId="0" applyNumberFormat="1" applyFont="1" applyBorder="1" applyAlignment="1">
      <alignment horizontal="right"/>
    </xf>
    <xf numFmtId="169" fontId="2" fillId="0" borderId="69" xfId="0" applyNumberFormat="1" applyFont="1" applyBorder="1" applyAlignment="1">
      <alignment horizontal="righ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0" fontId="48" fillId="26" borderId="62" xfId="415" applyFont="1" applyFill="1" applyBorder="1" applyAlignment="1">
      <alignment horizontal="center" vertical="center"/>
    </xf>
    <xf numFmtId="0" fontId="48" fillId="26" borderId="62" xfId="415" applyFont="1" applyFill="1" applyBorder="1" applyAlignment="1">
      <alignment horizontal="center" vertical="center" wrapText="1"/>
    </xf>
    <xf numFmtId="0" fontId="48" fillId="26" borderId="1" xfId="415" applyFont="1" applyFill="1" applyBorder="1" applyAlignment="1">
      <alignment horizontal="center" vertical="center" wrapText="1"/>
    </xf>
    <xf numFmtId="0" fontId="48" fillId="27" borderId="7" xfId="415" applyFont="1" applyFill="1" applyBorder="1" applyAlignment="1">
      <alignment horizontal="center" vertical="center" wrapText="1"/>
    </xf>
    <xf numFmtId="0" fontId="48" fillId="27" borderId="1" xfId="415" applyFont="1" applyFill="1" applyBorder="1" applyAlignment="1">
      <alignment horizontal="center" vertical="center" wrapText="1"/>
    </xf>
    <xf numFmtId="0" fontId="42" fillId="29" borderId="1" xfId="415" applyFont="1" applyFill="1" applyBorder="1"/>
    <xf numFmtId="173" fontId="42" fillId="29" borderId="1" xfId="415" applyNumberFormat="1" applyFont="1" applyFill="1" applyBorder="1"/>
    <xf numFmtId="10" fontId="42" fillId="29" borderId="1" xfId="223" applyNumberFormat="1" applyFont="1" applyFill="1" applyBorder="1"/>
    <xf numFmtId="10" fontId="42" fillId="29" borderId="1" xfId="223" applyNumberFormat="1" applyFont="1" applyFill="1" applyBorder="1" applyAlignment="1">
      <alignment horizontal="center"/>
    </xf>
    <xf numFmtId="0" fontId="42" fillId="29" borderId="62" xfId="415" applyFont="1" applyFill="1" applyBorder="1"/>
    <xf numFmtId="173" fontId="42" fillId="29" borderId="7" xfId="415" applyNumberFormat="1" applyFont="1" applyFill="1" applyBorder="1"/>
    <xf numFmtId="164" fontId="10" fillId="0" borderId="1" xfId="1" applyFont="1" applyBorder="1"/>
    <xf numFmtId="174" fontId="40" fillId="0" borderId="1" xfId="415" applyNumberFormat="1" applyFont="1" applyBorder="1" applyAlignment="1">
      <alignment horizontal="center"/>
    </xf>
    <xf numFmtId="174" fontId="40" fillId="0" borderId="0" xfId="415" applyNumberFormat="1" applyFont="1" applyAlignment="1">
      <alignment horizontal="center"/>
    </xf>
    <xf numFmtId="0" fontId="37" fillId="2" borderId="13" xfId="0" applyFont="1" applyFill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164" fontId="49" fillId="0" borderId="25" xfId="0" applyNumberFormat="1" applyFont="1" applyBorder="1" applyAlignment="1">
      <alignment horizontal="center" vertical="center" wrapText="1"/>
    </xf>
    <xf numFmtId="0" fontId="49" fillId="0" borderId="60" xfId="0" applyFont="1" applyBorder="1" applyAlignment="1">
      <alignment horizontal="center" vertical="center" wrapText="1"/>
    </xf>
    <xf numFmtId="0" fontId="49" fillId="0" borderId="39" xfId="0" applyFont="1" applyBorder="1" applyAlignment="1">
      <alignment horizontal="center" vertical="center" wrapText="1"/>
    </xf>
    <xf numFmtId="0" fontId="50" fillId="2" borderId="23" xfId="0" applyFont="1" applyFill="1" applyBorder="1" applyAlignment="1">
      <alignment horizontal="center" vertical="center" wrapText="1"/>
    </xf>
    <xf numFmtId="164" fontId="49" fillId="0" borderId="60" xfId="0" applyNumberFormat="1" applyFont="1" applyBorder="1" applyAlignment="1">
      <alignment horizontal="center" vertical="center" wrapText="1"/>
    </xf>
    <xf numFmtId="164" fontId="49" fillId="0" borderId="39" xfId="0" applyNumberFormat="1" applyFont="1" applyBorder="1" applyAlignment="1">
      <alignment horizontal="center" vertical="center" wrapText="1"/>
    </xf>
    <xf numFmtId="44" fontId="49" fillId="0" borderId="2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169" fontId="2" fillId="0" borderId="0" xfId="0" applyNumberFormat="1" applyFont="1"/>
    <xf numFmtId="10" fontId="2" fillId="0" borderId="0" xfId="0" applyNumberFormat="1" applyFont="1"/>
    <xf numFmtId="0" fontId="2" fillId="0" borderId="71" xfId="0" applyFont="1" applyBorder="1"/>
    <xf numFmtId="0" fontId="2" fillId="0" borderId="74" xfId="0" applyFont="1" applyBorder="1"/>
    <xf numFmtId="0" fontId="2" fillId="0" borderId="76" xfId="0" applyFont="1" applyBorder="1"/>
    <xf numFmtId="0" fontId="2" fillId="0" borderId="79" xfId="0" applyFont="1" applyBorder="1"/>
    <xf numFmtId="169" fontId="2" fillId="0" borderId="79" xfId="0" applyNumberFormat="1" applyFont="1" applyBorder="1"/>
    <xf numFmtId="10" fontId="2" fillId="0" borderId="79" xfId="0" applyNumberFormat="1" applyFont="1" applyBorder="1"/>
    <xf numFmtId="0" fontId="2" fillId="0" borderId="80" xfId="0" applyFont="1" applyBorder="1"/>
    <xf numFmtId="169" fontId="2" fillId="0" borderId="0" xfId="0" applyNumberFormat="1" applyFont="1" applyAlignment="1">
      <alignment horizontal="right"/>
    </xf>
    <xf numFmtId="0" fontId="2" fillId="0" borderId="83" xfId="0" applyFont="1" applyBorder="1"/>
    <xf numFmtId="0" fontId="2" fillId="0" borderId="68" xfId="0" applyFont="1" applyBorder="1"/>
    <xf numFmtId="0" fontId="2" fillId="0" borderId="85" xfId="0" applyFont="1" applyBorder="1"/>
    <xf numFmtId="169" fontId="0" fillId="0" borderId="0" xfId="0" applyNumberFormat="1"/>
    <xf numFmtId="0" fontId="43" fillId="0" borderId="0" xfId="0" applyFont="1"/>
    <xf numFmtId="0" fontId="44" fillId="0" borderId="0" xfId="0" applyFont="1"/>
    <xf numFmtId="169" fontId="0" fillId="0" borderId="89" xfId="0" applyNumberFormat="1" applyBorder="1"/>
    <xf numFmtId="0" fontId="0" fillId="0" borderId="89" xfId="0" applyBorder="1"/>
    <xf numFmtId="169" fontId="0" fillId="0" borderId="26" xfId="0" applyNumberFormat="1" applyBorder="1"/>
    <xf numFmtId="0" fontId="0" fillId="0" borderId="26" xfId="0" applyBorder="1"/>
    <xf numFmtId="4" fontId="0" fillId="0" borderId="27" xfId="0" applyNumberFormat="1" applyBorder="1"/>
    <xf numFmtId="4" fontId="0" fillId="0" borderId="77" xfId="0" applyNumberFormat="1" applyBorder="1"/>
    <xf numFmtId="169" fontId="0" fillId="0" borderId="92" xfId="0" applyNumberFormat="1" applyBorder="1"/>
    <xf numFmtId="0" fontId="0" fillId="0" borderId="92" xfId="0" applyBorder="1"/>
    <xf numFmtId="0" fontId="45" fillId="0" borderId="0" xfId="0" applyFont="1"/>
    <xf numFmtId="4" fontId="0" fillId="0" borderId="88" xfId="0" applyNumberFormat="1" applyBorder="1"/>
    <xf numFmtId="169" fontId="0" fillId="0" borderId="90" xfId="0" applyNumberFormat="1" applyBorder="1"/>
    <xf numFmtId="169" fontId="0" fillId="0" borderId="64" xfId="0" applyNumberFormat="1" applyBorder="1"/>
    <xf numFmtId="4" fontId="0" fillId="0" borderId="0" xfId="0" applyNumberFormat="1"/>
    <xf numFmtId="169" fontId="0" fillId="0" borderId="28" xfId="0" applyNumberFormat="1" applyBorder="1"/>
    <xf numFmtId="169" fontId="0" fillId="0" borderId="91" xfId="0" applyNumberFormat="1" applyBorder="1"/>
    <xf numFmtId="4" fontId="0" fillId="0" borderId="84" xfId="0" applyNumberFormat="1" applyBorder="1"/>
    <xf numFmtId="169" fontId="0" fillId="0" borderId="93" xfId="0" applyNumberFormat="1" applyBorder="1"/>
    <xf numFmtId="169" fontId="0" fillId="0" borderId="69" xfId="0" applyNumberFormat="1" applyBorder="1"/>
    <xf numFmtId="0" fontId="0" fillId="0" borderId="0" xfId="0"/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46" fillId="0" borderId="68" xfId="0" applyFont="1" applyBorder="1"/>
    <xf numFmtId="0" fontId="46" fillId="0" borderId="69" xfId="0" applyFont="1" applyBorder="1"/>
    <xf numFmtId="0" fontId="43" fillId="0" borderId="0" xfId="0" applyFont="1" applyAlignment="1">
      <alignment horizontal="center"/>
    </xf>
    <xf numFmtId="0" fontId="0" fillId="0" borderId="0" xfId="0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63" xfId="0" applyFont="1" applyBorder="1"/>
    <xf numFmtId="0" fontId="46" fillId="0" borderId="64" xfId="0" applyFont="1" applyBorder="1"/>
    <xf numFmtId="0" fontId="47" fillId="0" borderId="65" xfId="0" applyFont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47" fillId="0" borderId="66" xfId="0" applyFont="1" applyBorder="1" applyAlignment="1">
      <alignment horizontal="center"/>
    </xf>
    <xf numFmtId="0" fontId="47" fillId="0" borderId="67" xfId="0" applyFont="1" applyBorder="1" applyAlignment="1">
      <alignment horizontal="center"/>
    </xf>
    <xf numFmtId="0" fontId="44" fillId="0" borderId="63" xfId="0" applyFont="1" applyBorder="1" applyAlignment="1">
      <alignment horizontal="center"/>
    </xf>
    <xf numFmtId="0" fontId="2" fillId="0" borderId="64" xfId="0" applyFont="1" applyBorder="1"/>
    <xf numFmtId="0" fontId="44" fillId="0" borderId="88" xfId="0" applyFont="1" applyBorder="1" applyAlignment="1">
      <alignment horizontal="center"/>
    </xf>
    <xf numFmtId="0" fontId="44" fillId="0" borderId="68" xfId="0" applyFont="1" applyBorder="1" applyAlignment="1">
      <alignment horizontal="center"/>
    </xf>
    <xf numFmtId="0" fontId="2" fillId="0" borderId="69" xfId="0" applyFont="1" applyBorder="1"/>
    <xf numFmtId="0" fontId="44" fillId="0" borderId="84" xfId="0" applyFont="1" applyBorder="1" applyAlignment="1">
      <alignment horizontal="center"/>
    </xf>
    <xf numFmtId="0" fontId="37" fillId="2" borderId="16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7" fillId="2" borderId="53" xfId="0" applyFont="1" applyFill="1" applyBorder="1" applyAlignment="1">
      <alignment horizontal="center" vertical="center" wrapText="1"/>
    </xf>
    <xf numFmtId="0" fontId="37" fillId="2" borderId="54" xfId="0" applyFont="1" applyFill="1" applyBorder="1" applyAlignment="1">
      <alignment horizontal="center" vertical="center" wrapText="1"/>
    </xf>
    <xf numFmtId="0" fontId="15" fillId="24" borderId="56" xfId="0" applyFont="1" applyFill="1" applyBorder="1" applyAlignment="1" applyProtection="1">
      <alignment horizontal="center" vertical="center" wrapText="1"/>
      <protection locked="0"/>
    </xf>
    <xf numFmtId="0" fontId="15" fillId="24" borderId="57" xfId="0" applyFont="1" applyFill="1" applyBorder="1" applyAlignment="1" applyProtection="1">
      <alignment horizontal="center" vertical="center" wrapText="1"/>
      <protection locked="0"/>
    </xf>
    <xf numFmtId="0" fontId="37" fillId="2" borderId="13" xfId="0" applyFont="1" applyFill="1" applyBorder="1" applyAlignment="1">
      <alignment horizontal="center" vertical="center" wrapText="1"/>
    </xf>
    <xf numFmtId="0" fontId="37" fillId="2" borderId="61" xfId="0" applyFont="1" applyFill="1" applyBorder="1" applyAlignment="1">
      <alignment horizontal="center" vertical="center" wrapText="1"/>
    </xf>
  </cellXfs>
  <cellStyles count="726">
    <cellStyle name="Accent1 - 20%" xfId="312" xr:uid="{00000000-0005-0000-0000-000000000000}"/>
    <cellStyle name="Accent1 - 40%" xfId="313" xr:uid="{00000000-0005-0000-0000-000001000000}"/>
    <cellStyle name="Accent1 - 60%" xfId="314" xr:uid="{00000000-0005-0000-0000-000002000000}"/>
    <cellStyle name="Accent1 10" xfId="315" xr:uid="{00000000-0005-0000-0000-000003000000}"/>
    <cellStyle name="Accent1 11" xfId="316" xr:uid="{00000000-0005-0000-0000-000004000000}"/>
    <cellStyle name="Accent1 12" xfId="317" xr:uid="{00000000-0005-0000-0000-000005000000}"/>
    <cellStyle name="Accent1 13" xfId="318" xr:uid="{00000000-0005-0000-0000-000006000000}"/>
    <cellStyle name="Accent1 2" xfId="319" xr:uid="{00000000-0005-0000-0000-000007000000}"/>
    <cellStyle name="Accent1 3" xfId="320" xr:uid="{00000000-0005-0000-0000-000008000000}"/>
    <cellStyle name="Accent1 4" xfId="321" xr:uid="{00000000-0005-0000-0000-000009000000}"/>
    <cellStyle name="Accent1 5" xfId="322" xr:uid="{00000000-0005-0000-0000-00000A000000}"/>
    <cellStyle name="Accent1 6" xfId="323" xr:uid="{00000000-0005-0000-0000-00000B000000}"/>
    <cellStyle name="Accent1 7" xfId="324" xr:uid="{00000000-0005-0000-0000-00000C000000}"/>
    <cellStyle name="Accent1 8" xfId="325" xr:uid="{00000000-0005-0000-0000-00000D000000}"/>
    <cellStyle name="Accent1 9" xfId="326" xr:uid="{00000000-0005-0000-0000-00000E000000}"/>
    <cellStyle name="Accent2 - 20%" xfId="327" xr:uid="{00000000-0005-0000-0000-00000F000000}"/>
    <cellStyle name="Accent2 - 40%" xfId="328" xr:uid="{00000000-0005-0000-0000-000010000000}"/>
    <cellStyle name="Accent2 - 60%" xfId="329" xr:uid="{00000000-0005-0000-0000-000011000000}"/>
    <cellStyle name="Accent2 10" xfId="330" xr:uid="{00000000-0005-0000-0000-000012000000}"/>
    <cellStyle name="Accent2 11" xfId="331" xr:uid="{00000000-0005-0000-0000-000013000000}"/>
    <cellStyle name="Accent2 12" xfId="332" xr:uid="{00000000-0005-0000-0000-000014000000}"/>
    <cellStyle name="Accent2 13" xfId="333" xr:uid="{00000000-0005-0000-0000-000015000000}"/>
    <cellStyle name="Accent2 2" xfId="334" xr:uid="{00000000-0005-0000-0000-000016000000}"/>
    <cellStyle name="Accent2 3" xfId="335" xr:uid="{00000000-0005-0000-0000-000017000000}"/>
    <cellStyle name="Accent2 4" xfId="336" xr:uid="{00000000-0005-0000-0000-000018000000}"/>
    <cellStyle name="Accent2 5" xfId="337" xr:uid="{00000000-0005-0000-0000-000019000000}"/>
    <cellStyle name="Accent2 6" xfId="338" xr:uid="{00000000-0005-0000-0000-00001A000000}"/>
    <cellStyle name="Accent2 7" xfId="339" xr:uid="{00000000-0005-0000-0000-00001B000000}"/>
    <cellStyle name="Accent2 8" xfId="340" xr:uid="{00000000-0005-0000-0000-00001C000000}"/>
    <cellStyle name="Accent2 9" xfId="341" xr:uid="{00000000-0005-0000-0000-00001D000000}"/>
    <cellStyle name="Accent3 - 20%" xfId="342" xr:uid="{00000000-0005-0000-0000-00001E000000}"/>
    <cellStyle name="Accent3 - 40%" xfId="343" xr:uid="{00000000-0005-0000-0000-00001F000000}"/>
    <cellStyle name="Accent3 - 60%" xfId="344" xr:uid="{00000000-0005-0000-0000-000020000000}"/>
    <cellStyle name="Accent3 10" xfId="345" xr:uid="{00000000-0005-0000-0000-000021000000}"/>
    <cellStyle name="Accent3 11" xfId="346" xr:uid="{00000000-0005-0000-0000-000022000000}"/>
    <cellStyle name="Accent3 12" xfId="347" xr:uid="{00000000-0005-0000-0000-000023000000}"/>
    <cellStyle name="Accent3 13" xfId="348" xr:uid="{00000000-0005-0000-0000-000024000000}"/>
    <cellStyle name="Accent3 2" xfId="349" xr:uid="{00000000-0005-0000-0000-000025000000}"/>
    <cellStyle name="Accent3 3" xfId="350" xr:uid="{00000000-0005-0000-0000-000026000000}"/>
    <cellStyle name="Accent3 4" xfId="351" xr:uid="{00000000-0005-0000-0000-000027000000}"/>
    <cellStyle name="Accent3 5" xfId="352" xr:uid="{00000000-0005-0000-0000-000028000000}"/>
    <cellStyle name="Accent3 6" xfId="353" xr:uid="{00000000-0005-0000-0000-000029000000}"/>
    <cellStyle name="Accent3 7" xfId="354" xr:uid="{00000000-0005-0000-0000-00002A000000}"/>
    <cellStyle name="Accent3 8" xfId="355" xr:uid="{00000000-0005-0000-0000-00002B000000}"/>
    <cellStyle name="Accent3 9" xfId="356" xr:uid="{00000000-0005-0000-0000-00002C000000}"/>
    <cellStyle name="Accent4 - 20%" xfId="357" xr:uid="{00000000-0005-0000-0000-00002D000000}"/>
    <cellStyle name="Accent4 - 40%" xfId="358" xr:uid="{00000000-0005-0000-0000-00002E000000}"/>
    <cellStyle name="Accent4 - 60%" xfId="359" xr:uid="{00000000-0005-0000-0000-00002F000000}"/>
    <cellStyle name="Accent4 10" xfId="360" xr:uid="{00000000-0005-0000-0000-000030000000}"/>
    <cellStyle name="Accent4 11" xfId="361" xr:uid="{00000000-0005-0000-0000-000031000000}"/>
    <cellStyle name="Accent4 12" xfId="362" xr:uid="{00000000-0005-0000-0000-000032000000}"/>
    <cellStyle name="Accent4 13" xfId="363" xr:uid="{00000000-0005-0000-0000-000033000000}"/>
    <cellStyle name="Accent4 2" xfId="364" xr:uid="{00000000-0005-0000-0000-000034000000}"/>
    <cellStyle name="Accent4 3" xfId="365" xr:uid="{00000000-0005-0000-0000-000035000000}"/>
    <cellStyle name="Accent4 4" xfId="366" xr:uid="{00000000-0005-0000-0000-000036000000}"/>
    <cellStyle name="Accent4 5" xfId="367" xr:uid="{00000000-0005-0000-0000-000037000000}"/>
    <cellStyle name="Accent4 6" xfId="368" xr:uid="{00000000-0005-0000-0000-000038000000}"/>
    <cellStyle name="Accent4 7" xfId="369" xr:uid="{00000000-0005-0000-0000-000039000000}"/>
    <cellStyle name="Accent4 8" xfId="370" xr:uid="{00000000-0005-0000-0000-00003A000000}"/>
    <cellStyle name="Accent4 9" xfId="371" xr:uid="{00000000-0005-0000-0000-00003B000000}"/>
    <cellStyle name="Accent5 - 20%" xfId="372" xr:uid="{00000000-0005-0000-0000-00003C000000}"/>
    <cellStyle name="Accent5 - 40%" xfId="373" xr:uid="{00000000-0005-0000-0000-00003D000000}"/>
    <cellStyle name="Accent5 - 60%" xfId="374" xr:uid="{00000000-0005-0000-0000-00003E000000}"/>
    <cellStyle name="Accent5 10" xfId="375" xr:uid="{00000000-0005-0000-0000-00003F000000}"/>
    <cellStyle name="Accent5 11" xfId="376" xr:uid="{00000000-0005-0000-0000-000040000000}"/>
    <cellStyle name="Accent5 12" xfId="377" xr:uid="{00000000-0005-0000-0000-000041000000}"/>
    <cellStyle name="Accent5 13" xfId="378" xr:uid="{00000000-0005-0000-0000-000042000000}"/>
    <cellStyle name="Accent5 2" xfId="379" xr:uid="{00000000-0005-0000-0000-000043000000}"/>
    <cellStyle name="Accent5 3" xfId="380" xr:uid="{00000000-0005-0000-0000-000044000000}"/>
    <cellStyle name="Accent5 4" xfId="381" xr:uid="{00000000-0005-0000-0000-000045000000}"/>
    <cellStyle name="Accent5 5" xfId="382" xr:uid="{00000000-0005-0000-0000-000046000000}"/>
    <cellStyle name="Accent5 6" xfId="383" xr:uid="{00000000-0005-0000-0000-000047000000}"/>
    <cellStyle name="Accent5 7" xfId="384" xr:uid="{00000000-0005-0000-0000-000048000000}"/>
    <cellStyle name="Accent5 8" xfId="385" xr:uid="{00000000-0005-0000-0000-000049000000}"/>
    <cellStyle name="Accent5 9" xfId="386" xr:uid="{00000000-0005-0000-0000-00004A000000}"/>
    <cellStyle name="Accent6 - 20%" xfId="387" xr:uid="{00000000-0005-0000-0000-00004B000000}"/>
    <cellStyle name="Accent6 - 40%" xfId="388" xr:uid="{00000000-0005-0000-0000-00004C000000}"/>
    <cellStyle name="Accent6 - 60%" xfId="389" xr:uid="{00000000-0005-0000-0000-00004D000000}"/>
    <cellStyle name="Accent6 10" xfId="390" xr:uid="{00000000-0005-0000-0000-00004E000000}"/>
    <cellStyle name="Accent6 11" xfId="391" xr:uid="{00000000-0005-0000-0000-00004F000000}"/>
    <cellStyle name="Accent6 12" xfId="392" xr:uid="{00000000-0005-0000-0000-000050000000}"/>
    <cellStyle name="Accent6 13" xfId="393" xr:uid="{00000000-0005-0000-0000-000051000000}"/>
    <cellStyle name="Accent6 2" xfId="394" xr:uid="{00000000-0005-0000-0000-000052000000}"/>
    <cellStyle name="Accent6 3" xfId="395" xr:uid="{00000000-0005-0000-0000-000053000000}"/>
    <cellStyle name="Accent6 4" xfId="396" xr:uid="{00000000-0005-0000-0000-000054000000}"/>
    <cellStyle name="Accent6 5" xfId="397" xr:uid="{00000000-0005-0000-0000-000055000000}"/>
    <cellStyle name="Accent6 6" xfId="398" xr:uid="{00000000-0005-0000-0000-000056000000}"/>
    <cellStyle name="Accent6 7" xfId="399" xr:uid="{00000000-0005-0000-0000-000057000000}"/>
    <cellStyle name="Accent6 8" xfId="400" xr:uid="{00000000-0005-0000-0000-000058000000}"/>
    <cellStyle name="Accent6 9" xfId="401" xr:uid="{00000000-0005-0000-0000-000059000000}"/>
    <cellStyle name="Bad 2" xfId="402" xr:uid="{00000000-0005-0000-0000-00005A000000}"/>
    <cellStyle name="Calculation 2" xfId="403" xr:uid="{00000000-0005-0000-0000-00005B000000}"/>
    <cellStyle name="Check Cell 2" xfId="404" xr:uid="{00000000-0005-0000-0000-00005C000000}"/>
    <cellStyle name="Comma 2" xfId="405" xr:uid="{00000000-0005-0000-0000-00005D000000}"/>
    <cellStyle name="Comma 2 2" xfId="406" xr:uid="{00000000-0005-0000-0000-00005E000000}"/>
    <cellStyle name="Emphasis 1" xfId="407" xr:uid="{00000000-0005-0000-0000-000060000000}"/>
    <cellStyle name="Emphasis 2" xfId="408" xr:uid="{00000000-0005-0000-0000-000061000000}"/>
    <cellStyle name="Emphasis 3" xfId="409" xr:uid="{00000000-0005-0000-0000-000062000000}"/>
    <cellStyle name="Euro" xfId="410" xr:uid="{00000000-0005-0000-0000-000063000000}"/>
    <cellStyle name="Euro 2" xfId="411" xr:uid="{00000000-0005-0000-0000-000064000000}"/>
    <cellStyle name="Euro 3" xfId="412" xr:uid="{00000000-0005-0000-0000-000065000000}"/>
    <cellStyle name="Hiperligação" xfId="512" builtinId="8" hidden="1"/>
    <cellStyle name="Hiperligação" xfId="272" builtinId="8" hidden="1"/>
    <cellStyle name="Hiperligação" xfId="538" builtinId="8" hidden="1"/>
    <cellStyle name="Hiperligação" xfId="514" builtinId="8" hidden="1"/>
    <cellStyle name="Hiperligação" xfId="659" builtinId="8" hidden="1"/>
    <cellStyle name="Hiperligação" xfId="580" builtinId="8" hidden="1"/>
    <cellStyle name="Hiperligação" xfId="177" builtinId="8" hidden="1"/>
    <cellStyle name="Hiperligação" xfId="268" builtinId="8" hidden="1"/>
    <cellStyle name="Hiperligação" xfId="282" builtinId="8" hidden="1"/>
    <cellStyle name="Hiperligação" xfId="604" builtinId="8" hidden="1"/>
    <cellStyle name="Hiperligação" xfId="693" builtinId="8" hidden="1"/>
    <cellStyle name="Hiperligação" xfId="588" builtinId="8" hidden="1"/>
    <cellStyle name="Hiperligação" xfId="637" builtinId="8" hidden="1"/>
    <cellStyle name="Hiperligação" xfId="592" builtinId="8" hidden="1"/>
    <cellStyle name="Hiperligação" xfId="699" builtinId="8" hidden="1"/>
    <cellStyle name="Hiperligação" xfId="677" builtinId="8" hidden="1"/>
    <cellStyle name="Hiperligação" xfId="687" builtinId="8" hidden="1"/>
    <cellStyle name="Hiperligação" xfId="308" builtinId="8" hidden="1"/>
    <cellStyle name="Hiperligação" xfId="540" builtinId="8" hidden="1"/>
    <cellStyle name="Hiperligação" xfId="532" builtinId="8" hidden="1"/>
    <cellStyle name="Hiperligação" xfId="641" builtinId="8" hidden="1"/>
    <cellStyle name="Hiperligação" xfId="560" builtinId="8" hidden="1"/>
    <cellStyle name="Hiperligação" xfId="657" builtinId="8" hidden="1"/>
    <cellStyle name="Hiperligação" xfId="306" builtinId="8" hidden="1"/>
    <cellStyle name="Hiperligação" xfId="701" builtinId="8" hidden="1"/>
    <cellStyle name="Hiperligação" xfId="544" builtinId="8" hidden="1"/>
    <cellStyle name="Hiperligação" xfId="614" builtinId="8" hidden="1"/>
    <cellStyle name="Hiperligação" xfId="201" builtinId="8" hidden="1"/>
    <cellStyle name="Hiperligação" xfId="524" builtinId="8" hidden="1"/>
    <cellStyle name="Hiperligação" xfId="685" builtinId="8" hidden="1"/>
    <cellStyle name="Hiperligação" xfId="709" builtinId="8" hidden="1"/>
    <cellStyle name="Hiperligação" xfId="717" builtinId="8" hidden="1"/>
    <cellStyle name="Hiperligação" xfId="610" builtinId="8" hidden="1"/>
    <cellStyle name="Hiperligação" xfId="620" builtinId="8" hidden="1"/>
    <cellStyle name="Hiperligação" xfId="572" builtinId="8" hidden="1"/>
    <cellStyle name="Hiperligação" xfId="516" builtinId="8" hidden="1"/>
    <cellStyle name="Hiperligação" xfId="207" builtinId="8" hidden="1"/>
    <cellStyle name="Hiperligação" xfId="707" builtinId="8" hidden="1"/>
    <cellStyle name="Hiperligação" xfId="689" builtinId="8" hidden="1"/>
    <cellStyle name="Hiperligação" xfId="498" builtinId="8" hidden="1"/>
    <cellStyle name="Hiperligação" xfId="534" builtinId="8" hidden="1"/>
    <cellStyle name="Hiperligação" xfId="681" builtinId="8" hidden="1"/>
    <cellStyle name="Hiperligação" xfId="536" builtinId="8" hidden="1"/>
    <cellStyle name="Hiperligação" xfId="590" builtinId="8" hidden="1"/>
    <cellStyle name="Hiperligação" xfId="554" builtinId="8" hidden="1"/>
    <cellStyle name="Hiperligação" xfId="705" builtinId="8" hidden="1"/>
    <cellStyle name="Hiperligação" xfId="653" builtinId="8" hidden="1"/>
    <cellStyle name="Hiperligação" xfId="95" builtinId="8" hidden="1"/>
    <cellStyle name="Hiperligação" xfId="49" builtinId="8" hidden="1"/>
    <cellStyle name="Hiperligação" xfId="15" builtinId="8" hidden="1"/>
    <cellStyle name="Hiperligação" xfId="300" builtinId="8" hidden="1"/>
    <cellStyle name="Hiperligação" xfId="713" builtinId="8" hidden="1"/>
    <cellStyle name="Hiperligação" xfId="606" builtinId="8" hidden="1"/>
    <cellStyle name="Hiperligação" xfId="191" builtinId="8" hidden="1"/>
    <cellStyle name="Hiperligação" xfId="721" builtinId="8" hidden="1"/>
    <cellStyle name="Hiperligação" xfId="280" builtinId="8" hidden="1"/>
    <cellStyle name="Hiperligação" xfId="628" builtinId="8" hidden="1"/>
    <cellStyle name="Hiperligação" xfId="163" builtinId="8" hidden="1"/>
    <cellStyle name="Hiperligação" xfId="594" builtinId="8" hidden="1"/>
    <cellStyle name="Hiperligação" xfId="298" builtinId="8" hidden="1"/>
    <cellStyle name="Hiperligação" xfId="288" builtinId="8" hidden="1"/>
    <cellStyle name="Hiperligação" xfId="715" builtinId="8" hidden="1"/>
    <cellStyle name="Hiperligação" xfId="496" builtinId="8" hidden="1"/>
    <cellStyle name="Hiperligação" xfId="155" builtinId="8" hidden="1"/>
    <cellStyle name="Hiperligação" xfId="284" builtinId="8" hidden="1"/>
    <cellStyle name="Hiperligação" xfId="612" builtinId="8" hidden="1"/>
    <cellStyle name="Hiperligação" xfId="649" builtinId="8" hidden="1"/>
    <cellStyle name="Hiperligação" xfId="296" builtinId="8" hidden="1"/>
    <cellStyle name="Hiperligação" xfId="564" builtinId="8" hidden="1"/>
    <cellStyle name="Hiperligação" xfId="633" builtinId="8" hidden="1"/>
    <cellStyle name="Hiperligação" xfId="302" builtinId="8" hidden="1"/>
    <cellStyle name="Hiperligação" xfId="9" builtinId="8" hidden="1"/>
    <cellStyle name="Hiperligação" xfId="205" builtinId="8" hidden="1"/>
    <cellStyle name="Hiperligação" xfId="173" builtinId="8" hidden="1"/>
    <cellStyle name="Hiperligação" xfId="711" builtinId="8" hidden="1"/>
    <cellStyle name="Hiperligação" xfId="187" builtinId="8" hidden="1"/>
    <cellStyle name="Hiperligação" xfId="290" builtinId="8" hidden="1"/>
    <cellStyle name="Hiperligação" xfId="663" builtinId="8" hidden="1"/>
    <cellStyle name="Hiperligação" xfId="276" builtinId="8" hidden="1"/>
    <cellStyle name="Hiperligação" xfId="294" builtinId="8" hidden="1"/>
    <cellStyle name="Hiperligação" xfId="550" builtinId="8" hidden="1"/>
    <cellStyle name="Hiperligação" xfId="274" builtinId="8" hidden="1"/>
    <cellStyle name="Hiperligação" xfId="494" builtinId="8" hidden="1"/>
    <cellStyle name="Hiperligação" xfId="622" builtinId="8" hidden="1"/>
    <cellStyle name="Hiperligação" xfId="586" builtinId="8" hidden="1"/>
    <cellStyle name="Hiperligação" xfId="655" builtinId="8" hidden="1"/>
    <cellStyle name="Hiperligação" xfId="570" builtinId="8" hidden="1"/>
    <cellStyle name="Hiperligação" xfId="506" builtinId="8" hidden="1"/>
    <cellStyle name="Hiperligação" xfId="624" builtinId="8" hidden="1"/>
    <cellStyle name="Hiperligação" xfId="582" builtinId="8" hidden="1"/>
    <cellStyle name="Hiperligação" xfId="719" builtinId="8" hidden="1"/>
    <cellStyle name="Hiperligação" xfId="27" builtinId="8" hidden="1"/>
    <cellStyle name="Hiperligação" xfId="596" builtinId="8" hidden="1"/>
    <cellStyle name="Hiperligação" xfId="542" builtinId="8" hidden="1"/>
    <cellStyle name="Hiperligação" xfId="671" builtinId="8" hidden="1"/>
    <cellStyle name="Hiperligação" xfId="522" builtinId="8" hidden="1"/>
    <cellStyle name="Hiperligação" xfId="568" builtinId="8" hidden="1"/>
    <cellStyle name="Hiperligação" xfId="697" builtinId="8" hidden="1"/>
    <cellStyle name="Hiperligação" xfId="647" builtinId="8" hidden="1"/>
    <cellStyle name="Hiperligação" xfId="645" builtinId="8" hidden="1"/>
    <cellStyle name="Hiperligação" xfId="602" builtinId="8" hidden="1"/>
    <cellStyle name="Hiperligação" xfId="558" builtinId="8" hidden="1"/>
    <cellStyle name="Hiperligação" xfId="492" builtinId="8" hidden="1"/>
    <cellStyle name="Hiperligação" xfId="59" builtinId="8" hidden="1"/>
    <cellStyle name="Hiperligação" xfId="292" builtinId="8" hidden="1"/>
    <cellStyle name="Hiperligação" xfId="518" builtinId="8" hidden="1"/>
    <cellStyle name="Hiperligação" xfId="675" builtinId="8" hidden="1"/>
    <cellStyle name="Hiperligação" xfId="508" builtinId="8" hidden="1"/>
    <cellStyle name="Hiperligação" xfId="639" builtinId="8" hidden="1"/>
    <cellStyle name="Hiperligação" xfId="626" builtinId="8" hidden="1"/>
    <cellStyle name="Hiperligação" xfId="510" builtinId="8" hidden="1"/>
    <cellStyle name="Hiperligação" xfId="504" builtinId="8" hidden="1"/>
    <cellStyle name="Hiperligação" xfId="486" builtinId="8" hidden="1"/>
    <cellStyle name="Hiperligação" xfId="530" builtinId="8" hidden="1"/>
    <cellStyle name="Hiperligação" xfId="490" builtinId="8" hidden="1"/>
    <cellStyle name="Hiperligação" xfId="631" builtinId="8" hidden="1"/>
    <cellStyle name="Hiperligação" xfId="304" builtinId="8" hidden="1"/>
    <cellStyle name="Hiperligação" xfId="41" builtinId="8" hidden="1"/>
    <cellStyle name="Hiperligação" xfId="598" builtinId="8" hidden="1"/>
    <cellStyle name="Hiperligação" xfId="502" builtinId="8" hidden="1"/>
    <cellStyle name="Hiperligação" xfId="667" builtinId="8" hidden="1"/>
    <cellStyle name="Hiperligação" xfId="673" builtinId="8" hidden="1"/>
    <cellStyle name="Hiperligação" xfId="616" builtinId="8" hidden="1"/>
    <cellStyle name="Hiperligação" xfId="665" builtinId="8" hidden="1"/>
    <cellStyle name="Hiperligação" xfId="661" builtinId="8" hidden="1"/>
    <cellStyle name="Hiperligação" xfId="679" builtinId="8" hidden="1"/>
    <cellStyle name="Hiperligação" xfId="566" builtinId="8" hidden="1"/>
    <cellStyle name="Hiperligação" xfId="528" builtinId="8" hidden="1"/>
    <cellStyle name="Hiperligação" xfId="669" builtinId="8" hidden="1"/>
    <cellStyle name="Hiperligação" xfId="584" builtinId="8" hidden="1"/>
    <cellStyle name="Hiperligação" xfId="643" builtinId="8" hidden="1"/>
    <cellStyle name="Hiperligação" xfId="242" builtinId="8" hidden="1"/>
    <cellStyle name="Hiperligação" xfId="526" builtinId="8" hidden="1"/>
    <cellStyle name="Hiperligação" xfId="520" builtinId="8" hidden="1"/>
    <cellStyle name="Hiperligação" xfId="131" builtinId="8" hidden="1"/>
    <cellStyle name="Hiperligação" xfId="256" builtinId="8" hidden="1"/>
    <cellStyle name="Hiperligação" xfId="103" builtinId="8" hidden="1"/>
    <cellStyle name="Hiperligação" xfId="238" builtinId="8" hidden="1"/>
    <cellStyle name="Hiperligação" xfId="695" builtinId="8" hidden="1"/>
    <cellStyle name="Hiperligação" xfId="258" builtinId="8" hidden="1"/>
    <cellStyle name="Hiperligação" xfId="169" builtinId="8" hidden="1"/>
    <cellStyle name="Hiperligação" xfId="149" builtinId="8" hidden="1"/>
    <cellStyle name="Hiperligação" xfId="252" builtinId="8" hidden="1"/>
    <cellStyle name="Hiperligação" xfId="159" builtinId="8" hidden="1"/>
    <cellStyle name="Hiperligação" xfId="35" builtinId="8" hidden="1"/>
    <cellStyle name="Hiperligação" xfId="600" builtinId="8" hidden="1"/>
    <cellStyle name="Hiperligação" xfId="500" builtinId="8" hidden="1"/>
    <cellStyle name="Hiperligação" xfId="488" builtinId="8" hidden="1"/>
    <cellStyle name="Hiperligação" xfId="101" builtinId="8" hidden="1"/>
    <cellStyle name="Hiperligação" xfId="17" builtinId="8" hidden="1"/>
    <cellStyle name="Hiperligação" xfId="63" builtinId="8" hidden="1"/>
    <cellStyle name="Hiperligação" xfId="264" builtinId="8" hidden="1"/>
    <cellStyle name="Hiperligação" xfId="7" builtinId="8" hidden="1"/>
    <cellStyle name="Hiperligação" xfId="29" builtinId="8" hidden="1"/>
    <cellStyle name="Hiperligação" xfId="3" builtinId="8" hidden="1"/>
    <cellStyle name="Hiperligação" xfId="11" builtinId="8" hidden="1"/>
    <cellStyle name="Hiperligação" xfId="139" builtinId="8" hidden="1"/>
    <cellStyle name="Hiperligação" xfId="75" builtinId="8" hidden="1"/>
    <cellStyle name="Hiperligação" xfId="171" builtinId="8" hidden="1"/>
    <cellStyle name="Hiperligação" xfId="81" builtinId="8" hidden="1"/>
    <cellStyle name="Hiperligação" xfId="161" builtinId="8" hidden="1"/>
    <cellStyle name="Hiperligação" xfId="147" builtinId="8" hidden="1"/>
    <cellStyle name="Hiperligação" xfId="211" builtinId="8" hidden="1"/>
    <cellStyle name="Hiperligação" xfId="244" builtinId="8" hidden="1"/>
    <cellStyle name="Hiperligação" xfId="25" builtinId="8" hidden="1"/>
    <cellStyle name="Hiperligação" xfId="69" builtinId="8" hidden="1"/>
    <cellStyle name="Hiperligação" xfId="83" builtinId="8" hidden="1"/>
    <cellStyle name="Hiperligação" xfId="197" builtinId="8" hidden="1"/>
    <cellStyle name="Hiperligação" xfId="121" builtinId="8" hidden="1"/>
    <cellStyle name="Hiperligação" xfId="57" builtinId="8" hidden="1"/>
    <cellStyle name="Hiperligação" xfId="115" builtinId="8" hidden="1"/>
    <cellStyle name="Hiperligação" xfId="195" builtinId="8" hidden="1"/>
    <cellStyle name="Hiperligação" xfId="240" builtinId="8" hidden="1"/>
    <cellStyle name="Hiperligação" xfId="556" builtinId="8" hidden="1"/>
    <cellStyle name="Hiperligação" xfId="270" builtinId="8" hidden="1"/>
    <cellStyle name="Hiperligação" xfId="89" builtinId="8" hidden="1"/>
    <cellStyle name="Hiperligação" xfId="71" builtinId="8" hidden="1"/>
    <cellStyle name="Hiperligação" xfId="53" builtinId="8" hidden="1"/>
    <cellStyle name="Hiperligação" xfId="45" builtinId="8" hidden="1"/>
    <cellStyle name="Hiperligação" xfId="85" builtinId="8" hidden="1"/>
    <cellStyle name="Hiperligação" xfId="234" builtinId="8" hidden="1"/>
    <cellStyle name="Hiperligação" xfId="39" builtinId="8" hidden="1"/>
    <cellStyle name="Hiperligação" xfId="51" builtinId="8" hidden="1"/>
    <cellStyle name="Hiperligação" xfId="19" builtinId="8" hidden="1"/>
    <cellStyle name="Hiperligação" xfId="248" builtinId="8" hidden="1"/>
    <cellStyle name="Hiperligação" xfId="548" builtinId="8" hidden="1"/>
    <cellStyle name="Hiperligação" xfId="123" builtinId="8" hidden="1"/>
    <cellStyle name="Hiperligação" xfId="79" builtinId="8" hidden="1"/>
    <cellStyle name="Hiperligação" xfId="65" builtinId="8" hidden="1"/>
    <cellStyle name="Hiperligação" xfId="135" builtinId="8" hidden="1"/>
    <cellStyle name="Hiperligação" xfId="167" builtinId="8" hidden="1"/>
    <cellStyle name="Hiperligação" xfId="228" builtinId="8" hidden="1"/>
    <cellStyle name="Hiperligação" xfId="73" builtinId="8" hidden="1"/>
    <cellStyle name="Hiperligação" xfId="179" builtinId="8" hidden="1"/>
    <cellStyle name="Hiperligação" xfId="217" builtinId="8" hidden="1"/>
    <cellStyle name="Hiperligação" xfId="137" builtinId="8" hidden="1"/>
    <cellStyle name="Hiperligação" xfId="185" builtinId="8" hidden="1"/>
    <cellStyle name="Hiperligação" xfId="55" builtinId="8" hidden="1"/>
    <cellStyle name="Hiperligação" xfId="67" builtinId="8" hidden="1"/>
    <cellStyle name="Hiperligação" xfId="224" builtinId="8" hidden="1"/>
    <cellStyle name="Hiperligação" xfId="703" builtinId="8" hidden="1"/>
    <cellStyle name="Hiperligação" xfId="635" builtinId="8" hidden="1"/>
    <cellStyle name="Hiperligação" xfId="286" builtinId="8" hidden="1"/>
    <cellStyle name="Hiperligação" xfId="618" builtinId="8" hidden="1"/>
    <cellStyle name="Hiperligação" xfId="141" builtinId="8" hidden="1"/>
    <cellStyle name="Hiperligação" xfId="47" builtinId="8" hidden="1"/>
    <cellStyle name="Hiperligação" xfId="232" builtinId="8" hidden="1"/>
    <cellStyle name="Hiperligação" xfId="151" builtinId="8" hidden="1"/>
    <cellStyle name="Hiperligação" xfId="576" builtinId="8" hidden="1"/>
    <cellStyle name="Hiperligação" xfId="43" builtinId="8" hidden="1"/>
    <cellStyle name="Hiperligação" xfId="683" builtinId="8" hidden="1"/>
    <cellStyle name="Hiperligação" xfId="254" builtinId="8" hidden="1"/>
    <cellStyle name="Hiperligação" xfId="33" builtinId="8" hidden="1"/>
    <cellStyle name="Hiperligação" xfId="574" builtinId="8" hidden="1"/>
    <cellStyle name="Hiperligação" xfId="221" builtinId="8" hidden="1"/>
    <cellStyle name="Hiperligação" xfId="127" builtinId="8" hidden="1"/>
    <cellStyle name="Hiperligação" xfId="113" builtinId="8" hidden="1"/>
    <cellStyle name="Hiperligação" xfId="109" builtinId="8" hidden="1"/>
    <cellStyle name="Hiperligação" xfId="99" builtinId="8" hidden="1"/>
    <cellStyle name="Hiperligação" xfId="165" builtinId="8" hidden="1"/>
    <cellStyle name="Hiperligação" xfId="193" builtinId="8" hidden="1"/>
    <cellStyle name="Hiperligação" xfId="578" builtinId="8" hidden="1"/>
    <cellStyle name="Hiperligação" xfId="97" builtinId="8" hidden="1"/>
    <cellStyle name="Hiperligação" xfId="125" builtinId="8" hidden="1"/>
    <cellStyle name="Hiperligação" xfId="13" builtinId="8" hidden="1"/>
    <cellStyle name="Hiperligação" xfId="21" builtinId="8" hidden="1"/>
    <cellStyle name="Hiperligação" xfId="129" builtinId="8" hidden="1"/>
    <cellStyle name="Hiperligação" xfId="215" builtinId="8" hidden="1"/>
    <cellStyle name="Hiperligação" xfId="77" builtinId="8" hidden="1"/>
    <cellStyle name="Hiperligação" xfId="31" builtinId="8" hidden="1"/>
    <cellStyle name="Hiperligação" xfId="117" builtinId="8" hidden="1"/>
    <cellStyle name="Hiperligação" xfId="145" builtinId="8" hidden="1"/>
    <cellStyle name="Hiperligação" xfId="278" builtinId="8" hidden="1"/>
    <cellStyle name="Hiperligação" xfId="552" builtinId="8" hidden="1"/>
    <cellStyle name="Hiperligação" xfId="608" builtinId="8" hidden="1"/>
    <cellStyle name="Hiperligação" xfId="250" builtinId="8" hidden="1"/>
    <cellStyle name="Hiperligação" xfId="107" builtinId="8" hidden="1"/>
    <cellStyle name="Hiperligação" xfId="562" builtinId="8" hidden="1"/>
    <cellStyle name="Hiperligação" xfId="105" builtinId="8" hidden="1"/>
    <cellStyle name="Hiperligação" xfId="262" builtinId="8" hidden="1"/>
    <cellStyle name="Hiperligação" xfId="236" builtinId="8" hidden="1"/>
    <cellStyle name="Hiperligação" xfId="691" builtinId="8" hidden="1"/>
    <cellStyle name="Hiperligação" xfId="111" builtinId="8" hidden="1"/>
    <cellStyle name="Hiperligação" xfId="226" builtinId="8" hidden="1"/>
    <cellStyle name="Hiperligação" xfId="181" builtinId="8" hidden="1"/>
    <cellStyle name="Hiperligação" xfId="93" builtinId="8" hidden="1"/>
    <cellStyle name="Hiperligação" xfId="133" builtinId="8" hidden="1"/>
    <cellStyle name="Hiperligação" xfId="203" builtinId="8" hidden="1"/>
    <cellStyle name="Hiperligação" xfId="246" builtinId="8" hidden="1"/>
    <cellStyle name="Hiperligação" xfId="213" builtinId="8" hidden="1"/>
    <cellStyle name="Hiperligação" xfId="260" builtinId="8" hidden="1"/>
    <cellStyle name="Hiperligação" xfId="153" builtinId="8" hidden="1"/>
    <cellStyle name="Hiperligação" xfId="199" builtinId="8" hidden="1"/>
    <cellStyle name="Hiperligação" xfId="143" builtinId="8" hidden="1"/>
    <cellStyle name="Hiperligação" xfId="37" builtinId="8" hidden="1"/>
    <cellStyle name="Hiperligação" xfId="119" builtinId="8" hidden="1"/>
    <cellStyle name="Hiperligação" xfId="209" builtinId="8" hidden="1"/>
    <cellStyle name="Hiperligação" xfId="91" builtinId="8" hidden="1"/>
    <cellStyle name="Hiperligação" xfId="546" builtinId="8" hidden="1"/>
    <cellStyle name="Hiperligação" xfId="651" builtinId="8" hidden="1"/>
    <cellStyle name="Hiperligação" xfId="5" builtinId="8" hidden="1"/>
    <cellStyle name="Hiperligação" xfId="175" builtinId="8" hidden="1"/>
    <cellStyle name="Hiperligação" xfId="219" builtinId="8" hidden="1"/>
    <cellStyle name="Hiperligação" xfId="183" builtinId="8" hidden="1"/>
    <cellStyle name="Hiperligação" xfId="157" builtinId="8" hidden="1"/>
    <cellStyle name="Hiperligação" xfId="87" builtinId="8" hidden="1"/>
    <cellStyle name="Hiperligação" xfId="61" builtinId="8" hidden="1"/>
    <cellStyle name="Hiperligação" xfId="189" builtinId="8" hidden="1"/>
    <cellStyle name="Hiperligação" xfId="266" builtinId="8" hidden="1"/>
    <cellStyle name="Hiperligação" xfId="23" builtinId="8" hidden="1"/>
    <cellStyle name="Hiperligação" xfId="230" builtinId="8" hidden="1"/>
    <cellStyle name="Hiperligação 2" xfId="413" xr:uid="{00000000-0005-0000-0000-000075010000}"/>
    <cellStyle name="Hiperligação Visitada" xfId="34" builtinId="9" hidden="1"/>
    <cellStyle name="Hiperligação Visitada" xfId="549" builtinId="9" hidden="1"/>
    <cellStyle name="Hiperligação Visitada" xfId="551" builtinId="9" hidden="1"/>
    <cellStyle name="Hiperligação Visitada" xfId="279" builtinId="9" hidden="1"/>
    <cellStyle name="Hiperligação Visitada" xfId="513" builtinId="9" hidden="1"/>
    <cellStyle name="Hiperligação Visitada" xfId="573" builtinId="9" hidden="1"/>
    <cellStyle name="Hiperligação Visitada" xfId="632" builtinId="9" hidden="1"/>
    <cellStyle name="Hiperligação Visitada" xfId="497" builtinId="9" hidden="1"/>
    <cellStyle name="Hiperligação Visitada" xfId="80" builtinId="9" hidden="1"/>
    <cellStyle name="Hiperligação Visitada" xfId="287" builtinId="9" hidden="1"/>
    <cellStyle name="Hiperligação Visitada" xfId="299" builtinId="9" hidden="1"/>
    <cellStyle name="Hiperligação Visitada" xfId="271" builtinId="9" hidden="1"/>
    <cellStyle name="Hiperligação Visitada" xfId="702" builtinId="9" hidden="1"/>
    <cellStyle name="Hiperligação Visitada" xfId="583" builtinId="9" hidden="1"/>
    <cellStyle name="Hiperligação Visitada" xfId="662" builtinId="9" hidden="1"/>
    <cellStyle name="Hiperligação Visitada" xfId="527" builtinId="9" hidden="1"/>
    <cellStyle name="Hiperligação Visitada" xfId="710" builtinId="9" hidden="1"/>
    <cellStyle name="Hiperligação Visitada" xfId="523" builtinId="9" hidden="1"/>
    <cellStyle name="Hiperligação Visitada" xfId="507" builtinId="9" hidden="1"/>
    <cellStyle name="Hiperligação Visitada" xfId="692" builtinId="9" hidden="1"/>
    <cellStyle name="Hiperligação Visitada" xfId="293" builtinId="9" hidden="1"/>
    <cellStyle name="Hiperligação Visitada" xfId="297" builtinId="9" hidden="1"/>
    <cellStyle name="Hiperligação Visitada" xfId="307" builtinId="9" hidden="1"/>
    <cellStyle name="Hiperligação Visitada" xfId="627" builtinId="9" hidden="1"/>
    <cellStyle name="Hiperligação Visitada" xfId="680" builtinId="9" hidden="1"/>
    <cellStyle name="Hiperligação Visitada" xfId="529" builtinId="9" hidden="1"/>
    <cellStyle name="Hiperligação Visitada" xfId="668" builtinId="9" hidden="1"/>
    <cellStyle name="Hiperligação Visitada" xfId="565" builtinId="9" hidden="1"/>
    <cellStyle name="Hiperligação Visitada" xfId="547" builtinId="9" hidden="1"/>
    <cellStyle name="Hiperligação Visitada" xfId="670" builtinId="9" hidden="1"/>
    <cellStyle name="Hiperligação Visitada" xfId="718" builtinId="9" hidden="1"/>
    <cellStyle name="Hiperligação Visitada" xfId="545" builtinId="9" hidden="1"/>
    <cellStyle name="Hiperligação Visitada" xfId="678" builtinId="9" hidden="1"/>
    <cellStyle name="Hiperligação Visitada" xfId="537" builtinId="9" hidden="1"/>
    <cellStyle name="Hiperligação Visitada" xfId="591" builtinId="9" hidden="1"/>
    <cellStyle name="Hiperligação Visitada" xfId="499" builtinId="9" hidden="1"/>
    <cellStyle name="Hiperligação Visitada" xfId="650" builtinId="9" hidden="1"/>
    <cellStyle name="Hiperligação Visitada" xfId="617" builtinId="9" hidden="1"/>
    <cellStyle name="Hiperligação Visitada" xfId="577" builtinId="9" hidden="1"/>
    <cellStyle name="Hiperligação Visitada" xfId="634" builtinId="9" hidden="1"/>
    <cellStyle name="Hiperligação Visitada" xfId="660" builtinId="9" hidden="1"/>
    <cellStyle name="Hiperligação Visitada" xfId="716" builtinId="9" hidden="1"/>
    <cellStyle name="Hiperligação Visitada" xfId="517" builtinId="9" hidden="1"/>
    <cellStyle name="Hiperligação Visitada" xfId="714" builtinId="9" hidden="1"/>
    <cellStyle name="Hiperligação Visitada" xfId="597" builtinId="9" hidden="1"/>
    <cellStyle name="Hiperligação Visitada" xfId="625" builtinId="9" hidden="1"/>
    <cellStyle name="Hiperligação Visitada" xfId="700" builtinId="9" hidden="1"/>
    <cellStyle name="Hiperligação Visitada" xfId="277" builtinId="9" hidden="1"/>
    <cellStyle name="Hiperligação Visitada" xfId="656" builtinId="9" hidden="1"/>
    <cellStyle name="Hiperligação Visitada" xfId="561" builtinId="9" hidden="1"/>
    <cellStyle name="Hiperligação Visitada" xfId="720" builtinId="9" hidden="1"/>
    <cellStyle name="Hiperligação Visitada" xfId="521" builtinId="9" hidden="1"/>
    <cellStyle name="Hiperligação Visitada" xfId="674" builtinId="9" hidden="1"/>
    <cellStyle name="Hiperligação Visitada" xfId="289" builtinId="9" hidden="1"/>
    <cellStyle name="Hiperligação Visitada" xfId="487" builtinId="9" hidden="1"/>
    <cellStyle name="Hiperligação Visitada" xfId="283" builtinId="9" hidden="1"/>
    <cellStyle name="Hiperligação Visitada" xfId="557" builtinId="9" hidden="1"/>
    <cellStyle name="Hiperligação Visitada" xfId="511" builtinId="9" hidden="1"/>
    <cellStyle name="Hiperligação Visitada" xfId="676" builtinId="9" hidden="1"/>
    <cellStyle name="Hiperligação Visitada" xfId="86" builtinId="9" hidden="1"/>
    <cellStyle name="Hiperligação Visitada" xfId="114" builtinId="9" hidden="1"/>
    <cellStyle name="Hiperligação Visitada" xfId="696" builtinId="9" hidden="1"/>
    <cellStyle name="Hiperligação Visitada" xfId="682" builtinId="9" hidden="1"/>
    <cellStyle name="Hiperligação Visitada" xfId="585" builtinId="9" hidden="1"/>
    <cellStyle name="Hiperligação Visitada" xfId="644" builtinId="9" hidden="1"/>
    <cellStyle name="Hiperligação Visitada" xfId="686" builtinId="9" hidden="1"/>
    <cellStyle name="Hiperligação Visitada" xfId="619" builtinId="9" hidden="1"/>
    <cellStyle name="Hiperligação Visitada" xfId="636" builtinId="9" hidden="1"/>
    <cellStyle name="Hiperligação Visitada" xfId="144" builtinId="9" hidden="1"/>
    <cellStyle name="Hiperligação Visitada" xfId="694" builtinId="9" hidden="1"/>
    <cellStyle name="Hiperligação Visitada" xfId="672" builtinId="9" hidden="1"/>
    <cellStyle name="Hiperligação Visitada" xfId="525" builtinId="9" hidden="1"/>
    <cellStyle name="Hiperligação Visitada" xfId="688" builtinId="9" hidden="1"/>
    <cellStyle name="Hiperligação Visitada" xfId="690" builtinId="9" hidden="1"/>
    <cellStyle name="Hiperligação Visitada" xfId="515" builtinId="9" hidden="1"/>
    <cellStyle name="Hiperligação Visitada" xfId="553" builtinId="9" hidden="1"/>
    <cellStyle name="Hiperligação Visitada" xfId="638" builtinId="9" hidden="1"/>
    <cellStyle name="Hiperligação Visitada" xfId="623" builtinId="9" hidden="1"/>
    <cellStyle name="Hiperligação Visitada" xfId="587" builtinId="9" hidden="1"/>
    <cellStyle name="Hiperligação Visitada" xfId="621" builtinId="9" hidden="1"/>
    <cellStyle name="Hiperligação Visitada" xfId="539" builtinId="9" hidden="1"/>
    <cellStyle name="Hiperligação Visitada" xfId="305" builtinId="9" hidden="1"/>
    <cellStyle name="Hiperligação Visitada" xfId="509" builtinId="9" hidden="1"/>
    <cellStyle name="Hiperligação Visitada" xfId="648" builtinId="9" hidden="1"/>
    <cellStyle name="Hiperligação Visitada" xfId="646" builtinId="9" hidden="1"/>
    <cellStyle name="Hiperligação Visitada" xfId="629" builtinId="9" hidden="1"/>
    <cellStyle name="Hiperligação Visitada" xfId="595" builtinId="9" hidden="1"/>
    <cellStyle name="Hiperligação Visitada" xfId="706" builtinId="9" hidden="1"/>
    <cellStyle name="Hiperligação Visitada" xfId="303" builtinId="9" hidden="1"/>
    <cellStyle name="Hiperligação Visitada" xfId="609" builtinId="9" hidden="1"/>
    <cellStyle name="Hiperligação Visitada" xfId="503" builtinId="9" hidden="1"/>
    <cellStyle name="Hiperligação Visitada" xfId="664" builtinId="9" hidden="1"/>
    <cellStyle name="Hiperligação Visitada" xfId="579" builtinId="9" hidden="1"/>
    <cellStyle name="Hiperligação Visitada" xfId="519" builtinId="9" hidden="1"/>
    <cellStyle name="Hiperligação Visitada" xfId="708" builtinId="9" hidden="1"/>
    <cellStyle name="Hiperligação Visitada" xfId="611" builtinId="9" hidden="1"/>
    <cellStyle name="Hiperligação Visitada" xfId="501" builtinId="9" hidden="1"/>
    <cellStyle name="Hiperligação Visitada" xfId="712" builtinId="9" hidden="1"/>
    <cellStyle name="Hiperligação Visitada" xfId="642" builtinId="9" hidden="1"/>
    <cellStyle name="Hiperligação Visitada" xfId="640" builtinId="9" hidden="1"/>
    <cellStyle name="Hiperligação Visitada" xfId="295" builtinId="9" hidden="1"/>
    <cellStyle name="Hiperligação Visitada" xfId="275" builtinId="9" hidden="1"/>
    <cellStyle name="Hiperligação Visitada" xfId="569" builtinId="9" hidden="1"/>
    <cellStyle name="Hiperligação Visitada" xfId="531" builtinId="9" hidden="1"/>
    <cellStyle name="Hiperligação Visitada" xfId="603" builtinId="9" hidden="1"/>
    <cellStyle name="Hiperligação Visitada" xfId="291" builtinId="9" hidden="1"/>
    <cellStyle name="Hiperligação Visitada" xfId="605" builtinId="9" hidden="1"/>
    <cellStyle name="Hiperligação Visitada" xfId="563" builtinId="9" hidden="1"/>
    <cellStyle name="Hiperligação Visitada" xfId="555" builtinId="9" hidden="1"/>
    <cellStyle name="Hiperligação Visitada" xfId="505" builtinId="9" hidden="1"/>
    <cellStyle name="Hiperligação Visitada" xfId="654" builtinId="9" hidden="1"/>
    <cellStyle name="Hiperligação Visitada" xfId="666" builtinId="9" hidden="1"/>
    <cellStyle name="Hiperligação Visitada" xfId="698" builtinId="9" hidden="1"/>
    <cellStyle name="Hiperligação Visitada" xfId="281" builtinId="9" hidden="1"/>
    <cellStyle name="Hiperligação Visitada" xfId="533" builtinId="9" hidden="1"/>
    <cellStyle name="Hiperligação Visitada" xfId="722" builtinId="9" hidden="1"/>
    <cellStyle name="Hiperligação Visitada" xfId="613" builtinId="9" hidden="1"/>
    <cellStyle name="Hiperligação Visitada" xfId="491" builtinId="9" hidden="1"/>
    <cellStyle name="Hiperligação Visitada" xfId="658" builtinId="9" hidden="1"/>
    <cellStyle name="Hiperligação Visitada" xfId="309" builtinId="9" hidden="1"/>
    <cellStyle name="Hiperligação Visitada" xfId="704" builtinId="9" hidden="1"/>
    <cellStyle name="Hiperligação Visitada" xfId="607" builtinId="9" hidden="1"/>
    <cellStyle name="Hiperligação Visitada" xfId="301" builtinId="9" hidden="1"/>
    <cellStyle name="Hiperligação Visitada" xfId="599" builtinId="9" hidden="1"/>
    <cellStyle name="Hiperligação Visitada" xfId="589" builtinId="9" hidden="1"/>
    <cellStyle name="Hiperligação Visitada" xfId="495" builtinId="9" hidden="1"/>
    <cellStyle name="Hiperligação Visitada" xfId="567" builtinId="9" hidden="1"/>
    <cellStyle name="Hiperligação Visitada" xfId="541" builtinId="9" hidden="1"/>
    <cellStyle name="Hiperligação Visitada" xfId="581" builtinId="9" hidden="1"/>
    <cellStyle name="Hiperligação Visitada" xfId="126" builtinId="9" hidden="1"/>
    <cellStyle name="Hiperligação Visitada" xfId="535" builtinId="9" hidden="1"/>
    <cellStyle name="Hiperligação Visitada" xfId="615" builtinId="9" hidden="1"/>
    <cellStyle name="Hiperligação Visitada" xfId="684" builtinId="9" hidden="1"/>
    <cellStyle name="Hiperligação Visitada" xfId="489" builtinId="9" hidden="1"/>
    <cellStyle name="Hiperligação Visitada" xfId="559" builtinId="9" hidden="1"/>
    <cellStyle name="Hiperligação Visitada" xfId="652" builtinId="9" hidden="1"/>
    <cellStyle name="Hiperligação Visitada" xfId="176" builtinId="9" hidden="1"/>
    <cellStyle name="Hiperligação Visitada" xfId="56" builtinId="9" hidden="1"/>
    <cellStyle name="Hiperligação Visitada" xfId="196" builtinId="9" hidden="1"/>
    <cellStyle name="Hiperligação Visitada" xfId="60" builtinId="9" hidden="1"/>
    <cellStyle name="Hiperligação Visitada" xfId="120" builtinId="9" hidden="1"/>
    <cellStyle name="Hiperligação Visitada" xfId="178" builtinId="9" hidden="1"/>
    <cellStyle name="Hiperligação Visitada" xfId="220" builtinId="9" hidden="1"/>
    <cellStyle name="Hiperligação Visitada" xfId="100" builtinId="9" hidden="1"/>
    <cellStyle name="Hiperligação Visitada" xfId="190" builtinId="9" hidden="1"/>
    <cellStyle name="Hiperligação Visitada" xfId="54" builtinId="9" hidden="1"/>
    <cellStyle name="Hiperligação Visitada" xfId="6" builtinId="9" hidden="1"/>
    <cellStyle name="Hiperligação Visitada" xfId="257" builtinId="9" hidden="1"/>
    <cellStyle name="Hiperligação Visitada" xfId="192" builtinId="9" hidden="1"/>
    <cellStyle name="Hiperligação Visitada" xfId="575" builtinId="9" hidden="1"/>
    <cellStyle name="Hiperligação Visitada" xfId="593" builtinId="9" hidden="1"/>
    <cellStyle name="Hiperligação Visitada" xfId="194" builtinId="9" hidden="1"/>
    <cellStyle name="Hiperligação Visitada" xfId="134" builtinId="9" hidden="1"/>
    <cellStyle name="Hiperligação Visitada" xfId="172" builtinId="9" hidden="1"/>
    <cellStyle name="Hiperligação Visitada" xfId="156" builtinId="9" hidden="1"/>
    <cellStyle name="Hiperligação Visitada" xfId="72" builtinId="9" hidden="1"/>
    <cellStyle name="Hiperligação Visitada" xfId="493" builtinId="9" hidden="1"/>
    <cellStyle name="Hiperligação Visitada" xfId="188" builtinId="9" hidden="1"/>
    <cellStyle name="Hiperligação Visitada" xfId="265" builtinId="9" hidden="1"/>
    <cellStyle name="Hiperligação Visitada" xfId="200" builtinId="9" hidden="1"/>
    <cellStyle name="Hiperligação Visitada" xfId="98" builtinId="9" hidden="1"/>
    <cellStyle name="Hiperligação Visitada" xfId="30" builtinId="9" hidden="1"/>
    <cellStyle name="Hiperligação Visitada" xfId="241" builtinId="9" hidden="1"/>
    <cellStyle name="Hiperligação Visitada" xfId="136" builtinId="9" hidden="1"/>
    <cellStyle name="Hiperligação Visitada" xfId="243" builtinId="9" hidden="1"/>
    <cellStyle name="Hiperligação Visitada" xfId="42" builtinId="9" hidden="1"/>
    <cellStyle name="Hiperligação Visitada" xfId="269" builtinId="9" hidden="1"/>
    <cellStyle name="Hiperligação Visitada" xfId="70" builtinId="9" hidden="1"/>
    <cellStyle name="Hiperligação Visitada" xfId="239" builtinId="9" hidden="1"/>
    <cellStyle name="Hiperligação Visitada" xfId="140" builtinId="9" hidden="1"/>
    <cellStyle name="Hiperligação Visitada" xfId="210" builtinId="9" hidden="1"/>
    <cellStyle name="Hiperligação Visitada" xfId="48" builtinId="9" hidden="1"/>
    <cellStyle name="Hiperligação Visitada" xfId="88" builtinId="9" hidden="1"/>
    <cellStyle name="Hiperligação Visitada" xfId="184" builtinId="9" hidden="1"/>
    <cellStyle name="Hiperligação Visitada" xfId="130" builtinId="9" hidden="1"/>
    <cellStyle name="Hiperligação Visitada" xfId="214" builtinId="9" hidden="1"/>
    <cellStyle name="Hiperligação Visitada" xfId="152" builtinId="9" hidden="1"/>
    <cellStyle name="Hiperligação Visitada" xfId="245" builtinId="9" hidden="1"/>
    <cellStyle name="Hiperligação Visitada" xfId="170" builtinId="9" hidden="1"/>
    <cellStyle name="Hiperligação Visitada" xfId="168" builtinId="9" hidden="1"/>
    <cellStyle name="Hiperligação Visitada" xfId="12" builtinId="9" hidden="1"/>
    <cellStyle name="Hiperligação Visitada" xfId="124" builtinId="9" hidden="1"/>
    <cellStyle name="Hiperligação Visitada" xfId="108" builtinId="9" hidden="1"/>
    <cellStyle name="Hiperligação Visitada" xfId="78" builtinId="9" hidden="1"/>
    <cellStyle name="Hiperligação Visitada" xfId="249" builtinId="9" hidden="1"/>
    <cellStyle name="Hiperligação Visitada" xfId="36" builtinId="9" hidden="1"/>
    <cellStyle name="Hiperligação Visitada" xfId="32" builtinId="9" hidden="1"/>
    <cellStyle name="Hiperligação Visitada" xfId="237" builtinId="9" hidden="1"/>
    <cellStyle name="Hiperligação Visitada" xfId="186" builtinId="9" hidden="1"/>
    <cellStyle name="Hiperligação Visitada" xfId="206" builtinId="9" hidden="1"/>
    <cellStyle name="Hiperligação Visitada" xfId="229" builtinId="9" hidden="1"/>
    <cellStyle name="Hiperligação Visitada" xfId="132" builtinId="9" hidden="1"/>
    <cellStyle name="Hiperligação Visitada" xfId="247" builtinId="9" hidden="1"/>
    <cellStyle name="Hiperligação Visitada" xfId="68" builtinId="9" hidden="1"/>
    <cellStyle name="Hiperligação Visitada" xfId="273" builtinId="9" hidden="1"/>
    <cellStyle name="Hiperligação Visitada" xfId="208" builtinId="9" hidden="1"/>
    <cellStyle name="Hiperligação Visitada" xfId="261" builtinId="9" hidden="1"/>
    <cellStyle name="Hiperligação Visitada" xfId="142" builtinId="9" hidden="1"/>
    <cellStyle name="Hiperligação Visitada" xfId="251" builtinId="9" hidden="1"/>
    <cellStyle name="Hiperligação Visitada" xfId="38" builtinId="9" hidden="1"/>
    <cellStyle name="Hiperligação Visitada" xfId="263" builtinId="9" hidden="1"/>
    <cellStyle name="Hiperligação Visitada" xfId="253" builtinId="9" hidden="1"/>
    <cellStyle name="Hiperligação Visitada" xfId="110" builtinId="9" hidden="1"/>
    <cellStyle name="Hiperligação Visitada" xfId="76" builtinId="9" hidden="1"/>
    <cellStyle name="Hiperligação Visitada" xfId="198" builtinId="9" hidden="1"/>
    <cellStyle name="Hiperligação Visitada" xfId="285" builtinId="9" hidden="1"/>
    <cellStyle name="Hiperligação Visitada" xfId="18" builtinId="9" hidden="1"/>
    <cellStyle name="Hiperligação Visitada" xfId="146" builtinId="9" hidden="1"/>
    <cellStyle name="Hiperligação Visitada" xfId="16" builtinId="9" hidden="1"/>
    <cellStyle name="Hiperligação Visitada" xfId="14" builtinId="9" hidden="1"/>
    <cellStyle name="Hiperligação Visitada" xfId="90" builtinId="9" hidden="1"/>
    <cellStyle name="Hiperligação Visitada" xfId="10" builtinId="9" hidden="1"/>
    <cellStyle name="Hiperligação Visitada" xfId="4" builtinId="9" hidden="1"/>
    <cellStyle name="Hiperligação Visitada" xfId="58" builtinId="9" hidden="1"/>
    <cellStyle name="Hiperligação Visitada" xfId="44" builtinId="9" hidden="1"/>
    <cellStyle name="Hiperligação Visitada" xfId="150" builtinId="9" hidden="1"/>
    <cellStyle name="Hiperligação Visitada" xfId="180" builtinId="9" hidden="1"/>
    <cellStyle name="Hiperligação Visitada" xfId="50" builtinId="9" hidden="1"/>
    <cellStyle name="Hiperligação Visitada" xfId="158" builtinId="9" hidden="1"/>
    <cellStyle name="Hiperligação Visitada" xfId="62" builtinId="9" hidden="1"/>
    <cellStyle name="Hiperligação Visitada" xfId="148" builtinId="9" hidden="1"/>
    <cellStyle name="Hiperligação Visitada" xfId="231" builtinId="9" hidden="1"/>
    <cellStyle name="Hiperligação Visitada" xfId="204" builtinId="9" hidden="1"/>
    <cellStyle name="Hiperligação Visitada" xfId="94" builtinId="9" hidden="1"/>
    <cellStyle name="Hiperligação Visitada" xfId="28" builtinId="9" hidden="1"/>
    <cellStyle name="Hiperligação Visitada" xfId="40" builtinId="9" hidden="1"/>
    <cellStyle name="Hiperligação Visitada" xfId="74" builtinId="9" hidden="1"/>
    <cellStyle name="Hiperligação Visitada" xfId="202" builtinId="9" hidden="1"/>
    <cellStyle name="Hiperligação Visitada" xfId="122" builtinId="9" hidden="1"/>
    <cellStyle name="Hiperligação Visitada" xfId="46" builtinId="9" hidden="1"/>
    <cellStyle name="Hiperligação Visitada" xfId="52" builtinId="9" hidden="1"/>
    <cellStyle name="Hiperligação Visitada" xfId="160" builtinId="9" hidden="1"/>
    <cellStyle name="Hiperligação Visitada" xfId="64" builtinId="9" hidden="1"/>
    <cellStyle name="Hiperligação Visitada" xfId="66" builtinId="9" hidden="1"/>
    <cellStyle name="Hiperligação Visitada" xfId="212" builtinId="9" hidden="1"/>
    <cellStyle name="Hiperligação Visitada" xfId="116" builtinId="9" hidden="1"/>
    <cellStyle name="Hiperligação Visitada" xfId="235" builtinId="9" hidden="1"/>
    <cellStyle name="Hiperligação Visitada" xfId="222" builtinId="9" hidden="1"/>
    <cellStyle name="Hiperligação Visitada" xfId="118" builtinId="9" hidden="1"/>
    <cellStyle name="Hiperligação Visitada" xfId="233" builtinId="9" hidden="1"/>
    <cellStyle name="Hiperligação Visitada" xfId="138" builtinId="9" hidden="1"/>
    <cellStyle name="Hiperligação Visitada" xfId="22" builtinId="9" hidden="1"/>
    <cellStyle name="Hiperligação Visitada" xfId="174" builtinId="9" hidden="1"/>
    <cellStyle name="Hiperligação Visitada" xfId="154" builtinId="9" hidden="1"/>
    <cellStyle name="Hiperligação Visitada" xfId="128" builtinId="9" hidden="1"/>
    <cellStyle name="Hiperligação Visitada" xfId="166" builtinId="9" hidden="1"/>
    <cellStyle name="Hiperligação Visitada" xfId="182" builtinId="9" hidden="1"/>
    <cellStyle name="Hiperligação Visitada" xfId="267" builtinId="9" hidden="1"/>
    <cellStyle name="Hiperligação Visitada" xfId="216" builtinId="9" hidden="1"/>
    <cellStyle name="Hiperligação Visitada" xfId="218" builtinId="9" hidden="1"/>
    <cellStyle name="Hiperligação Visitada" xfId="112" builtinId="9" hidden="1"/>
    <cellStyle name="Hiperligação Visitada" xfId="106" builtinId="9" hidden="1"/>
    <cellStyle name="Hiperligação Visitada" xfId="571" builtinId="9" hidden="1"/>
    <cellStyle name="Hiperligação Visitada" xfId="24" builtinId="9" hidden="1"/>
    <cellStyle name="Hiperligação Visitada" xfId="543" builtinId="9" hidden="1"/>
    <cellStyle name="Hiperligação Visitada" xfId="227" builtinId="9" hidden="1"/>
    <cellStyle name="Hiperligação Visitada" xfId="82" builtinId="9" hidden="1"/>
    <cellStyle name="Hiperligação Visitada" xfId="164" builtinId="9" hidden="1"/>
    <cellStyle name="Hiperligação Visitada" xfId="104" builtinId="9" hidden="1"/>
    <cellStyle name="Hiperligação Visitada" xfId="225" builtinId="9" hidden="1"/>
    <cellStyle name="Hiperligação Visitada" xfId="102" builtinId="9" hidden="1"/>
    <cellStyle name="Hiperligação Visitada" xfId="92" builtinId="9" hidden="1"/>
    <cellStyle name="Hiperligação Visitada" xfId="26" builtinId="9" hidden="1"/>
    <cellStyle name="Hiperligação Visitada" xfId="96" builtinId="9" hidden="1"/>
    <cellStyle name="Hiperligação Visitada" xfId="255" builtinId="9" hidden="1"/>
    <cellStyle name="Hiperligação Visitada" xfId="162" builtinId="9" hidden="1"/>
    <cellStyle name="Hiperligação Visitada" xfId="20" builtinId="9" hidden="1"/>
    <cellStyle name="Hiperligação Visitada" xfId="84" builtinId="9" hidden="1"/>
    <cellStyle name="Hiperligação Visitada" xfId="8" builtinId="9" hidden="1"/>
    <cellStyle name="Hiperligação Visitada" xfId="259" builtinId="9" hidden="1"/>
    <cellStyle name="Hiperligação Visitada" xfId="601" builtinId="9" hidden="1"/>
    <cellStyle name="Moeda" xfId="1" builtinId="4"/>
    <cellStyle name="Moeda 2" xfId="724" xr:uid="{17416CA3-FEE1-524C-A1EE-8783A57B8757}"/>
    <cellStyle name="Neutral 2" xfId="414" xr:uid="{00000000-0005-0000-0000-000085020000}"/>
    <cellStyle name="Normal" xfId="0" builtinId="0"/>
    <cellStyle name="Normal 10" xfId="415" xr:uid="{00000000-0005-0000-0000-000087020000}"/>
    <cellStyle name="Normal 10 2" xfId="416" xr:uid="{00000000-0005-0000-0000-000088020000}"/>
    <cellStyle name="Normal 11" xfId="723" xr:uid="{2EC72BEC-2068-8347-9716-1284B1CAB773}"/>
    <cellStyle name="Normal 2" xfId="2" xr:uid="{00000000-0005-0000-0000-000089020000}"/>
    <cellStyle name="Normal 2 10" xfId="417" xr:uid="{00000000-0005-0000-0000-00008A020000}"/>
    <cellStyle name="Normal 2 2" xfId="310" xr:uid="{00000000-0005-0000-0000-00008B020000}"/>
    <cellStyle name="Normal 2 2 2" xfId="418" xr:uid="{00000000-0005-0000-0000-00008C020000}"/>
    <cellStyle name="Normal 2 3" xfId="419" xr:uid="{00000000-0005-0000-0000-00008D020000}"/>
    <cellStyle name="Normal 2 4" xfId="420" xr:uid="{00000000-0005-0000-0000-00008E020000}"/>
    <cellStyle name="Normal 3" xfId="421" xr:uid="{00000000-0005-0000-0000-00008F020000}"/>
    <cellStyle name="Normal 3 2" xfId="422" xr:uid="{00000000-0005-0000-0000-000090020000}"/>
    <cellStyle name="Normal 3 2 2" xfId="423" xr:uid="{00000000-0005-0000-0000-000091020000}"/>
    <cellStyle name="Normal 3 2 2 2" xfId="424" xr:uid="{00000000-0005-0000-0000-000092020000}"/>
    <cellStyle name="Normal 3 2 3" xfId="425" xr:uid="{00000000-0005-0000-0000-000093020000}"/>
    <cellStyle name="Normal 3 2 3 2" xfId="426" xr:uid="{00000000-0005-0000-0000-000094020000}"/>
    <cellStyle name="Normal 3 2 3 5" xfId="427" xr:uid="{00000000-0005-0000-0000-000095020000}"/>
    <cellStyle name="Normal 3 2 4" xfId="428" xr:uid="{00000000-0005-0000-0000-000096020000}"/>
    <cellStyle name="Normal 3 2 4 2" xfId="429" xr:uid="{00000000-0005-0000-0000-000097020000}"/>
    <cellStyle name="Normal 3 2 5" xfId="430" xr:uid="{00000000-0005-0000-0000-000098020000}"/>
    <cellStyle name="Normal 3 2 6" xfId="431" xr:uid="{00000000-0005-0000-0000-000099020000}"/>
    <cellStyle name="Normal 3 3" xfId="432" xr:uid="{00000000-0005-0000-0000-00009A020000}"/>
    <cellStyle name="Normal 3 4" xfId="433" xr:uid="{00000000-0005-0000-0000-00009B020000}"/>
    <cellStyle name="Normal 3 5" xfId="434" xr:uid="{00000000-0005-0000-0000-00009C020000}"/>
    <cellStyle name="Normal 3 6" xfId="435" xr:uid="{00000000-0005-0000-0000-00009D020000}"/>
    <cellStyle name="Normal 4" xfId="436" xr:uid="{00000000-0005-0000-0000-00009E020000}"/>
    <cellStyle name="Normal 4 2" xfId="437" xr:uid="{00000000-0005-0000-0000-00009F020000}"/>
    <cellStyle name="Normal 4 2 2" xfId="438" xr:uid="{00000000-0005-0000-0000-0000A0020000}"/>
    <cellStyle name="Normal 4 3" xfId="439" xr:uid="{00000000-0005-0000-0000-0000A1020000}"/>
    <cellStyle name="Normal 4 3 2" xfId="440" xr:uid="{00000000-0005-0000-0000-0000A2020000}"/>
    <cellStyle name="Normal 4 3 3" xfId="441" xr:uid="{00000000-0005-0000-0000-0000A3020000}"/>
    <cellStyle name="Normal 4 3 3 2" xfId="442" xr:uid="{00000000-0005-0000-0000-0000A4020000}"/>
    <cellStyle name="Normal 4 3 3 3" xfId="443" xr:uid="{00000000-0005-0000-0000-0000A5020000}"/>
    <cellStyle name="Normal 4 4" xfId="444" xr:uid="{00000000-0005-0000-0000-0000A6020000}"/>
    <cellStyle name="Normal 4 5" xfId="445" xr:uid="{00000000-0005-0000-0000-0000A7020000}"/>
    <cellStyle name="Normal 5" xfId="446" xr:uid="{00000000-0005-0000-0000-0000A8020000}"/>
    <cellStyle name="Normal 5 2" xfId="447" xr:uid="{00000000-0005-0000-0000-0000A9020000}"/>
    <cellStyle name="Normal 5 3" xfId="448" xr:uid="{00000000-0005-0000-0000-0000AA020000}"/>
    <cellStyle name="Normal 5 4" xfId="449" xr:uid="{00000000-0005-0000-0000-0000AB020000}"/>
    <cellStyle name="Normal 5 5" xfId="450" xr:uid="{00000000-0005-0000-0000-0000AC020000}"/>
    <cellStyle name="Normal 6" xfId="451" xr:uid="{00000000-0005-0000-0000-0000AD020000}"/>
    <cellStyle name="Normal 6 2" xfId="452" xr:uid="{00000000-0005-0000-0000-0000AE020000}"/>
    <cellStyle name="Normal 6 2 2" xfId="453" xr:uid="{00000000-0005-0000-0000-0000AF020000}"/>
    <cellStyle name="Normal 6 3" xfId="454" xr:uid="{00000000-0005-0000-0000-0000B0020000}"/>
    <cellStyle name="Normal 6 4" xfId="455" xr:uid="{00000000-0005-0000-0000-0000B1020000}"/>
    <cellStyle name="Normal 7" xfId="456" xr:uid="{00000000-0005-0000-0000-0000B2020000}"/>
    <cellStyle name="Normal 7 2" xfId="457" xr:uid="{00000000-0005-0000-0000-0000B3020000}"/>
    <cellStyle name="Normal 8" xfId="458" xr:uid="{00000000-0005-0000-0000-0000B4020000}"/>
    <cellStyle name="Normal 9" xfId="459" xr:uid="{00000000-0005-0000-0000-0000B5020000}"/>
    <cellStyle name="Output 2" xfId="460" xr:uid="{00000000-0005-0000-0000-0000B6020000}"/>
    <cellStyle name="Percent 2" xfId="461" xr:uid="{00000000-0005-0000-0000-0000B8020000}"/>
    <cellStyle name="Percent 2 2" xfId="462" xr:uid="{00000000-0005-0000-0000-0000B9020000}"/>
    <cellStyle name="Percent 3" xfId="630" xr:uid="{00000000-0005-0000-0000-0000BA020000}"/>
    <cellStyle name="Percentagem" xfId="223" builtinId="5"/>
    <cellStyle name="Percentagem 2" xfId="311" xr:uid="{00000000-0005-0000-0000-0000BB020000}"/>
    <cellStyle name="Percentagem 2 2" xfId="463" xr:uid="{00000000-0005-0000-0000-0000BC020000}"/>
    <cellStyle name="Percentagem 2 3" xfId="464" xr:uid="{00000000-0005-0000-0000-0000BD020000}"/>
    <cellStyle name="Percentagem 2 4" xfId="465" xr:uid="{00000000-0005-0000-0000-0000BE020000}"/>
    <cellStyle name="Percentagem 3" xfId="466" xr:uid="{00000000-0005-0000-0000-0000BF020000}"/>
    <cellStyle name="Percentagem 3 2" xfId="467" xr:uid="{00000000-0005-0000-0000-0000C0020000}"/>
    <cellStyle name="Percentagem 4" xfId="468" xr:uid="{00000000-0005-0000-0000-0000C1020000}"/>
    <cellStyle name="Percentagem 5" xfId="469" xr:uid="{00000000-0005-0000-0000-0000C2020000}"/>
    <cellStyle name="Percentagem 6" xfId="470" xr:uid="{00000000-0005-0000-0000-0000C3020000}"/>
    <cellStyle name="Percentagem 6 2" xfId="471" xr:uid="{00000000-0005-0000-0000-0000C4020000}"/>
    <cellStyle name="Percentagem 7" xfId="472" xr:uid="{00000000-0005-0000-0000-0000C5020000}"/>
    <cellStyle name="Percentagem 8" xfId="725" xr:uid="{9588CCE3-F154-8646-A80D-5C3063AC9F79}"/>
    <cellStyle name="Sheet Title" xfId="473" xr:uid="{00000000-0005-0000-0000-0000C6020000}"/>
    <cellStyle name="Total 2" xfId="474" xr:uid="{00000000-0005-0000-0000-0000C7020000}"/>
    <cellStyle name="Vírgula 2" xfId="475" xr:uid="{00000000-0005-0000-0000-0000C8020000}"/>
    <cellStyle name="Vírgula 2 2" xfId="476" xr:uid="{00000000-0005-0000-0000-0000C9020000}"/>
    <cellStyle name="Vírgula 2 2 2" xfId="477" xr:uid="{00000000-0005-0000-0000-0000CA020000}"/>
    <cellStyle name="Vírgula 2 2 3" xfId="478" xr:uid="{00000000-0005-0000-0000-0000CB020000}"/>
    <cellStyle name="Vírgula 2 2 3 2" xfId="479" xr:uid="{00000000-0005-0000-0000-0000CC020000}"/>
    <cellStyle name="Vírgula 2 2 3 3" xfId="480" xr:uid="{00000000-0005-0000-0000-0000CD020000}"/>
    <cellStyle name="Vírgula 2 3" xfId="481" xr:uid="{00000000-0005-0000-0000-0000CE020000}"/>
    <cellStyle name="Vírgula 2 4" xfId="482" xr:uid="{00000000-0005-0000-0000-0000CF020000}"/>
    <cellStyle name="Vírgula 3" xfId="483" xr:uid="{00000000-0005-0000-0000-0000D0020000}"/>
    <cellStyle name="Vírgula 4" xfId="484" xr:uid="{00000000-0005-0000-0000-0000D1020000}"/>
    <cellStyle name="Vírgula 5" xfId="485" xr:uid="{00000000-0005-0000-0000-0000D2020000}"/>
  </cellStyles>
  <dxfs count="27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border outline="0">
        <top style="medium">
          <color rgb="FF2A6678"/>
        </top>
      </border>
    </dxf>
    <dxf>
      <border outline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numFmt numFmtId="164" formatCode="_-* #,##0.00\ &quot;€&quot;_-;\-* #,##0.00\ &quot;€&quot;_-;_-* &quot;-&quot;??\ &quot;€&quot;_-;_-@_-"/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numFmt numFmtId="164" formatCode="_-* #,##0.00\ &quot;€&quot;_-;\-* #,##0.00\ &quot;€&quot;_-;_-* &quot;-&quot;??\ &quot;€&quot;_-;_-@_-"/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numFmt numFmtId="164" formatCode="_-* #,##0.00\ &quot;€&quot;_-;\-* #,##0.00\ &quot;€&quot;_-;_-* &quot;-&quot;??\ &quot;€&quot;_-;_-@_-"/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border outline="0">
        <top style="medium">
          <color rgb="FF2A6678"/>
        </top>
      </border>
    </dxf>
    <dxf>
      <border outline="0">
        <left style="thick">
          <color theme="0"/>
        </left>
        <right style="thick">
          <color theme="0"/>
        </right>
        <top style="medium">
          <color rgb="FF2A667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border outline="0">
        <top style="medium">
          <color rgb="FF2A6678"/>
        </top>
      </border>
    </dxf>
    <dxf>
      <border outline="0">
        <left style="thick">
          <color theme="0"/>
        </left>
        <right style="thick">
          <color theme="0"/>
        </right>
        <top style="medium">
          <color rgb="FF2A667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 style="medium">
          <color rgb="FF2A6678"/>
        </top>
        <bottom style="medium">
          <color rgb="FF2A6678"/>
        </bottom>
        <vertical/>
        <horizontal/>
      </border>
    </dxf>
    <dxf>
      <border outline="0">
        <top style="medium">
          <color rgb="FF2A6678"/>
        </top>
      </border>
    </dxf>
    <dxf>
      <border outline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Titillium WebRegula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medium">
          <color rgb="FF2A66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Titillium WebRegular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Titillium WebRegular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tillium Web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Titillium WebRegular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2A6678"/>
        <name val="Titillium WebRegular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medium">
          <color rgb="FF2A6678"/>
        </top>
        <bottom style="medium">
          <color rgb="FF2A6678"/>
        </bottom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medium">
          <color rgb="FF2A6678"/>
        </bottom>
      </border>
    </dxf>
    <dxf>
      <font>
        <strike val="0"/>
        <outline val="0"/>
        <shadow val="0"/>
        <u val="none"/>
        <vertAlign val="baseline"/>
        <name val="Titillium WebRegular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FFFFFF"/>
        <name val="Titillium WebRegular"/>
        <scheme val="none"/>
      </font>
      <fill>
        <patternFill patternType="solid">
          <fgColor indexed="64"/>
          <bgColor rgb="FF2A667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colors>
    <mruColors>
      <color rgb="FF004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D2:F8" totalsRowShown="0" headerRowDxfId="277" dataDxfId="276" tableBorderDxfId="275">
  <autoFilter ref="D2:F8" xr:uid="{00000000-0009-0000-0100-000008000000}"/>
  <tableColumns count="3">
    <tableColumn id="1" xr3:uid="{00000000-0010-0000-0600-000001000000}" name="MARITAL STATUS" dataDxfId="274"/>
    <tableColumn id="2" xr3:uid="{00000000-0010-0000-0600-000002000000}" name="TABLE NAME" dataDxfId="273"/>
    <tableColumn id="3" xr3:uid="{00000000-0010-0000-0600-000003000000}" name="Column1" dataDxfId="2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710" displayName="Table710" ref="H2:H8" totalsRowShown="0" headerRowDxfId="271" dataDxfId="270" tableBorderDxfId="269">
  <autoFilter ref="H2:H8" xr:uid="{00000000-0009-0000-0100-000009000000}"/>
  <tableColumns count="1">
    <tableColumn id="1" xr3:uid="{00000000-0010-0000-0700-000001000000}" name="NUMBER OF DEPENDENTS" dataDxfId="26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71F85-95E1-E341-A114-40F39E5D6264}" name="HR_table" displayName="HR_table" ref="C56:M67" totalsRowShown="0" headerRowDxfId="267" dataDxfId="265" headerRowBorderDxfId="266" tableBorderDxfId="264" totalsRowBorderDxfId="263">
  <autoFilter ref="C56:M67" xr:uid="{8226A212-6A6B-1C45-9DBD-766111DDB6E5}"/>
  <tableColumns count="11">
    <tableColumn id="1" xr3:uid="{EC9D16BD-C4A4-2548-A080-42E7C30B7AB9}" name="NEW LEVEL" dataDxfId="262"/>
    <tableColumn id="9" xr3:uid="{3B7B82C6-CE45-F943-AA49-CB72F161D394}" name="OLD_LEVEL" dataDxfId="261"/>
    <tableColumn id="2" xr3:uid="{119D60CF-11D5-DE4A-98DC-1AAB37E1F6D5}" name="NEW POSITION" dataDxfId="260"/>
    <tableColumn id="3" xr3:uid="{3F86E441-3872-274C-A94F-C0CEB0F289A4}" name="ORDENADO" dataDxfId="259"/>
    <tableColumn id="4" xr3:uid="{A3235D44-E81E-354E-9719-89E00B5E524F}" name="ISENÇÃO" dataDxfId="258"/>
    <tableColumn id="5" xr3:uid="{D4EBA7ED-A14B-0A4D-B2E8-C537B44F2284}" name="ALIM" dataDxfId="257"/>
    <tableColumn id="6" xr3:uid="{89B5759E-F314-6941-A5EE-8E0DD305B776}" name="COMPL" dataDxfId="256"/>
    <tableColumn id="7" xr3:uid="{F2407E0B-2407-0741-8D5A-2D150E74C875}" name="YEAR MAX" dataDxfId="255">
      <calculatedColumnFormula>F57*14+G57*14+H57*11+I57*12</calculatedColumnFormula>
    </tableColumn>
    <tableColumn id="8" xr3:uid="{D44C5999-E43C-4344-8D0E-7F8F93E80ACE}" name="YEAR MIN" dataDxfId="254">
      <calculatedColumnFormula>F57*14+G57*14+H57*11</calculatedColumnFormula>
    </tableColumn>
    <tableColumn id="10" xr3:uid="{F1E50026-BDE0-AF4D-AFED-2267CDD17D83}" name="CAR" dataDxfId="253"/>
    <tableColumn id="11" xr3:uid="{719808A0-83CA-3043-B410-B2B2191B4AED}" name="BONUS" dataDxfId="25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83846-186C-2D42-8B77-E5735B06D9BE}" name="Marketing_table" displayName="Marketing_table" ref="C44:M55" totalsRowShown="0" headerRowDxfId="251" dataDxfId="249" headerRowBorderDxfId="250" tableBorderDxfId="248" totalsRowBorderDxfId="247">
  <autoFilter ref="C44:M55" xr:uid="{025B0673-C18A-8940-ACFE-B7FF32C50DE8}"/>
  <tableColumns count="11">
    <tableColumn id="1" xr3:uid="{12E8FFAA-62B1-2E4C-83D8-4CF4563EE53D}" name="NEW LEVEL" dataDxfId="246"/>
    <tableColumn id="9" xr3:uid="{D794D488-11FF-564B-BB7F-96F8350C9282}" name="OLD_LEVEL" dataDxfId="245"/>
    <tableColumn id="2" xr3:uid="{7F8EF92F-C27C-C047-8905-DFE7A38FED7F}" name="NEW POSITION" dataDxfId="244"/>
    <tableColumn id="3" xr3:uid="{3A42F943-E04E-2343-918D-E2305B532D8F}" name="ORDENADO" dataDxfId="243"/>
    <tableColumn id="4" xr3:uid="{0BC12859-BAB4-4346-B3FC-D2C5D6357F06}" name="ISENÇÃO" dataDxfId="242">
      <calculatedColumnFormula>F45*25%</calculatedColumnFormula>
    </tableColumn>
    <tableColumn id="5" xr3:uid="{109EED6C-DDB9-F541-8F85-66CC54152B2A}" name="ALIM" dataDxfId="241"/>
    <tableColumn id="6" xr3:uid="{98EEA704-FDDC-7343-9AEC-6839730EF0E1}" name="COMPL" dataDxfId="240"/>
    <tableColumn id="7" xr3:uid="{F3B1F1CC-1C11-A54E-8630-0AD0ABAD061F}" name="YEAR MAX" dataDxfId="239">
      <calculatedColumnFormula>F45*14+G45*14+H45*11+I45*12</calculatedColumnFormula>
    </tableColumn>
    <tableColumn id="8" xr3:uid="{AA106125-FD74-7942-9D88-15DF00B2B2D4}" name="YEAR MIN" dataDxfId="238">
      <calculatedColumnFormula>F45*14+G45*14+H45*11</calculatedColumnFormula>
    </tableColumn>
    <tableColumn id="10" xr3:uid="{EA29F780-E6A7-204A-AA85-2F6E158AFA68}" name="CAR" dataDxfId="237"/>
    <tableColumn id="12" xr3:uid="{115C41BC-C5B3-074A-BFEA-ACE2B03B1AAF}" name="BONUS" dataDxfId="23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CFF535-32FA-C34A-BFD3-3E968F92F935}" name="SALES_table" displayName="SALES_table" ref="C30:M43" totalsRowShown="0" headerRowDxfId="235" dataDxfId="233" headerRowBorderDxfId="234" tableBorderDxfId="232" totalsRowBorderDxfId="231">
  <autoFilter ref="C30:M43" xr:uid="{AAE6A20E-1C69-5D40-80F2-A21C09CE76BA}"/>
  <tableColumns count="11">
    <tableColumn id="1" xr3:uid="{FC4BA221-7A44-5B46-B907-350D0A42CF44}" name="NEW LEVEL" dataDxfId="230"/>
    <tableColumn id="9" xr3:uid="{0016F3DE-43C2-F941-87BB-0E32E5F8C15A}" name="OLD_LEVEL" dataDxfId="229"/>
    <tableColumn id="2" xr3:uid="{7DBBD0DB-2FC6-4D4A-A83E-2F02EBCD70A7}" name="NEW POSITION" dataDxfId="228"/>
    <tableColumn id="3" xr3:uid="{3153EE04-6346-A343-9A5C-649B4CC8FF38}" name="ORDENADO" dataDxfId="227"/>
    <tableColumn id="4" xr3:uid="{C7A0C1E9-E0FA-6641-9F08-A6AF4EA6AA4C}" name="ISENÇÃO" dataDxfId="226">
      <calculatedColumnFormula>F31*25%</calculatedColumnFormula>
    </tableColumn>
    <tableColumn id="5" xr3:uid="{AD360CEE-7513-134F-B0EE-961F93F370A2}" name="ALIM" dataDxfId="225"/>
    <tableColumn id="6" xr3:uid="{273C7A22-878A-EA43-9F19-2484B2B5BC49}" name="COMPL" dataDxfId="224"/>
    <tableColumn id="7" xr3:uid="{76C52E9E-32CE-804E-B244-565A691FB3F1}" name="YEAR MAX" dataDxfId="223">
      <calculatedColumnFormula>F31*14+G31*14+H31*11+I31*12</calculatedColumnFormula>
    </tableColumn>
    <tableColumn id="8" xr3:uid="{E50B571A-ED73-3E4B-82B4-82F584178CD8}" name="YEAR MIN" dataDxfId="222">
      <calculatedColumnFormula>F31*14+G31*14+H31*11</calculatedColumnFormula>
    </tableColumn>
    <tableColumn id="10" xr3:uid="{AD298AB4-B90D-D14F-9D9E-4A8F3FF3B8E7}" name="CAR" dataDxfId="221"/>
    <tableColumn id="11" xr3:uid="{94504C0D-6AB9-7444-BAEA-60BDB86A1C31}" name="BONUS" dataDxfId="22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FC20C-68B0-0C46-9B68-900F633EE666}" name="SPS_table" displayName="SPS_table" ref="C3:O29" totalsRowShown="0" headerRowDxfId="219" dataDxfId="218" tableBorderDxfId="217">
  <sortState xmlns:xlrd2="http://schemas.microsoft.com/office/spreadsheetml/2017/richdata2" ref="C4:N18">
    <sortCondition descending="1" ref="I4:I18"/>
  </sortState>
  <tableColumns count="13">
    <tableColumn id="1" xr3:uid="{F62E5BF3-CFF2-F147-BB56-2F9D90F4DC92}" name="NEW_LEVEL" dataDxfId="216"/>
    <tableColumn id="9" xr3:uid="{52B868F5-7CCA-EF42-8B8B-3557EDB0831B}" name="OLD_LEVEL" dataDxfId="215"/>
    <tableColumn id="2" xr3:uid="{6AD6466B-E12B-EA4B-AB1A-A820212865D5}" name="NEW_POSITION" dataDxfId="214"/>
    <tableColumn id="3" xr3:uid="{C57957B4-914C-2A47-8AFF-E0A972B7CB6E}" name="ORDENADO" dataDxfId="213"/>
    <tableColumn id="4" xr3:uid="{DAB98CEA-85DA-3741-AD95-D332ED48E7A3}" name="ISENÇÃO" dataDxfId="212"/>
    <tableColumn id="5" xr3:uid="{F84BEF6B-EB7D-754C-9EEC-B59FB80D3BAF}" name="ALIM" dataDxfId="211"/>
    <tableColumn id="6" xr3:uid="{AD46A794-825F-3248-8EE2-AEA4D68D3EED}" name="COMPL" dataDxfId="210"/>
    <tableColumn id="7" xr3:uid="{9BA9E623-4F7A-8641-8427-3DC9D4464941}" name="YEAR MAX" dataDxfId="209">
      <calculatedColumnFormula>F4*14+G4*14+H4*11+I4*12</calculatedColumnFormula>
    </tableColumn>
    <tableColumn id="8" xr3:uid="{63D983DF-4892-7A4D-9816-09BE4459B8E9}" name="YEAR MIN" dataDxfId="208">
      <calculatedColumnFormula>F4*14+G4*14+H4*11</calculatedColumnFormula>
    </tableColumn>
    <tableColumn id="10" xr3:uid="{87966EF1-20C9-384E-BAE8-800B9F8FF9FC}" name="CAR" dataDxfId="207"/>
    <tableColumn id="11" xr3:uid="{E3ADA3CF-D2FC-6D41-919D-B7EA2010EA21}" name="BONUS" dataDxfId="206"/>
    <tableColumn id="12" xr3:uid="{217F7AF7-3A80-D447-A215-D8896F6366F2}" name="Coluna1" dataDxfId="205">
      <calculatedColumnFormula>SPS_table[[#This Row],[ORDENADO]]+SPS_table[[#This Row],[ISENÇÃO]]</calculatedColumnFormula>
    </tableColumn>
    <tableColumn id="13" xr3:uid="{CBA2F027-C713-4349-BF5D-FC1879D01F23}" name="Coluna2" dataDxfId="2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E2EC37-52CC-8542-90ED-60EFBDD86BFD}" name="OO_table" displayName="OO_table" ref="C68:M80" totalsRowShown="0" headerRowDxfId="203" dataDxfId="201" headerRowBorderDxfId="202" tableBorderDxfId="200" totalsRowBorderDxfId="199">
  <autoFilter ref="C68:M80" xr:uid="{50D5F77D-F8D4-A94E-B61F-BD4F4FDDA87F}"/>
  <tableColumns count="11">
    <tableColumn id="1" xr3:uid="{AC6C3731-670C-234D-81A9-F60E1443ECB4}" name="NEW LEVEL" dataDxfId="198"/>
    <tableColumn id="9" xr3:uid="{78539297-ACF2-6A42-A8E8-DC18CF32F858}" name="OLD_LEVEL" dataDxfId="197"/>
    <tableColumn id="2" xr3:uid="{58786619-8594-CC4F-A208-98486EDB1745}" name="NEW POSITION" dataDxfId="196"/>
    <tableColumn id="3" xr3:uid="{0627F3D2-3541-064E-8D14-6AEF63508ED2}" name="ORDENADO" dataDxfId="195"/>
    <tableColumn id="4" xr3:uid="{E15E20F2-41AE-5F41-9709-5B87F98A3001}" name="ISENÇÃO" dataDxfId="194"/>
    <tableColumn id="5" xr3:uid="{9CA620E4-6C5E-9449-8EAF-9CA5E292E4F6}" name="ALIM" dataDxfId="193"/>
    <tableColumn id="6" xr3:uid="{6CB9BA55-60DD-4D45-8A20-50A25B56252E}" name="COMPL" dataDxfId="192"/>
    <tableColumn id="7" xr3:uid="{2E674B37-6A94-4B41-9574-DFF0F08F8A99}" name="YEAR MAX" dataDxfId="191">
      <calculatedColumnFormula>F69*14+G69*14+H69*11+I69*12</calculatedColumnFormula>
    </tableColumn>
    <tableColumn id="8" xr3:uid="{0D769745-59CF-0E41-8EB5-880B698F2B13}" name="YEAR MIN" dataDxfId="190">
      <calculatedColumnFormula>F69*14+G69*14+H69*11</calculatedColumnFormula>
    </tableColumn>
    <tableColumn id="10" xr3:uid="{F20122D9-0EC9-2245-A721-01EA994574DB}" name="CAR" dataDxfId="189"/>
    <tableColumn id="11" xr3:uid="{C38A90B1-3056-AD45-8C1D-0CD4FE08AC06}" name="BONUS" dataDxfId="18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B58C-A02B-B74D-B13B-88C6B07B5BE8}">
  <sheetPr codeName="Folha3"/>
  <dimension ref="A1:BI7"/>
  <sheetViews>
    <sheetView showGridLines="0" zoomScaleNormal="83" workbookViewId="0">
      <pane xSplit="2" ySplit="2" topLeftCell="C3" activePane="bottomRight" state="frozen"/>
      <selection activeCell="K6" sqref="K6"/>
      <selection pane="topRight" activeCell="K6" sqref="K6"/>
      <selection pane="bottomLeft" activeCell="K6" sqref="K6"/>
      <selection pane="bottomRight" activeCell="B7" sqref="B7"/>
    </sheetView>
  </sheetViews>
  <sheetFormatPr baseColWidth="10" defaultColWidth="11.5" defaultRowHeight="13"/>
  <cols>
    <col min="1" max="1" width="3.33203125" customWidth="1"/>
    <col min="2" max="2" width="33.33203125" style="134" bestFit="1" customWidth="1"/>
    <col min="3" max="3" width="10.5" style="158" customWidth="1"/>
    <col min="4" max="4" width="11.1640625" style="158" customWidth="1"/>
    <col min="5" max="5" width="22.1640625" customWidth="1"/>
    <col min="6" max="6" width="20.33203125" customWidth="1"/>
    <col min="7" max="7" width="17.83203125" customWidth="1"/>
    <col min="8" max="8" width="22.1640625" customWidth="1"/>
    <col min="9" max="12" width="23.6640625" customWidth="1"/>
    <col min="13" max="13" width="22.5" customWidth="1"/>
    <col min="14" max="14" width="16.33203125" customWidth="1"/>
    <col min="15" max="15" width="20.33203125" customWidth="1"/>
    <col min="16" max="16" width="45.83203125" customWidth="1"/>
    <col min="17" max="17" width="14.5" customWidth="1"/>
    <col min="18" max="18" width="15.6640625" customWidth="1"/>
    <col min="19" max="19" width="16.6640625" customWidth="1"/>
    <col min="20" max="20" width="10.83203125" customWidth="1"/>
    <col min="21" max="21" width="18.83203125" customWidth="1"/>
    <col min="22" max="22" width="10.33203125" customWidth="1"/>
    <col min="23" max="23" width="15.5" customWidth="1"/>
    <col min="24" max="24" width="11.1640625" customWidth="1"/>
    <col min="25" max="26" width="15" customWidth="1"/>
    <col min="27" max="27" width="13.33203125" customWidth="1"/>
    <col min="28" max="29" width="16.5" customWidth="1"/>
    <col min="30" max="30" width="17.1640625" customWidth="1"/>
    <col min="31" max="31" width="12.33203125" customWidth="1"/>
    <col min="32" max="32" width="10.83203125" customWidth="1"/>
    <col min="33" max="33" width="11.5" customWidth="1"/>
    <col min="34" max="34" width="15.5" customWidth="1"/>
    <col min="35" max="35" width="47.33203125" customWidth="1"/>
    <col min="36" max="37" width="14.5" customWidth="1"/>
    <col min="38" max="38" width="15.6640625" customWidth="1"/>
    <col min="39" max="39" width="16.6640625" customWidth="1"/>
    <col min="40" max="40" width="10.83203125" customWidth="1"/>
    <col min="41" max="41" width="18.83203125" customWidth="1"/>
    <col min="42" max="42" width="10.33203125" customWidth="1"/>
    <col min="43" max="43" width="15.5" customWidth="1"/>
    <col min="44" max="44" width="15.6640625" customWidth="1"/>
    <col min="45" max="45" width="16.83203125" customWidth="1"/>
    <col min="46" max="46" width="15" customWidth="1"/>
    <col min="47" max="47" width="13.33203125" customWidth="1"/>
    <col min="48" max="48" width="20" customWidth="1"/>
    <col min="49" max="49" width="19.1640625" customWidth="1"/>
    <col min="50" max="50" width="21.33203125" customWidth="1"/>
    <col min="51" max="51" width="19" customWidth="1"/>
    <col min="52" max="52" width="18" customWidth="1"/>
    <col min="53" max="53" width="11.83203125" customWidth="1"/>
    <col min="54" max="54" width="15.5" customWidth="1"/>
    <col min="55" max="55" width="16.5" customWidth="1"/>
    <col min="56" max="56" width="17.6640625" customWidth="1"/>
    <col min="57" max="57" width="18.33203125" customWidth="1"/>
    <col min="58" max="58" width="20.6640625" customWidth="1"/>
    <col min="59" max="60" width="16.83203125" customWidth="1"/>
    <col min="61" max="61" width="41.83203125" customWidth="1"/>
  </cols>
  <sheetData>
    <row r="1" spans="1:61" ht="15" customHeight="1">
      <c r="A1" s="96"/>
      <c r="B1" s="133"/>
      <c r="C1" s="97"/>
      <c r="D1" s="97"/>
      <c r="E1" s="96"/>
      <c r="F1" s="96"/>
      <c r="G1" s="96"/>
      <c r="H1" s="96"/>
      <c r="I1" s="96"/>
      <c r="J1" s="97"/>
      <c r="K1" s="97"/>
      <c r="L1" s="97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7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G1" s="96"/>
      <c r="BH1" s="96"/>
    </row>
    <row r="2" spans="1:61" s="99" customFormat="1" ht="77" customHeight="1">
      <c r="A2" s="98"/>
      <c r="B2" s="101" t="s">
        <v>9</v>
      </c>
      <c r="C2" s="101" t="s">
        <v>10</v>
      </c>
      <c r="D2" s="102" t="s">
        <v>11</v>
      </c>
      <c r="E2" s="102" t="s">
        <v>12</v>
      </c>
      <c r="F2" s="101" t="s">
        <v>361</v>
      </c>
      <c r="G2" s="101" t="s">
        <v>13</v>
      </c>
      <c r="H2" s="101" t="s">
        <v>14</v>
      </c>
      <c r="I2" s="101" t="s">
        <v>15</v>
      </c>
      <c r="J2" s="102" t="s">
        <v>357</v>
      </c>
      <c r="K2" s="102" t="s">
        <v>351</v>
      </c>
      <c r="L2" s="102" t="s">
        <v>16</v>
      </c>
      <c r="M2" s="102" t="s">
        <v>17</v>
      </c>
      <c r="N2" s="102" t="s">
        <v>18</v>
      </c>
      <c r="O2" s="102" t="s">
        <v>19</v>
      </c>
      <c r="P2" s="101" t="s">
        <v>20</v>
      </c>
      <c r="Q2" s="102" t="s">
        <v>21</v>
      </c>
      <c r="R2" s="102" t="s">
        <v>22</v>
      </c>
      <c r="S2" s="102" t="s">
        <v>23</v>
      </c>
      <c r="T2" s="102" t="s">
        <v>24</v>
      </c>
      <c r="U2" s="102" t="s">
        <v>25</v>
      </c>
      <c r="V2" s="102" t="s">
        <v>26</v>
      </c>
      <c r="W2" s="102" t="s">
        <v>27</v>
      </c>
      <c r="X2" s="102" t="s">
        <v>28</v>
      </c>
      <c r="Y2" s="102" t="s">
        <v>359</v>
      </c>
      <c r="Z2" s="102" t="s">
        <v>29</v>
      </c>
      <c r="AA2" s="102" t="s">
        <v>30</v>
      </c>
      <c r="AB2" s="102" t="s">
        <v>31</v>
      </c>
      <c r="AC2" s="102" t="s">
        <v>32</v>
      </c>
      <c r="AD2" s="102" t="s">
        <v>33</v>
      </c>
      <c r="AE2" s="102" t="s">
        <v>5</v>
      </c>
      <c r="AF2" s="102" t="s">
        <v>34</v>
      </c>
      <c r="AG2" s="102" t="s">
        <v>35</v>
      </c>
      <c r="AH2" s="102" t="s">
        <v>36</v>
      </c>
      <c r="AI2" s="135" t="s">
        <v>37</v>
      </c>
      <c r="AJ2" s="136" t="s">
        <v>360</v>
      </c>
      <c r="AK2" s="136" t="s">
        <v>21</v>
      </c>
      <c r="AL2" s="137" t="s">
        <v>22</v>
      </c>
      <c r="AM2" s="137" t="s">
        <v>23</v>
      </c>
      <c r="AN2" s="137" t="s">
        <v>24</v>
      </c>
      <c r="AO2" s="137" t="s">
        <v>25</v>
      </c>
      <c r="AP2" s="137" t="s">
        <v>26</v>
      </c>
      <c r="AQ2" s="137" t="s">
        <v>27</v>
      </c>
      <c r="AR2" s="137" t="s">
        <v>28</v>
      </c>
      <c r="AS2" s="137" t="s">
        <v>359</v>
      </c>
      <c r="AT2" s="137" t="s">
        <v>29</v>
      </c>
      <c r="AU2" s="137" t="s">
        <v>30</v>
      </c>
      <c r="AV2" s="137" t="s">
        <v>38</v>
      </c>
      <c r="AW2" s="137" t="s">
        <v>32</v>
      </c>
      <c r="AX2" s="137" t="s">
        <v>39</v>
      </c>
      <c r="AY2" s="137" t="s">
        <v>5</v>
      </c>
      <c r="AZ2" s="137" t="s">
        <v>40</v>
      </c>
      <c r="BA2" s="137" t="s">
        <v>35</v>
      </c>
      <c r="BB2" s="137" t="s">
        <v>36</v>
      </c>
      <c r="BC2" s="138" t="s">
        <v>41</v>
      </c>
      <c r="BD2" s="139" t="s">
        <v>42</v>
      </c>
      <c r="BE2" s="139" t="s">
        <v>43</v>
      </c>
      <c r="BF2" s="139" t="s">
        <v>44</v>
      </c>
      <c r="BG2" s="139" t="s">
        <v>45</v>
      </c>
      <c r="BH2" s="139" t="s">
        <v>46</v>
      </c>
      <c r="BI2" s="139" t="s">
        <v>47</v>
      </c>
    </row>
    <row r="3" spans="1:61" s="194" customFormat="1" ht="24">
      <c r="A3" s="96"/>
      <c r="B3" s="104" t="s">
        <v>368</v>
      </c>
      <c r="C3" s="103" t="s">
        <v>3</v>
      </c>
      <c r="D3" s="103" t="s">
        <v>48</v>
      </c>
      <c r="E3" s="103" t="s">
        <v>0</v>
      </c>
      <c r="F3" s="103" t="s">
        <v>49</v>
      </c>
      <c r="G3" s="103" t="s">
        <v>49</v>
      </c>
      <c r="H3" s="103" t="s">
        <v>0</v>
      </c>
      <c r="I3" s="103" t="s">
        <v>8</v>
      </c>
      <c r="J3" s="105" t="s">
        <v>72</v>
      </c>
      <c r="K3" s="105" t="s">
        <v>352</v>
      </c>
      <c r="L3" s="105" t="str">
        <f>LEFT(VLOOKUP(B3,'Database Extract'!A:C,2,FALSE),10)</f>
        <v>2019-11-22</v>
      </c>
      <c r="M3" s="106">
        <f t="shared" ref="M3:M6" ca="1" si="0">IFERROR(DATEDIF(L3,TODAY(),"m"),0)</f>
        <v>6</v>
      </c>
      <c r="N3" s="105" t="str">
        <f>IF(VLOOKUP(B3,'Database Extract'!A:F,4,FALSE)="2099-12-31 00:00:00.000","EFECTIVO",LEFT(VLOOKUP(B3,'Database Extract'!A:F,4,FALSE),10))</f>
        <v>2020-11-22</v>
      </c>
      <c r="O3" s="106">
        <f t="shared" ref="O3:O6" ca="1" si="1">IFERROR(DATEDIF(TODAY(),N3,"m"),"N/A")</f>
        <v>5</v>
      </c>
      <c r="P3" s="140" t="str">
        <f>IFERROR(VLOOKUP(B3,'Database Extract'!A:F,6,FALSE),"PRESTADOR DE SERVIÇOS")</f>
        <v>ASSOCIATE CONSULTANT B</v>
      </c>
      <c r="Q3" s="141">
        <f ca="1">(SUM(U3:V3)-(SUM(U3:V3)*REFERENCE_TABLES!$K$2)-(SUM(U3:V3)*(IF(ISNA(INDEX(INDIRECT(CONCATENATE(CALCULATOR!$E$9,"_table")),MATCH(U3+V3,INDIRECT(CALCULATOR!$E$9),1)+1,3+0)),0%,INDEX(INDIRECT(CONCATENATE(CALCULATOR!$E$9,"_table")),MATCH(U3+V3,INDIRECT(CALCULATOR!$E$9),1)+1,3+0)))))+W3+X3</f>
        <v>897.98</v>
      </c>
      <c r="R3" s="140" t="s">
        <v>50</v>
      </c>
      <c r="S3" s="141">
        <v>0</v>
      </c>
      <c r="T3" s="142">
        <f>IF(R3="Normal",IF(S3&lt;25000,REFERENCE_TABLES!$K$8,IF(S3&lt;35000,REFERENCE_TABLES!$K$9,REFERENCE_TABLES!$K$10)),IF(S3&lt;25000,REFERENCE_TABLES!$K$11,IF(S3&lt;35000,REFERENCE_TABLES!$K$12,REFERENCE_TABLES!$K$13)))</f>
        <v>0.1</v>
      </c>
      <c r="U3" s="141">
        <f t="shared" ref="U3:U6" ca="1" si="2">INDEX(INDIRECT(CONCATENATE(E3,"_table")),MATCH(P3,INDIRECT(E3),0),4)</f>
        <v>700</v>
      </c>
      <c r="V3" s="141">
        <f t="shared" ref="V3:V6" ca="1" si="3">INDEX(INDIRECT(CONCATENATE(E3,"_table")),MATCH(P3,INDIRECT(E3),0),5)</f>
        <v>175</v>
      </c>
      <c r="W3" s="141">
        <f t="shared" ref="W3:W6" si="4">21*7.63</f>
        <v>160.22999999999999</v>
      </c>
      <c r="X3" s="141">
        <v>50</v>
      </c>
      <c r="Y3" s="141">
        <v>391.01</v>
      </c>
      <c r="Z3" s="141">
        <v>0</v>
      </c>
      <c r="AA3" s="141">
        <f t="shared" ref="AA3:AA6" ca="1" si="5">U3*2</f>
        <v>1400</v>
      </c>
      <c r="AB3" s="141">
        <f t="shared" ref="AB3:AB6" ca="1" si="6">AC3-AA3</f>
        <v>15003.54</v>
      </c>
      <c r="AC3" s="141">
        <f t="shared" ref="AC3:AC6" ca="1" si="7">(U3+V3)*14+(W3*11)+(X3*12)+(Z3*12)+S3/(48*12)+AA3+Y3</f>
        <v>16403.54</v>
      </c>
      <c r="AD3" s="141">
        <f ca="1">(U3+V3)*14*(1+REFERENCE_TABLES!$K$3)+W3*11*(1+REFERENCE_TABLES!$K$6)+X3*12*(1+REFERENCE_TABLES!$K$7)+S3/48*12*(1+T3)+Z3*12+Y3</f>
        <v>17960.540299999997</v>
      </c>
      <c r="AE3" s="141">
        <f ca="1">(U3+V3)*14*(1+REFERENCE_TABLES!$K$3)+W3*11*(1+REFERENCE_TABLES!$K$6)+X3*12*(1+REFERENCE_TABLES!$K$7)+S3/48*12*(1+T3)+Z3*12+AA3+Y3</f>
        <v>19360.540299999997</v>
      </c>
      <c r="AF3" s="141">
        <f t="shared" ref="AF3:AF6" ca="1" si="8">(AE3-AA3)/12</f>
        <v>1496.7116916666664</v>
      </c>
      <c r="AG3" s="141">
        <v>156</v>
      </c>
      <c r="AH3" s="143" t="e">
        <f ca="1">IF($G3="SF",((AG3*CALCULATOR!$K$12*CALCULATOR!$K$13)-AE3)/(AG3*CALCULATOR!$K$12*CALCULATOR!$K$13),IF($G3="OUTSOURCING",IF($I3="SIBS",((AG3*CALCULATOR!$L$12*CALCULATOR!$L$13)-AE3)/(AG3*CALCULATOR!$L$12*CALCULATOR!$L$13),IF($I3="VODAFONE",((AG3*CALCULATOR!$M$12*CALCULATOR!$M$13)-AE3)/(AG3*CALCULATOR!$M$12*CALCULATOR!$M$13),((AG3*CALCULATOR!$K$12*CALCULATOR!$K$13)-AE3)/(AG3*CALCULATOR!$K$12*CALCULATOR!$K$13))),"N/A"))</f>
        <v>#DIV/0!</v>
      </c>
      <c r="AI3" s="144" t="str">
        <f t="shared" ref="AI3:AI6" si="9">P3</f>
        <v>ASSOCIATE CONSULTANT B</v>
      </c>
      <c r="AJ3" s="141">
        <f t="shared" ref="AJ3:AJ6" ca="1" si="10">AK3-Q3</f>
        <v>0</v>
      </c>
      <c r="AK3" s="141">
        <f ca="1">(SUM(AO3:AP3)-(SUM(AO3:AP3)*REFERENCE_TABLES!$K$2)-(SUM(AO3:AP3)*(IF(ISNA(INDEX(INDIRECT(CONCATENATE(CALCULATOR!$E$9,"_table")),MATCH(AO3+AP3,INDIRECT(CALCULATOR!$E$9),1)+1,3+0)),0%,INDEX(INDIRECT(CONCATENATE(CALCULATOR!$E$9,"_table")),MATCH(AO3+AP3,INDIRECT(CALCULATOR!$E$9),1)+1,3+0)))))+AQ3+AR3</f>
        <v>897.98</v>
      </c>
      <c r="AL3" s="140" t="s">
        <v>50</v>
      </c>
      <c r="AM3" s="141">
        <f t="shared" ref="AM3:AM6" si="11">S3</f>
        <v>0</v>
      </c>
      <c r="AN3" s="142">
        <f>IF(AL3="Normal",IF(AM3&lt;25000,REFERENCE_TABLES!$K$8,IF(AM3&lt;35000,REFERENCE_TABLES!$K$9,REFERENCE_TABLES!$K$10)),IF(AM3&lt;25000,REFERENCE_TABLES!$K$11,IF(AM3&lt;35000,REFERENCE_TABLES!$K$12,REFERENCE_TABLES!$K$13)))</f>
        <v>0.1</v>
      </c>
      <c r="AO3" s="141">
        <f t="shared" ref="AO3:AO6" ca="1" si="12">INDEX(INDIRECT(CONCATENATE(E3,"_table")),MATCH(AI3,INDIRECT(E3),0),4)</f>
        <v>700</v>
      </c>
      <c r="AP3" s="141">
        <f t="shared" ref="AP3:AP6" ca="1" si="13">INDEX(INDIRECT(CONCATENATE(E3,"_table")),MATCH(AI3,INDIRECT(E3),0),5)</f>
        <v>175</v>
      </c>
      <c r="AQ3" s="141">
        <f t="shared" ref="AQ3:AQ6" si="14">21*7.63</f>
        <v>160.22999999999999</v>
      </c>
      <c r="AR3" s="141">
        <f t="shared" ref="AR3:AR6" si="15">X3</f>
        <v>50</v>
      </c>
      <c r="AS3" s="141">
        <f t="shared" ref="AS3:AS6" si="16">Y3</f>
        <v>391.01</v>
      </c>
      <c r="AT3" s="141">
        <v>0</v>
      </c>
      <c r="AU3" s="141">
        <f t="shared" ref="AU3:AU6" ca="1" si="17">AO3*2</f>
        <v>1400</v>
      </c>
      <c r="AV3" s="141">
        <f t="shared" ref="AV3:AV6" ca="1" si="18">AW3-AU3</f>
        <v>15003.54</v>
      </c>
      <c r="AW3" s="141">
        <f t="shared" ref="AW3:AW6" ca="1" si="19">(AO3+AP3)*14+(AQ3*11)+(AR3*12)+(AT3*12)+AM3/(48*12)+AU3+AS3</f>
        <v>16403.54</v>
      </c>
      <c r="AX3" s="141">
        <f ca="1">(AO3+AP3)*14*(1+REFERENCE_TABLES!$K$3)+AQ3*11*(1+REFERENCE_TABLES!$K$6)+AR3*12*(1+REFERENCE_TABLES!$K$7)+AM3/48*12*(1+AN3)+AT3*12</f>
        <v>17569.530299999999</v>
      </c>
      <c r="AY3" s="141">
        <f ca="1">(AO3+AP3)*14*(1+REFERENCE_TABLES!$K$3)+AQ3*11*(1+REFERENCE_TABLES!$K$6)+AR3*12*(1+REFERENCE_TABLES!$K$7)+AM3/48*12*(1+AN3)+AT3*12+AU3+AS3</f>
        <v>19360.540299999997</v>
      </c>
      <c r="AZ3" s="141">
        <f t="shared" ref="AZ3:AZ6" ca="1" si="20">(AY3-AU3)/12</f>
        <v>1496.7116916666664</v>
      </c>
      <c r="BA3" s="141">
        <f t="shared" ref="BA3:BA6" si="21">AG3</f>
        <v>156</v>
      </c>
      <c r="BB3" s="143" t="e">
        <f ca="1">IF($G3="SF",((BA3*CALCULATOR!$K$12*CALCULATOR!$K$13)-AY3)/(BA3*CALCULATOR!$K$12*CALCULATOR!$K$13),IF($G3="OUTSOURCING",IF($I3="SIBS",((BA3*CALCULATOR!$L$12*CALCULATOR!$L$13)-AY3)/(BA3*CALCULATOR!$L$12*CALCULATOR!$L$13),IF($I3="VODAFONE",((BA3*CALCULATOR!$M$12*CALCULATOR!$M$13)-AY3)/(BA3*CALCULATOR!$M$12*CALCULATOR!$M$13),((BA3*CALCULATOR!$K$12*CALCULATOR!$K$13)-AY3)/(BA3*CALCULATOR!$K$12*CALCULATOR!$K$13))),"N/A"))</f>
        <v>#DIV/0!</v>
      </c>
      <c r="BC3" s="145">
        <f t="shared" ref="BC3:BC6" ca="1" si="22">AY3-AE3</f>
        <v>0</v>
      </c>
      <c r="BD3" s="141">
        <f t="shared" ref="BD3:BD6" ca="1" si="23">AW3-AC3</f>
        <v>0</v>
      </c>
      <c r="BE3" s="142">
        <f t="shared" ref="BE3:BE6" ca="1" si="24">(AW3/AC3)-1</f>
        <v>0</v>
      </c>
      <c r="BF3" s="141">
        <f t="shared" ref="BF3:BF6" ca="1" si="25">SUM(AO3:AP3)-SUM(U3:V3)</f>
        <v>0</v>
      </c>
      <c r="BG3" s="141">
        <f t="shared" ref="BG3:BG6" si="26">SUM(AR3:AR3)-SUM(X3:X3)</f>
        <v>0</v>
      </c>
      <c r="BH3" s="141">
        <f t="shared" ref="BH3:BH6" si="27">BA3-AG3</f>
        <v>0</v>
      </c>
      <c r="BI3" s="141"/>
    </row>
    <row r="4" spans="1:61" s="194" customFormat="1" ht="24">
      <c r="A4" s="96"/>
      <c r="B4" s="104" t="s">
        <v>369</v>
      </c>
      <c r="C4" s="103" t="s">
        <v>3</v>
      </c>
      <c r="D4" s="103" t="s">
        <v>48</v>
      </c>
      <c r="E4" s="103" t="s">
        <v>0</v>
      </c>
      <c r="F4" s="103" t="s">
        <v>353</v>
      </c>
      <c r="G4" s="103" t="s">
        <v>52</v>
      </c>
      <c r="H4" s="103" t="s">
        <v>0</v>
      </c>
      <c r="I4" s="103" t="s">
        <v>7</v>
      </c>
      <c r="J4" s="105" t="s">
        <v>54</v>
      </c>
      <c r="K4" s="105" t="s">
        <v>352</v>
      </c>
      <c r="L4" s="105" t="str">
        <f>LEFT(VLOOKUP(B4,'Database Extract'!A:C,2,FALSE),10)</f>
        <v>2020-01-02</v>
      </c>
      <c r="M4" s="106">
        <f t="shared" ca="1" si="0"/>
        <v>5</v>
      </c>
      <c r="N4" s="105" t="str">
        <f>IF(VLOOKUP(B4,'Database Extract'!A:F,4,FALSE)="2099-12-31 00:00:00.000","EFECTIVO",LEFT(VLOOKUP(B4,'Database Extract'!A:F,4,FALSE),10))</f>
        <v>2021-01-02</v>
      </c>
      <c r="O4" s="106">
        <f t="shared" ca="1" si="1"/>
        <v>6</v>
      </c>
      <c r="P4" s="140" t="str">
        <f>IFERROR(VLOOKUP(B4,'Database Extract'!A:F,6,FALSE),"PRESTADOR DE SERVIÇOS")</f>
        <v>ASSOCIATE CONSULTANT B</v>
      </c>
      <c r="Q4" s="141">
        <f ca="1">(SUM(U4:V4)-(SUM(U4:V4)*REFERENCE_TABLES!$K$2)-(SUM(U4:V4)*(IF(ISNA(INDEX(INDIRECT(CONCATENATE(CALCULATOR!$E$9,"_table")),MATCH(U4+V4,INDIRECT(CALCULATOR!$E$9),1)+1,3+0)),0%,INDEX(INDIRECT(CONCATENATE(CALCULATOR!$E$9,"_table")),MATCH(U4+V4,INDIRECT(CALCULATOR!$E$9),1)+1,3+0)))))+W4+X4</f>
        <v>847.98</v>
      </c>
      <c r="R4" s="140" t="s">
        <v>50</v>
      </c>
      <c r="S4" s="141">
        <v>0</v>
      </c>
      <c r="T4" s="142">
        <f>IF(R4="Normal",IF(S4&lt;25000,REFERENCE_TABLES!$K$8,IF(S4&lt;35000,REFERENCE_TABLES!$K$9,REFERENCE_TABLES!$K$10)),IF(S4&lt;25000,REFERENCE_TABLES!$K$11,IF(S4&lt;35000,REFERENCE_TABLES!$K$12,REFERENCE_TABLES!$K$13)))</f>
        <v>0.1</v>
      </c>
      <c r="U4" s="141">
        <f t="shared" ca="1" si="2"/>
        <v>700</v>
      </c>
      <c r="V4" s="141">
        <f t="shared" ca="1" si="3"/>
        <v>175</v>
      </c>
      <c r="W4" s="141">
        <f t="shared" si="4"/>
        <v>160.22999999999999</v>
      </c>
      <c r="X4" s="141">
        <v>0</v>
      </c>
      <c r="Y4" s="141">
        <v>391.01</v>
      </c>
      <c r="Z4" s="141">
        <v>0</v>
      </c>
      <c r="AA4" s="141">
        <f t="shared" ca="1" si="5"/>
        <v>1400</v>
      </c>
      <c r="AB4" s="141">
        <f t="shared" ca="1" si="6"/>
        <v>14403.54</v>
      </c>
      <c r="AC4" s="141">
        <f t="shared" ca="1" si="7"/>
        <v>15803.54</v>
      </c>
      <c r="AD4" s="141">
        <f ca="1">(U4+V4)*14*(1+REFERENCE_TABLES!$K$3)+W4*11*(1+REFERENCE_TABLES!$K$6)+X4*12*(1+REFERENCE_TABLES!$K$7)+S4/48*12*(1+T4)+Z4*12+Y4</f>
        <v>17330.540299999997</v>
      </c>
      <c r="AE4" s="141">
        <f ca="1">(U4+V4)*14*(1+REFERENCE_TABLES!$K$3)+W4*11*(1+REFERENCE_TABLES!$K$6)+X4*12*(1+REFERENCE_TABLES!$K$7)+S4/48*12*(1+T4)+Z4*12+AA4+Y4</f>
        <v>18730.540299999997</v>
      </c>
      <c r="AF4" s="141">
        <f t="shared" ca="1" si="8"/>
        <v>1444.2116916666664</v>
      </c>
      <c r="AG4" s="141">
        <v>0</v>
      </c>
      <c r="AH4" s="143" t="str">
        <f>IF($G4="SF",((AG4*CALCULATOR!$K$12*CALCULATOR!$K$13)-AE4)/(AG4*CALCULATOR!$K$12*CALCULATOR!$K$13),IF($G4="OUTSOURCING",IF($I4="SIBS",((AG4*CALCULATOR!$L$12*CALCULATOR!$L$13)-AE4)/(AG4*CALCULATOR!$L$12*CALCULATOR!$L$13),IF($I4="VODAFONE",((AG4*CALCULATOR!$M$12*CALCULATOR!$M$13)-AE4)/(AG4*CALCULATOR!$M$12*CALCULATOR!$M$13),((AG4*CALCULATOR!$K$12*CALCULATOR!$K$13)-AE4)/(AG4*CALCULATOR!$K$12*CALCULATOR!$K$13))),"N/A"))</f>
        <v>N/A</v>
      </c>
      <c r="AI4" s="144" t="str">
        <f t="shared" si="9"/>
        <v>ASSOCIATE CONSULTANT B</v>
      </c>
      <c r="AJ4" s="141">
        <f t="shared" ca="1" si="10"/>
        <v>0</v>
      </c>
      <c r="AK4" s="141">
        <f ca="1">(SUM(AO4:AP4)-(SUM(AO4:AP4)*REFERENCE_TABLES!$K$2)-(SUM(AO4:AP4)*(IF(ISNA(INDEX(INDIRECT(CONCATENATE(CALCULATOR!$E$9,"_table")),MATCH(AO4+AP4,INDIRECT(CALCULATOR!$E$9),1)+1,3+0)),0%,INDEX(INDIRECT(CONCATENATE(CALCULATOR!$E$9,"_table")),MATCH(AO4+AP4,INDIRECT(CALCULATOR!$E$9),1)+1,3+0)))))+AQ4+AR4</f>
        <v>847.98</v>
      </c>
      <c r="AL4" s="140" t="s">
        <v>50</v>
      </c>
      <c r="AM4" s="141">
        <f t="shared" si="11"/>
        <v>0</v>
      </c>
      <c r="AN4" s="142">
        <f>IF(AL4="Normal",IF(AM4&lt;25000,REFERENCE_TABLES!$K$8,IF(AM4&lt;35000,REFERENCE_TABLES!$K$9,REFERENCE_TABLES!$K$10)),IF(AM4&lt;25000,REFERENCE_TABLES!$K$11,IF(AM4&lt;35000,REFERENCE_TABLES!$K$12,REFERENCE_TABLES!$K$13)))</f>
        <v>0.1</v>
      </c>
      <c r="AO4" s="141">
        <f t="shared" ca="1" si="12"/>
        <v>700</v>
      </c>
      <c r="AP4" s="141">
        <f t="shared" ca="1" si="13"/>
        <v>175</v>
      </c>
      <c r="AQ4" s="141">
        <f t="shared" si="14"/>
        <v>160.22999999999999</v>
      </c>
      <c r="AR4" s="141">
        <f t="shared" si="15"/>
        <v>0</v>
      </c>
      <c r="AS4" s="141">
        <f t="shared" si="16"/>
        <v>391.01</v>
      </c>
      <c r="AT4" s="141">
        <v>0</v>
      </c>
      <c r="AU4" s="141">
        <f t="shared" ca="1" si="17"/>
        <v>1400</v>
      </c>
      <c r="AV4" s="141">
        <f t="shared" ca="1" si="18"/>
        <v>14403.54</v>
      </c>
      <c r="AW4" s="141">
        <f t="shared" ca="1" si="19"/>
        <v>15803.54</v>
      </c>
      <c r="AX4" s="141">
        <f ca="1">(AO4+AP4)*14*(1+REFERENCE_TABLES!$K$3)+AQ4*11*(1+REFERENCE_TABLES!$K$6)+AR4*12*(1+REFERENCE_TABLES!$K$7)+AM4/48*12*(1+AN4)+AT4*12</f>
        <v>16939.530299999999</v>
      </c>
      <c r="AY4" s="141">
        <f ca="1">(AO4+AP4)*14*(1+REFERENCE_TABLES!$K$3)+AQ4*11*(1+REFERENCE_TABLES!$K$6)+AR4*12*(1+REFERENCE_TABLES!$K$7)+AM4/48*12*(1+AN4)+AT4*12+AU4+AS4</f>
        <v>18730.540299999997</v>
      </c>
      <c r="AZ4" s="141">
        <f t="shared" ca="1" si="20"/>
        <v>1444.2116916666664</v>
      </c>
      <c r="BA4" s="141">
        <f t="shared" si="21"/>
        <v>0</v>
      </c>
      <c r="BB4" s="143" t="str">
        <f>IF($G4="SF",((BA4*CALCULATOR!$K$12*CALCULATOR!$K$13)-AY4)/(BA4*CALCULATOR!$K$12*CALCULATOR!$K$13),IF($G4="OUTSOURCING",IF($I4="SIBS",((BA4*CALCULATOR!$L$12*CALCULATOR!$L$13)-AY4)/(BA4*CALCULATOR!$L$12*CALCULATOR!$L$13),IF($I4="VODAFONE",((BA4*CALCULATOR!$M$12*CALCULATOR!$M$13)-AY4)/(BA4*CALCULATOR!$M$12*CALCULATOR!$M$13),((BA4*CALCULATOR!$K$12*CALCULATOR!$K$13)-AY4)/(BA4*CALCULATOR!$K$12*CALCULATOR!$K$13))),"N/A"))</f>
        <v>N/A</v>
      </c>
      <c r="BC4" s="145">
        <f t="shared" ca="1" si="22"/>
        <v>0</v>
      </c>
      <c r="BD4" s="141">
        <f t="shared" ca="1" si="23"/>
        <v>0</v>
      </c>
      <c r="BE4" s="142">
        <f t="shared" ca="1" si="24"/>
        <v>0</v>
      </c>
      <c r="BF4" s="141">
        <f t="shared" ca="1" si="25"/>
        <v>0</v>
      </c>
      <c r="BG4" s="141">
        <f t="shared" si="26"/>
        <v>0</v>
      </c>
      <c r="BH4" s="141">
        <f t="shared" si="27"/>
        <v>0</v>
      </c>
      <c r="BI4" s="141"/>
    </row>
    <row r="5" spans="1:61" s="194" customFormat="1" ht="24">
      <c r="A5" s="96"/>
      <c r="B5" s="104" t="s">
        <v>370</v>
      </c>
      <c r="C5" s="103" t="s">
        <v>3</v>
      </c>
      <c r="D5" s="103" t="s">
        <v>48</v>
      </c>
      <c r="E5" s="103" t="s">
        <v>0</v>
      </c>
      <c r="F5" s="103" t="s">
        <v>353</v>
      </c>
      <c r="G5" s="103" t="s">
        <v>52</v>
      </c>
      <c r="H5" s="103" t="s">
        <v>0</v>
      </c>
      <c r="I5" s="103" t="s">
        <v>7</v>
      </c>
      <c r="J5" s="105" t="s">
        <v>54</v>
      </c>
      <c r="K5" s="105" t="s">
        <v>352</v>
      </c>
      <c r="L5" s="105" t="str">
        <f>LEFT(VLOOKUP(B5,'Database Extract'!A:C,2,FALSE),10)</f>
        <v>2020-05-04</v>
      </c>
      <c r="M5" s="106">
        <f t="shared" ca="1" si="0"/>
        <v>1</v>
      </c>
      <c r="N5" s="105" t="str">
        <f>IF(VLOOKUP(B5,'Database Extract'!A:F,4,FALSE)="2099-12-31 00:00:00.000","EFECTIVO",LEFT(VLOOKUP(B5,'Database Extract'!A:F,4,FALSE),10))</f>
        <v>EFECTIVO</v>
      </c>
      <c r="O5" s="106" t="str">
        <f t="shared" ca="1" si="1"/>
        <v>N/A</v>
      </c>
      <c r="P5" s="140" t="str">
        <f>IFERROR(VLOOKUP(B5,'Database Extract'!A:F,6,FALSE),"PRESTADOR DE SERVIÇOS")</f>
        <v>ASSOCIATE CONSULTANT B</v>
      </c>
      <c r="Q5" s="141">
        <f ca="1">(SUM(U5:V5)-(SUM(U5:V5)*REFERENCE_TABLES!$K$2)-(SUM(U5:V5)*(IF(ISNA(INDEX(INDIRECT(CONCATENATE(CALCULATOR!$E$9,"_table")),MATCH(U5+V5,INDIRECT(CALCULATOR!$E$9),1)+1,3+0)),0%,INDEX(INDIRECT(CONCATENATE(CALCULATOR!$E$9,"_table")),MATCH(U5+V5,INDIRECT(CALCULATOR!$E$9),1)+1,3+0)))))+W5+X5</f>
        <v>847.98</v>
      </c>
      <c r="R5" s="140" t="s">
        <v>50</v>
      </c>
      <c r="S5" s="141">
        <v>0</v>
      </c>
      <c r="T5" s="142">
        <f>IF(R5="Normal",IF(S5&lt;25000,REFERENCE_TABLES!$K$8,IF(S5&lt;35000,REFERENCE_TABLES!$K$9,REFERENCE_TABLES!$K$10)),IF(S5&lt;25000,REFERENCE_TABLES!$K$11,IF(S5&lt;35000,REFERENCE_TABLES!$K$12,REFERENCE_TABLES!$K$13)))</f>
        <v>0.1</v>
      </c>
      <c r="U5" s="141">
        <f t="shared" ca="1" si="2"/>
        <v>700</v>
      </c>
      <c r="V5" s="141">
        <f t="shared" ca="1" si="3"/>
        <v>175</v>
      </c>
      <c r="W5" s="141">
        <f t="shared" si="4"/>
        <v>160.22999999999999</v>
      </c>
      <c r="X5" s="141">
        <v>0</v>
      </c>
      <c r="Y5" s="141">
        <v>391.01</v>
      </c>
      <c r="Z5" s="141">
        <v>0</v>
      </c>
      <c r="AA5" s="141">
        <f t="shared" ca="1" si="5"/>
        <v>1400</v>
      </c>
      <c r="AB5" s="141">
        <f t="shared" ca="1" si="6"/>
        <v>14403.54</v>
      </c>
      <c r="AC5" s="141">
        <f t="shared" ca="1" si="7"/>
        <v>15803.54</v>
      </c>
      <c r="AD5" s="141">
        <f ca="1">(U5+V5)*14*(1+REFERENCE_TABLES!$K$3)+W5*11*(1+REFERENCE_TABLES!$K$6)+X5*12*(1+REFERENCE_TABLES!$K$7)+S5/48*12*(1+T5)+Z5*12+Y5</f>
        <v>17330.540299999997</v>
      </c>
      <c r="AE5" s="141">
        <f ca="1">(U5+V5)*14*(1+REFERENCE_TABLES!$K$3)+W5*11*(1+REFERENCE_TABLES!$K$6)+X5*12*(1+REFERENCE_TABLES!$K$7)+S5/48*12*(1+T5)+Z5*12+AA5+Y5</f>
        <v>18730.540299999997</v>
      </c>
      <c r="AF5" s="141">
        <f t="shared" ca="1" si="8"/>
        <v>1444.2116916666664</v>
      </c>
      <c r="AG5" s="141">
        <v>0</v>
      </c>
      <c r="AH5" s="143" t="str">
        <f>IF($G5="SF",((AG5*CALCULATOR!$K$12*CALCULATOR!$K$13)-AE5)/(AG5*CALCULATOR!$K$12*CALCULATOR!$K$13),IF($G5="OUTSOURCING",IF($I5="SIBS",((AG5*CALCULATOR!$L$12*CALCULATOR!$L$13)-AE5)/(AG5*CALCULATOR!$L$12*CALCULATOR!$L$13),IF($I5="VODAFONE",((AG5*CALCULATOR!$M$12*CALCULATOR!$M$13)-AE5)/(AG5*CALCULATOR!$M$12*CALCULATOR!$M$13),((AG5*CALCULATOR!$K$12*CALCULATOR!$K$13)-AE5)/(AG5*CALCULATOR!$K$12*CALCULATOR!$K$13))),"N/A"))</f>
        <v>N/A</v>
      </c>
      <c r="AI5" s="144" t="str">
        <f t="shared" si="9"/>
        <v>ASSOCIATE CONSULTANT B</v>
      </c>
      <c r="AJ5" s="141">
        <f t="shared" ca="1" si="10"/>
        <v>0</v>
      </c>
      <c r="AK5" s="141">
        <f ca="1">(SUM(AO5:AP5)-(SUM(AO5:AP5)*REFERENCE_TABLES!$K$2)-(SUM(AO5:AP5)*(IF(ISNA(INDEX(INDIRECT(CONCATENATE(CALCULATOR!$E$9,"_table")),MATCH(AO5+AP5,INDIRECT(CALCULATOR!$E$9),1)+1,3+0)),0%,INDEX(INDIRECT(CONCATENATE(CALCULATOR!$E$9,"_table")),MATCH(AO5+AP5,INDIRECT(CALCULATOR!$E$9),1)+1,3+0)))))+AQ5+AR5</f>
        <v>847.98</v>
      </c>
      <c r="AL5" s="140" t="s">
        <v>50</v>
      </c>
      <c r="AM5" s="141">
        <f t="shared" si="11"/>
        <v>0</v>
      </c>
      <c r="AN5" s="142">
        <f>IF(AL5="Normal",IF(AM5&lt;25000,REFERENCE_TABLES!$K$8,IF(AM5&lt;35000,REFERENCE_TABLES!$K$9,REFERENCE_TABLES!$K$10)),IF(AM5&lt;25000,REFERENCE_TABLES!$K$11,IF(AM5&lt;35000,REFERENCE_TABLES!$K$12,REFERENCE_TABLES!$K$13)))</f>
        <v>0.1</v>
      </c>
      <c r="AO5" s="141">
        <f t="shared" ca="1" si="12"/>
        <v>700</v>
      </c>
      <c r="AP5" s="141">
        <f t="shared" ca="1" si="13"/>
        <v>175</v>
      </c>
      <c r="AQ5" s="141">
        <f t="shared" si="14"/>
        <v>160.22999999999999</v>
      </c>
      <c r="AR5" s="141">
        <f t="shared" si="15"/>
        <v>0</v>
      </c>
      <c r="AS5" s="141">
        <f t="shared" si="16"/>
        <v>391.01</v>
      </c>
      <c r="AT5" s="141">
        <v>0</v>
      </c>
      <c r="AU5" s="141">
        <f t="shared" ca="1" si="17"/>
        <v>1400</v>
      </c>
      <c r="AV5" s="141">
        <f t="shared" ca="1" si="18"/>
        <v>14403.54</v>
      </c>
      <c r="AW5" s="141">
        <f t="shared" ca="1" si="19"/>
        <v>15803.54</v>
      </c>
      <c r="AX5" s="141">
        <f ca="1">(AO5+AP5)*14*(1+REFERENCE_TABLES!$K$3)+AQ5*11*(1+REFERENCE_TABLES!$K$6)+AR5*12*(1+REFERENCE_TABLES!$K$7)+AM5/48*12*(1+AN5)+AT5*12</f>
        <v>16939.530299999999</v>
      </c>
      <c r="AY5" s="141">
        <f ca="1">(AO5+AP5)*14*(1+REFERENCE_TABLES!$K$3)+AQ5*11*(1+REFERENCE_TABLES!$K$6)+AR5*12*(1+REFERENCE_TABLES!$K$7)+AM5/48*12*(1+AN5)+AT5*12+AU5+AS5</f>
        <v>18730.540299999997</v>
      </c>
      <c r="AZ5" s="141">
        <f t="shared" ca="1" si="20"/>
        <v>1444.2116916666664</v>
      </c>
      <c r="BA5" s="141">
        <f t="shared" si="21"/>
        <v>0</v>
      </c>
      <c r="BB5" s="143" t="str">
        <f>IF($G5="SF",((BA5*CALCULATOR!$K$12*CALCULATOR!$K$13)-AY5)/(BA5*CALCULATOR!$K$12*CALCULATOR!$K$13),IF($G5="OUTSOURCING",IF($I5="SIBS",((BA5*CALCULATOR!$L$12*CALCULATOR!$L$13)-AY5)/(BA5*CALCULATOR!$L$12*CALCULATOR!$L$13),IF($I5="VODAFONE",((BA5*CALCULATOR!$M$12*CALCULATOR!$M$13)-AY5)/(BA5*CALCULATOR!$M$12*CALCULATOR!$M$13),((BA5*CALCULATOR!$K$12*CALCULATOR!$K$13)-AY5)/(BA5*CALCULATOR!$K$12*CALCULATOR!$K$13))),"N/A"))</f>
        <v>N/A</v>
      </c>
      <c r="BC5" s="145">
        <f t="shared" ca="1" si="22"/>
        <v>0</v>
      </c>
      <c r="BD5" s="141">
        <f t="shared" ca="1" si="23"/>
        <v>0</v>
      </c>
      <c r="BE5" s="142">
        <f t="shared" ca="1" si="24"/>
        <v>0</v>
      </c>
      <c r="BF5" s="141">
        <f t="shared" ca="1" si="25"/>
        <v>0</v>
      </c>
      <c r="BG5" s="141">
        <f t="shared" si="26"/>
        <v>0</v>
      </c>
      <c r="BH5" s="141">
        <f t="shared" si="27"/>
        <v>0</v>
      </c>
      <c r="BI5" s="141"/>
    </row>
    <row r="6" spans="1:61" s="194" customFormat="1" ht="24">
      <c r="A6" s="96"/>
      <c r="B6" s="104" t="s">
        <v>371</v>
      </c>
      <c r="C6" s="103" t="s">
        <v>3</v>
      </c>
      <c r="D6" s="103" t="s">
        <v>48</v>
      </c>
      <c r="E6" s="103" t="s">
        <v>0</v>
      </c>
      <c r="F6" s="103" t="s">
        <v>354</v>
      </c>
      <c r="G6" s="103" t="s">
        <v>52</v>
      </c>
      <c r="H6" s="103" t="s">
        <v>0</v>
      </c>
      <c r="I6" s="103" t="s">
        <v>6</v>
      </c>
      <c r="J6" s="105" t="s">
        <v>54</v>
      </c>
      <c r="K6" s="105" t="s">
        <v>352</v>
      </c>
      <c r="L6" s="105" t="str">
        <f>LEFT(VLOOKUP(B6,'Database Extract'!A:C,2,FALSE),10)</f>
        <v>2019-11-22</v>
      </c>
      <c r="M6" s="106">
        <f t="shared" ca="1" si="0"/>
        <v>6</v>
      </c>
      <c r="N6" s="105" t="str">
        <f>IF(VLOOKUP(B6,'Database Extract'!A:F,4,FALSE)="2099-12-31 00:00:00.000","EFECTIVO",LEFT(VLOOKUP(B6,'Database Extract'!A:F,4,FALSE),10))</f>
        <v>2020-11-22</v>
      </c>
      <c r="O6" s="106">
        <f t="shared" ca="1" si="1"/>
        <v>5</v>
      </c>
      <c r="P6" s="140" t="str">
        <f>IFERROR(VLOOKUP(B6,'Database Extract'!A:F,6,FALSE),"PRESTADOR DE SERVIÇOS")</f>
        <v>ASSOCIATE CONSULTANT B</v>
      </c>
      <c r="Q6" s="141">
        <f ca="1">(SUM(U6:V6)-(SUM(U6:V6)*REFERENCE_TABLES!$K$2)-(SUM(U6:V6)*(IF(ISNA(INDEX(INDIRECT(CONCATENATE(CALCULATOR!$E$9,"_table")),MATCH(U6+V6,INDIRECT(CALCULATOR!$E$9),1)+1,3+0)),0%,INDEX(INDIRECT(CONCATENATE(CALCULATOR!$E$9,"_table")),MATCH(U6+V6,INDIRECT(CALCULATOR!$E$9),1)+1,3+0)))))+W6+X6</f>
        <v>847.98</v>
      </c>
      <c r="R6" s="140" t="s">
        <v>50</v>
      </c>
      <c r="S6" s="141">
        <v>0</v>
      </c>
      <c r="T6" s="142">
        <f>IF(R6="Normal",IF(S6&lt;25000,REFERENCE_TABLES!$K$8,IF(S6&lt;35000,REFERENCE_TABLES!$K$9,REFERENCE_TABLES!$K$10)),IF(S6&lt;25000,REFERENCE_TABLES!$K$11,IF(S6&lt;35000,REFERENCE_TABLES!$K$12,REFERENCE_TABLES!$K$13)))</f>
        <v>0.1</v>
      </c>
      <c r="U6" s="141">
        <f t="shared" ca="1" si="2"/>
        <v>700</v>
      </c>
      <c r="V6" s="141">
        <f t="shared" ca="1" si="3"/>
        <v>175</v>
      </c>
      <c r="W6" s="141">
        <f t="shared" si="4"/>
        <v>160.22999999999999</v>
      </c>
      <c r="X6" s="141">
        <v>0</v>
      </c>
      <c r="Y6" s="141">
        <v>391.01</v>
      </c>
      <c r="Z6" s="141">
        <v>0</v>
      </c>
      <c r="AA6" s="141">
        <f t="shared" ca="1" si="5"/>
        <v>1400</v>
      </c>
      <c r="AB6" s="141">
        <f t="shared" ca="1" si="6"/>
        <v>14403.54</v>
      </c>
      <c r="AC6" s="141">
        <f t="shared" ca="1" si="7"/>
        <v>15803.54</v>
      </c>
      <c r="AD6" s="141">
        <f ca="1">(U6+V6)*14*(1+REFERENCE_TABLES!$K$3)+W6*11*(1+REFERENCE_TABLES!$K$6)+X6*12*(1+REFERENCE_TABLES!$K$7)+S6/48*12*(1+T6)+Z6*12+Y6</f>
        <v>17330.540299999997</v>
      </c>
      <c r="AE6" s="141">
        <f ca="1">(U6+V6)*14*(1+REFERENCE_TABLES!$K$3)+W6*11*(1+REFERENCE_TABLES!$K$6)+X6*12*(1+REFERENCE_TABLES!$K$7)+S6/48*12*(1+T6)+Z6*12+AA6+Y6</f>
        <v>18730.540299999997</v>
      </c>
      <c r="AF6" s="141">
        <f t="shared" ca="1" si="8"/>
        <v>1444.2116916666664</v>
      </c>
      <c r="AG6" s="141">
        <v>0</v>
      </c>
      <c r="AH6" s="143" t="str">
        <f>IF($G6="SF",((AG6*CALCULATOR!$K$12*CALCULATOR!$K$13)-AE6)/(AG6*CALCULATOR!$K$12*CALCULATOR!$K$13),IF($G6="OUTSOURCING",IF($I6="SIBS",((AG6*CALCULATOR!$L$12*CALCULATOR!$L$13)-AE6)/(AG6*CALCULATOR!$L$12*CALCULATOR!$L$13),IF($I6="VODAFONE",((AG6*CALCULATOR!$M$12*CALCULATOR!$M$13)-AE6)/(AG6*CALCULATOR!$M$12*CALCULATOR!$M$13),((AG6*CALCULATOR!$K$12*CALCULATOR!$K$13)-AE6)/(AG6*CALCULATOR!$K$12*CALCULATOR!$K$13))),"N/A"))</f>
        <v>N/A</v>
      </c>
      <c r="AI6" s="144" t="str">
        <f t="shared" si="9"/>
        <v>ASSOCIATE CONSULTANT B</v>
      </c>
      <c r="AJ6" s="141">
        <f t="shared" ca="1" si="10"/>
        <v>0</v>
      </c>
      <c r="AK6" s="141">
        <f ca="1">(SUM(AO6:AP6)-(SUM(AO6:AP6)*REFERENCE_TABLES!$K$2)-(SUM(AO6:AP6)*(IF(ISNA(INDEX(INDIRECT(CONCATENATE(CALCULATOR!$E$9,"_table")),MATCH(AO6+AP6,INDIRECT(CALCULATOR!$E$9),1)+1,3+0)),0%,INDEX(INDIRECT(CONCATENATE(CALCULATOR!$E$9,"_table")),MATCH(AO6+AP6,INDIRECT(CALCULATOR!$E$9),1)+1,3+0)))))+AQ6+AR6</f>
        <v>847.98</v>
      </c>
      <c r="AL6" s="140" t="s">
        <v>50</v>
      </c>
      <c r="AM6" s="141">
        <f t="shared" si="11"/>
        <v>0</v>
      </c>
      <c r="AN6" s="142">
        <f>IF(AL6="Normal",IF(AM6&lt;25000,REFERENCE_TABLES!$K$8,IF(AM6&lt;35000,REFERENCE_TABLES!$K$9,REFERENCE_TABLES!$K$10)),IF(AM6&lt;25000,REFERENCE_TABLES!$K$11,IF(AM6&lt;35000,REFERENCE_TABLES!$K$12,REFERENCE_TABLES!$K$13)))</f>
        <v>0.1</v>
      </c>
      <c r="AO6" s="141">
        <f t="shared" ca="1" si="12"/>
        <v>700</v>
      </c>
      <c r="AP6" s="141">
        <f t="shared" ca="1" si="13"/>
        <v>175</v>
      </c>
      <c r="AQ6" s="141">
        <f t="shared" si="14"/>
        <v>160.22999999999999</v>
      </c>
      <c r="AR6" s="141">
        <f t="shared" si="15"/>
        <v>0</v>
      </c>
      <c r="AS6" s="141">
        <f t="shared" si="16"/>
        <v>391.01</v>
      </c>
      <c r="AT6" s="141">
        <v>0</v>
      </c>
      <c r="AU6" s="141">
        <f t="shared" ca="1" si="17"/>
        <v>1400</v>
      </c>
      <c r="AV6" s="141">
        <f t="shared" ca="1" si="18"/>
        <v>14403.54</v>
      </c>
      <c r="AW6" s="141">
        <f t="shared" ca="1" si="19"/>
        <v>15803.54</v>
      </c>
      <c r="AX6" s="141">
        <f ca="1">(AO6+AP6)*14*(1+REFERENCE_TABLES!$K$3)+AQ6*11*(1+REFERENCE_TABLES!$K$6)+AR6*12*(1+REFERENCE_TABLES!$K$7)+AM6/48*12*(1+AN6)+AT6*12</f>
        <v>16939.530299999999</v>
      </c>
      <c r="AY6" s="141">
        <f ca="1">(AO6+AP6)*14*(1+REFERENCE_TABLES!$K$3)+AQ6*11*(1+REFERENCE_TABLES!$K$6)+AR6*12*(1+REFERENCE_TABLES!$K$7)+AM6/48*12*(1+AN6)+AT6*12+AU6+AS6</f>
        <v>18730.540299999997</v>
      </c>
      <c r="AZ6" s="141">
        <f t="shared" ca="1" si="20"/>
        <v>1444.2116916666664</v>
      </c>
      <c r="BA6" s="141">
        <f t="shared" si="21"/>
        <v>0</v>
      </c>
      <c r="BB6" s="143" t="str">
        <f>IF($G6="SF",((BA6*CALCULATOR!$K$12*CALCULATOR!$K$13)-AY6)/(BA6*CALCULATOR!$K$12*CALCULATOR!$K$13),IF($G6="OUTSOURCING",IF($I6="SIBS",((BA6*CALCULATOR!$L$12*CALCULATOR!$L$13)-AY6)/(BA6*CALCULATOR!$L$12*CALCULATOR!$L$13),IF($I6="VODAFONE",((BA6*CALCULATOR!$M$12*CALCULATOR!$M$13)-AY6)/(BA6*CALCULATOR!$M$12*CALCULATOR!$M$13),((BA6*CALCULATOR!$K$12*CALCULATOR!$K$13)-AY6)/(BA6*CALCULATOR!$K$12*CALCULATOR!$K$13))),"N/A"))</f>
        <v>N/A</v>
      </c>
      <c r="BC6" s="145">
        <f t="shared" ca="1" si="22"/>
        <v>0</v>
      </c>
      <c r="BD6" s="141">
        <f t="shared" ca="1" si="23"/>
        <v>0</v>
      </c>
      <c r="BE6" s="142">
        <f t="shared" ca="1" si="24"/>
        <v>0</v>
      </c>
      <c r="BF6" s="141">
        <f t="shared" ca="1" si="25"/>
        <v>0</v>
      </c>
      <c r="BG6" s="141">
        <f t="shared" si="26"/>
        <v>0</v>
      </c>
      <c r="BH6" s="141">
        <f t="shared" si="27"/>
        <v>0</v>
      </c>
      <c r="BI6" s="141"/>
    </row>
    <row r="7" spans="1:61" s="194" customFormat="1" ht="24">
      <c r="A7" s="96"/>
      <c r="B7" s="104"/>
      <c r="C7" s="103"/>
      <c r="D7" s="103"/>
      <c r="E7" s="103"/>
      <c r="F7" s="103"/>
      <c r="G7" s="103"/>
      <c r="H7" s="103"/>
      <c r="I7" s="103"/>
      <c r="J7" s="105"/>
      <c r="K7" s="105"/>
      <c r="L7" s="105"/>
      <c r="M7" s="106"/>
      <c r="N7" s="105"/>
      <c r="O7" s="106"/>
      <c r="P7" s="140"/>
      <c r="Q7" s="141"/>
      <c r="R7" s="140"/>
      <c r="S7" s="141"/>
      <c r="T7" s="142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3"/>
      <c r="AI7" s="144"/>
      <c r="AJ7" s="141"/>
      <c r="AK7" s="141"/>
      <c r="AL7" s="140"/>
      <c r="AM7" s="141"/>
      <c r="AN7" s="142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3"/>
      <c r="BC7" s="145"/>
      <c r="BD7" s="141"/>
      <c r="BE7" s="142"/>
      <c r="BF7" s="141"/>
      <c r="BG7" s="141"/>
      <c r="BH7" s="141"/>
      <c r="BI7" s="141"/>
    </row>
  </sheetData>
  <autoFilter ref="B2:BI6" xr:uid="{7821CD39-7E7F-9044-83B5-AA601198270F}">
    <sortState xmlns:xlrd2="http://schemas.microsoft.com/office/spreadsheetml/2017/richdata2" ref="B3:BI6">
      <sortCondition descending="1" ref="Q2:Q6"/>
    </sortState>
  </autoFilter>
  <conditionalFormatting sqref="BB1 AH1 AH8:AH1048576 BB8:BB1048576">
    <cfRule type="containsBlanks" priority="1199" stopIfTrue="1">
      <formula>LEN(TRIM(AH1))=0</formula>
    </cfRule>
    <cfRule type="cellIs" priority="1200" stopIfTrue="1" operator="equal">
      <formula>"N/A"</formula>
    </cfRule>
    <cfRule type="cellIs" dxfId="187" priority="1201" operator="lessThan">
      <formula>0</formula>
    </cfRule>
    <cfRule type="cellIs" dxfId="186" priority="1202" operator="greaterThan">
      <formula>0.25</formula>
    </cfRule>
    <cfRule type="cellIs" dxfId="185" priority="1203" operator="between">
      <formula>0.2</formula>
      <formula>0.25</formula>
    </cfRule>
    <cfRule type="cellIs" dxfId="184" priority="1204" operator="between">
      <formula>0</formula>
      <formula>0.2</formula>
    </cfRule>
  </conditionalFormatting>
  <conditionalFormatting sqref="BB1 AH1 AH8:AH1048576 BB8:BB1048576">
    <cfRule type="cellIs" priority="1198" stopIfTrue="1" operator="equal">
      <formula>"Margem Atual"</formula>
    </cfRule>
  </conditionalFormatting>
  <conditionalFormatting sqref="BB7 AH7">
    <cfRule type="containsBlanks" priority="184" stopIfTrue="1">
      <formula>LEN(TRIM(AH7))=0</formula>
    </cfRule>
    <cfRule type="cellIs" priority="185" stopIfTrue="1" operator="equal">
      <formula>"N/A"</formula>
    </cfRule>
    <cfRule type="cellIs" dxfId="95" priority="186" operator="lessThan">
      <formula>0</formula>
    </cfRule>
    <cfRule type="cellIs" dxfId="94" priority="187" operator="greaterThan">
      <formula>0.25</formula>
    </cfRule>
    <cfRule type="cellIs" dxfId="93" priority="188" operator="between">
      <formula>0.2</formula>
      <formula>0.25</formula>
    </cfRule>
    <cfRule type="cellIs" dxfId="92" priority="189" operator="between">
      <formula>0</formula>
      <formula>0.2</formula>
    </cfRule>
  </conditionalFormatting>
  <conditionalFormatting sqref="BB7 AH7">
    <cfRule type="cellIs" priority="183" stopIfTrue="1" operator="equal">
      <formula>"Margem Atual"</formula>
    </cfRule>
  </conditionalFormatting>
  <conditionalFormatting sqref="BB3">
    <cfRule type="containsBlanks" priority="51" stopIfTrue="1">
      <formula>LEN(TRIM(BB3))=0</formula>
    </cfRule>
    <cfRule type="cellIs" priority="52" stopIfTrue="1" operator="equal">
      <formula>"N/A"</formula>
    </cfRule>
    <cfRule type="cellIs" dxfId="31" priority="53" operator="lessThan">
      <formula>0</formula>
    </cfRule>
    <cfRule type="cellIs" dxfId="30" priority="54" operator="greaterThan">
      <formula>0.25</formula>
    </cfRule>
    <cfRule type="cellIs" dxfId="29" priority="55" operator="between">
      <formula>0.2</formula>
      <formula>0.25</formula>
    </cfRule>
    <cfRule type="cellIs" dxfId="28" priority="56" operator="between">
      <formula>0</formula>
      <formula>0.2</formula>
    </cfRule>
  </conditionalFormatting>
  <conditionalFormatting sqref="BB3">
    <cfRule type="cellIs" priority="50" stopIfTrue="1" operator="equal">
      <formula>"Margem Atual"</formula>
    </cfRule>
  </conditionalFormatting>
  <conditionalFormatting sqref="AH3">
    <cfRule type="containsBlanks" priority="44" stopIfTrue="1">
      <formula>LEN(TRIM(AH3))=0</formula>
    </cfRule>
    <cfRule type="cellIs" priority="45" stopIfTrue="1" operator="equal">
      <formula>"N/A"</formula>
    </cfRule>
    <cfRule type="cellIs" dxfId="27" priority="46" operator="lessThan">
      <formula>0</formula>
    </cfRule>
    <cfRule type="cellIs" dxfId="26" priority="47" operator="greaterThan">
      <formula>0.25</formula>
    </cfRule>
    <cfRule type="cellIs" dxfId="25" priority="48" operator="between">
      <formula>0.2</formula>
      <formula>0.25</formula>
    </cfRule>
    <cfRule type="cellIs" dxfId="24" priority="49" operator="between">
      <formula>0</formula>
      <formula>0.2</formula>
    </cfRule>
  </conditionalFormatting>
  <conditionalFormatting sqref="AH3">
    <cfRule type="cellIs" priority="43" stopIfTrue="1" operator="equal">
      <formula>"Margem Atual"</formula>
    </cfRule>
  </conditionalFormatting>
  <conditionalFormatting sqref="BB4">
    <cfRule type="containsBlanks" priority="37" stopIfTrue="1">
      <formula>LEN(TRIM(BB4))=0</formula>
    </cfRule>
    <cfRule type="cellIs" priority="38" stopIfTrue="1" operator="equal">
      <formula>"N/A"</formula>
    </cfRule>
    <cfRule type="cellIs" dxfId="23" priority="39" operator="lessThan">
      <formula>0</formula>
    </cfRule>
    <cfRule type="cellIs" dxfId="22" priority="40" operator="greaterThan">
      <formula>0.25</formula>
    </cfRule>
    <cfRule type="cellIs" dxfId="21" priority="41" operator="between">
      <formula>0.2</formula>
      <formula>0.25</formula>
    </cfRule>
    <cfRule type="cellIs" dxfId="20" priority="42" operator="between">
      <formula>0</formula>
      <formula>0.2</formula>
    </cfRule>
  </conditionalFormatting>
  <conditionalFormatting sqref="BB4">
    <cfRule type="cellIs" priority="36" stopIfTrue="1" operator="equal">
      <formula>"Margem Atual"</formula>
    </cfRule>
  </conditionalFormatting>
  <conditionalFormatting sqref="AH4">
    <cfRule type="containsBlanks" priority="30" stopIfTrue="1">
      <formula>LEN(TRIM(AH4))=0</formula>
    </cfRule>
    <cfRule type="cellIs" priority="31" stopIfTrue="1" operator="equal">
      <formula>"N/A"</formula>
    </cfRule>
    <cfRule type="cellIs" dxfId="19" priority="32" operator="lessThan">
      <formula>0</formula>
    </cfRule>
    <cfRule type="cellIs" dxfId="18" priority="33" operator="greaterThan">
      <formula>0.25</formula>
    </cfRule>
    <cfRule type="cellIs" dxfId="17" priority="34" operator="between">
      <formula>0.2</formula>
      <formula>0.25</formula>
    </cfRule>
    <cfRule type="cellIs" dxfId="16" priority="35" operator="between">
      <formula>0</formula>
      <formula>0.2</formula>
    </cfRule>
  </conditionalFormatting>
  <conditionalFormatting sqref="AH4">
    <cfRule type="cellIs" priority="29" stopIfTrue="1" operator="equal">
      <formula>"Margem Atual"</formula>
    </cfRule>
  </conditionalFormatting>
  <conditionalFormatting sqref="BB5">
    <cfRule type="containsBlanks" priority="23" stopIfTrue="1">
      <formula>LEN(TRIM(BB5))=0</formula>
    </cfRule>
    <cfRule type="cellIs" priority="24" stopIfTrue="1" operator="equal">
      <formula>"N/A"</formula>
    </cfRule>
    <cfRule type="cellIs" dxfId="15" priority="25" operator="lessThan">
      <formula>0</formula>
    </cfRule>
    <cfRule type="cellIs" dxfId="14" priority="26" operator="greaterThan">
      <formula>0.25</formula>
    </cfRule>
    <cfRule type="cellIs" dxfId="13" priority="27" operator="between">
      <formula>0.2</formula>
      <formula>0.25</formula>
    </cfRule>
    <cfRule type="cellIs" dxfId="12" priority="28" operator="between">
      <formula>0</formula>
      <formula>0.2</formula>
    </cfRule>
  </conditionalFormatting>
  <conditionalFormatting sqref="BB5">
    <cfRule type="cellIs" priority="22" stopIfTrue="1" operator="equal">
      <formula>"Margem Atual"</formula>
    </cfRule>
  </conditionalFormatting>
  <conditionalFormatting sqref="AH5">
    <cfRule type="containsBlanks" priority="16" stopIfTrue="1">
      <formula>LEN(TRIM(AH5))=0</formula>
    </cfRule>
    <cfRule type="cellIs" priority="17" stopIfTrue="1" operator="equal">
      <formula>"N/A"</formula>
    </cfRule>
    <cfRule type="cellIs" dxfId="11" priority="18" operator="lessThan">
      <formula>0</formula>
    </cfRule>
    <cfRule type="cellIs" dxfId="10" priority="19" operator="greaterThan">
      <formula>0.25</formula>
    </cfRule>
    <cfRule type="cellIs" dxfId="9" priority="20" operator="between">
      <formula>0.2</formula>
      <formula>0.25</formula>
    </cfRule>
    <cfRule type="cellIs" dxfId="8" priority="21" operator="between">
      <formula>0</formula>
      <formula>0.2</formula>
    </cfRule>
  </conditionalFormatting>
  <conditionalFormatting sqref="AH5">
    <cfRule type="cellIs" priority="15" stopIfTrue="1" operator="equal">
      <formula>"Margem Atual"</formula>
    </cfRule>
  </conditionalFormatting>
  <conditionalFormatting sqref="BB6">
    <cfRule type="containsBlanks" priority="9" stopIfTrue="1">
      <formula>LEN(TRIM(BB6))=0</formula>
    </cfRule>
    <cfRule type="cellIs" priority="10" stopIfTrue="1" operator="equal">
      <formula>"N/A"</formula>
    </cfRule>
    <cfRule type="cellIs" dxfId="7" priority="11" operator="lessThan">
      <formula>0</formula>
    </cfRule>
    <cfRule type="cellIs" dxfId="6" priority="12" operator="greaterThan">
      <formula>0.25</formula>
    </cfRule>
    <cfRule type="cellIs" dxfId="5" priority="13" operator="between">
      <formula>0.2</formula>
      <formula>0.25</formula>
    </cfRule>
    <cfRule type="cellIs" dxfId="4" priority="14" operator="between">
      <formula>0</formula>
      <formula>0.2</formula>
    </cfRule>
  </conditionalFormatting>
  <conditionalFormatting sqref="BB6">
    <cfRule type="cellIs" priority="8" stopIfTrue="1" operator="equal">
      <formula>"Margem Atual"</formula>
    </cfRule>
  </conditionalFormatting>
  <conditionalFormatting sqref="AH6">
    <cfRule type="containsBlanks" priority="2" stopIfTrue="1">
      <formula>LEN(TRIM(AH6))=0</formula>
    </cfRule>
    <cfRule type="cellIs" priority="3" stopIfTrue="1" operator="equal">
      <formula>"N/A"</formula>
    </cfRule>
    <cfRule type="cellIs" dxfId="3" priority="4" operator="lessThan">
      <formula>0</formula>
    </cfRule>
    <cfRule type="cellIs" dxfId="2" priority="5" operator="greaterThan">
      <formula>0.25</formula>
    </cfRule>
    <cfRule type="cellIs" dxfId="1" priority="6" operator="between">
      <formula>0.2</formula>
      <formula>0.25</formula>
    </cfRule>
    <cfRule type="cellIs" dxfId="0" priority="7" operator="between">
      <formula>0</formula>
      <formula>0.2</formula>
    </cfRule>
  </conditionalFormatting>
  <conditionalFormatting sqref="AH6">
    <cfRule type="cellIs" priority="1" stopIfTrue="1" operator="equal">
      <formula>"Margem Atual"</formula>
    </cfRule>
  </conditionalFormatting>
  <dataValidations disablePrompts="1" count="2">
    <dataValidation type="list" allowBlank="1" showInputMessage="1" showErrorMessage="1" sqref="AI3:AI6" xr:uid="{117A823B-2443-CA43-B08B-F4EF60E003C6}">
      <formula1>INDIRECT(E3)</formula1>
    </dataValidation>
    <dataValidation type="list" allowBlank="1" showInputMessage="1" showErrorMessage="1" sqref="P3:P6" xr:uid="{7923984B-744D-BD41-8692-25DF9BAD507C}">
      <formula1>INDIRECT(E3)</formula1>
    </dataValidation>
  </dataValidations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760A2EA-B4C5-4E4C-A739-CE5B64A5D085}">
          <x14:formula1>
            <xm:f>REFERENCE_TABLES!$B$14:$B$15</xm:f>
          </x14:formula1>
          <xm:sqref>AL3:AL7 R3:R7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7FF0-BC69-8B4C-82C9-4008E3DCE449}">
  <sheetPr codeName="Folha4"/>
  <dimension ref="A1:G8"/>
  <sheetViews>
    <sheetView zoomScaleNormal="100" workbookViewId="0">
      <selection activeCell="A6" sqref="A6"/>
    </sheetView>
  </sheetViews>
  <sheetFormatPr baseColWidth="10" defaultColWidth="11.5" defaultRowHeight="13"/>
  <cols>
    <col min="1" max="1" width="42.83203125" style="94" customWidth="1"/>
    <col min="2" max="2" width="21.5" style="95" bestFit="1" customWidth="1"/>
    <col min="3" max="3" width="53.83203125" style="94" bestFit="1" customWidth="1"/>
    <col min="4" max="4" width="53.83203125" style="94" customWidth="1"/>
    <col min="5" max="6" width="53.83203125" style="94" bestFit="1" customWidth="1"/>
    <col min="7" max="7" width="21.6640625" style="94" bestFit="1" customWidth="1"/>
    <col min="8" max="16384" width="11.5" style="94"/>
  </cols>
  <sheetData>
    <row r="1" spans="1:7">
      <c r="A1" s="94" t="s">
        <v>83</v>
      </c>
      <c r="B1" s="95" t="s">
        <v>84</v>
      </c>
      <c r="C1" s="94" t="s">
        <v>85</v>
      </c>
      <c r="D1" s="94" t="s">
        <v>86</v>
      </c>
    </row>
    <row r="2" spans="1:7" ht="17">
      <c r="A2" s="94" t="s">
        <v>368</v>
      </c>
      <c r="B2" s="147" t="s">
        <v>355</v>
      </c>
      <c r="C2" s="94" t="s">
        <v>90</v>
      </c>
      <c r="D2" s="94" t="s">
        <v>356</v>
      </c>
      <c r="E2" s="94" t="e">
        <f>VLOOKUP(C2,'BASE TABLES'!D:E,2,FALSE)</f>
        <v>#N/A</v>
      </c>
      <c r="F2" s="94" t="str">
        <f t="shared" ref="F2" si="0">IFERROR(E2,C2)</f>
        <v>ASSOCIATE CONSULTANT B</v>
      </c>
      <c r="G2" s="94" t="str">
        <f>VLOOKUP(A2,'EQUIPA MASTER'!B:B,1,FALSE)</f>
        <v>AA</v>
      </c>
    </row>
    <row r="3" spans="1:7" ht="17">
      <c r="A3" s="94" t="s">
        <v>369</v>
      </c>
      <c r="B3" s="147" t="s">
        <v>94</v>
      </c>
      <c r="C3" s="94" t="s">
        <v>90</v>
      </c>
      <c r="D3" s="94" t="s">
        <v>358</v>
      </c>
      <c r="E3" s="94" t="e">
        <f>VLOOKUP(C3,'BASE TABLES'!D:E,2,FALSE)</f>
        <v>#N/A</v>
      </c>
      <c r="F3" s="94" t="str">
        <f t="shared" ref="F3" si="1">IFERROR(E3,C3)</f>
        <v>ASSOCIATE CONSULTANT B</v>
      </c>
      <c r="G3" s="94" t="str">
        <f>VLOOKUP(A3,'EQUIPA MASTER'!B:B,1,FALSE)</f>
        <v>AB</v>
      </c>
    </row>
    <row r="4" spans="1:7" ht="17">
      <c r="A4" s="94" t="s">
        <v>370</v>
      </c>
      <c r="B4" s="147" t="s">
        <v>367</v>
      </c>
      <c r="C4" s="94" t="s">
        <v>90</v>
      </c>
      <c r="D4" s="94" t="s">
        <v>87</v>
      </c>
      <c r="E4" s="94" t="e">
        <f>VLOOKUP(C4,'BASE TABLES'!D:E,2,FALSE)</f>
        <v>#N/A</v>
      </c>
      <c r="F4" s="94" t="str">
        <f t="shared" ref="F4:F5" si="2">IFERROR(E4,C4)</f>
        <v>ASSOCIATE CONSULTANT B</v>
      </c>
      <c r="G4" s="94" t="str">
        <f>VLOOKUP(A4,'EQUIPA MASTER'!B:B,1,FALSE)</f>
        <v>AC</v>
      </c>
    </row>
    <row r="5" spans="1:7" ht="17">
      <c r="A5" s="94" t="s">
        <v>371</v>
      </c>
      <c r="B5" s="147" t="s">
        <v>355</v>
      </c>
      <c r="C5" s="94" t="s">
        <v>90</v>
      </c>
      <c r="D5" s="94" t="s">
        <v>356</v>
      </c>
      <c r="E5" s="94" t="e">
        <f>VLOOKUP(C5,'BASE TABLES'!D:E,2,FALSE)</f>
        <v>#N/A</v>
      </c>
      <c r="F5" s="94" t="str">
        <f t="shared" si="2"/>
        <v>ASSOCIATE CONSULTANT B</v>
      </c>
      <c r="G5" s="94" t="str">
        <f>VLOOKUP(A5,'EQUIPA MASTER'!B:B,1,FALSE)</f>
        <v>AD</v>
      </c>
    </row>
    <row r="6" spans="1:7" ht="17">
      <c r="B6" s="148"/>
    </row>
    <row r="7" spans="1:7" ht="17">
      <c r="B7" s="148"/>
    </row>
    <row r="8" spans="1:7" ht="17">
      <c r="B8" s="148"/>
    </row>
  </sheetData>
  <autoFilter ref="A1:G5" xr:uid="{9540A341-8445-9549-8BA3-2F5855AED31E}">
    <sortState xmlns:xlrd2="http://schemas.microsoft.com/office/spreadsheetml/2017/richdata2" ref="A2:G5">
      <sortCondition ref="E1:E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7"/>
  <dimension ref="B1:N23"/>
  <sheetViews>
    <sheetView zoomScaleNormal="100" zoomScalePageLayoutView="125" workbookViewId="0">
      <selection activeCell="D19" sqref="D19"/>
    </sheetView>
  </sheetViews>
  <sheetFormatPr baseColWidth="10" defaultColWidth="10.83203125" defaultRowHeight="17"/>
  <cols>
    <col min="1" max="1" width="10.83203125" style="1"/>
    <col min="2" max="2" width="17.33203125" style="1" customWidth="1"/>
    <col min="3" max="3" width="10.83203125" style="1"/>
    <col min="4" max="4" width="35" style="1" customWidth="1"/>
    <col min="5" max="5" width="20.33203125" style="1" customWidth="1"/>
    <col min="6" max="6" width="33.1640625" style="1" customWidth="1"/>
    <col min="7" max="7" width="10.83203125" style="1"/>
    <col min="8" max="8" width="23.6640625" style="1" customWidth="1"/>
    <col min="9" max="9" width="15.6640625" style="1" customWidth="1"/>
    <col min="10" max="10" width="20.33203125" style="1" bestFit="1" customWidth="1"/>
    <col min="11" max="12" width="10.83203125" style="1"/>
    <col min="13" max="13" width="26.1640625" style="1" customWidth="1"/>
    <col min="14" max="16384" width="10.83203125" style="1"/>
  </cols>
  <sheetData>
    <row r="1" spans="2:14" ht="18" thickBot="1">
      <c r="M1" s="1" t="s">
        <v>106</v>
      </c>
    </row>
    <row r="2" spans="2:14" ht="39" thickBot="1">
      <c r="B2" s="37" t="s">
        <v>107</v>
      </c>
      <c r="D2" s="43" t="s">
        <v>108</v>
      </c>
      <c r="E2" s="43" t="s">
        <v>109</v>
      </c>
      <c r="F2" s="76" t="s">
        <v>110</v>
      </c>
      <c r="H2" s="37" t="s">
        <v>111</v>
      </c>
      <c r="J2" s="44" t="s">
        <v>112</v>
      </c>
      <c r="K2" s="38">
        <v>0.11</v>
      </c>
      <c r="M2" s="44" t="s">
        <v>113</v>
      </c>
      <c r="N2" s="43" t="s">
        <v>114</v>
      </c>
    </row>
    <row r="3" spans="2:14" ht="21" customHeight="1" thickBot="1">
      <c r="B3" s="40" t="s">
        <v>0</v>
      </c>
      <c r="D3" s="42" t="s">
        <v>115</v>
      </c>
      <c r="E3" s="39" t="s">
        <v>116</v>
      </c>
      <c r="F3" s="39" t="s">
        <v>117</v>
      </c>
      <c r="H3" s="40">
        <v>0</v>
      </c>
      <c r="J3" s="44" t="s">
        <v>118</v>
      </c>
      <c r="K3" s="38">
        <v>0.23749999999999999</v>
      </c>
      <c r="M3" s="75">
        <v>1705</v>
      </c>
      <c r="N3" s="38">
        <v>0</v>
      </c>
    </row>
    <row r="4" spans="2:14" ht="21" customHeight="1" thickBot="1">
      <c r="B4" s="40" t="s">
        <v>119</v>
      </c>
      <c r="D4" s="42" t="s">
        <v>120</v>
      </c>
      <c r="E4" s="39" t="s">
        <v>121</v>
      </c>
      <c r="F4" s="39" t="s">
        <v>122</v>
      </c>
      <c r="H4" s="40">
        <v>1</v>
      </c>
      <c r="J4" s="44" t="s">
        <v>123</v>
      </c>
      <c r="K4" s="38">
        <v>0</v>
      </c>
      <c r="M4" s="75">
        <v>3094</v>
      </c>
      <c r="N4" s="38">
        <v>0</v>
      </c>
    </row>
    <row r="5" spans="2:14" ht="21" customHeight="1" thickBot="1">
      <c r="B5" s="40" t="s">
        <v>51</v>
      </c>
      <c r="D5" s="42" t="s">
        <v>124</v>
      </c>
      <c r="E5" s="39" t="s">
        <v>125</v>
      </c>
      <c r="F5" s="39" t="s">
        <v>117</v>
      </c>
      <c r="H5" s="40">
        <v>2</v>
      </c>
      <c r="J5" s="44" t="s">
        <v>126</v>
      </c>
      <c r="K5" s="41">
        <v>557</v>
      </c>
      <c r="M5" s="75">
        <v>5862</v>
      </c>
      <c r="N5" s="38">
        <v>0</v>
      </c>
    </row>
    <row r="6" spans="2:14" ht="21" customHeight="1" thickBot="1">
      <c r="B6" s="40" t="s">
        <v>2</v>
      </c>
      <c r="D6" s="42" t="s">
        <v>127</v>
      </c>
      <c r="E6" s="39" t="s">
        <v>128</v>
      </c>
      <c r="F6" s="39" t="s">
        <v>117</v>
      </c>
      <c r="H6" s="40">
        <v>3</v>
      </c>
      <c r="J6" s="44" t="s">
        <v>129</v>
      </c>
      <c r="K6" s="38">
        <v>0.01</v>
      </c>
      <c r="M6" s="75">
        <v>999999</v>
      </c>
      <c r="N6" s="38">
        <v>0</v>
      </c>
    </row>
    <row r="7" spans="2:14" ht="21" customHeight="1" thickBot="1">
      <c r="B7" s="40" t="s">
        <v>1</v>
      </c>
      <c r="D7" s="42" t="s">
        <v>130</v>
      </c>
      <c r="E7" s="39" t="s">
        <v>131</v>
      </c>
      <c r="F7" s="39" t="s">
        <v>117</v>
      </c>
      <c r="H7" s="40">
        <v>4</v>
      </c>
      <c r="J7" s="44" t="s">
        <v>132</v>
      </c>
      <c r="K7" s="38">
        <v>0.05</v>
      </c>
    </row>
    <row r="8" spans="2:14" ht="21" customHeight="1" thickBot="1">
      <c r="B8" s="4"/>
      <c r="D8" s="42" t="s">
        <v>133</v>
      </c>
      <c r="E8" s="39" t="s">
        <v>134</v>
      </c>
      <c r="F8" s="39" t="s">
        <v>122</v>
      </c>
      <c r="H8" s="40">
        <v>5</v>
      </c>
      <c r="J8" s="44" t="s">
        <v>135</v>
      </c>
      <c r="K8" s="38">
        <v>0.1</v>
      </c>
      <c r="M8" s="1" t="s">
        <v>136</v>
      </c>
    </row>
    <row r="9" spans="2:14" ht="20" thickBot="1">
      <c r="J9" s="44" t="s">
        <v>137</v>
      </c>
      <c r="K9" s="38">
        <v>0.27500000000000002</v>
      </c>
      <c r="M9" s="44" t="s">
        <v>113</v>
      </c>
      <c r="N9" s="43" t="s">
        <v>114</v>
      </c>
    </row>
    <row r="10" spans="2:14" ht="20" thickBot="1">
      <c r="J10" s="44" t="s">
        <v>138</v>
      </c>
      <c r="K10" s="38">
        <v>0.35</v>
      </c>
      <c r="M10" s="75">
        <v>2925</v>
      </c>
      <c r="N10" s="38">
        <v>0</v>
      </c>
    </row>
    <row r="11" spans="2:14" ht="20" thickBot="1">
      <c r="J11" s="44" t="s">
        <v>139</v>
      </c>
      <c r="K11" s="38">
        <v>0.05</v>
      </c>
      <c r="M11" s="75">
        <v>6316</v>
      </c>
      <c r="N11" s="38">
        <v>0</v>
      </c>
    </row>
    <row r="12" spans="2:14" ht="20" thickBot="1">
      <c r="J12" s="44" t="s">
        <v>140</v>
      </c>
      <c r="K12" s="38">
        <v>0.1</v>
      </c>
      <c r="M12" s="75">
        <v>10416</v>
      </c>
      <c r="N12" s="38">
        <v>0</v>
      </c>
    </row>
    <row r="13" spans="2:14" ht="21" thickTop="1" thickBot="1">
      <c r="B13" s="55" t="s">
        <v>141</v>
      </c>
      <c r="J13" s="44" t="s">
        <v>142</v>
      </c>
      <c r="K13" s="38">
        <v>0.17499999999999999</v>
      </c>
      <c r="M13" s="75">
        <v>999999</v>
      </c>
      <c r="N13" s="38">
        <v>0</v>
      </c>
    </row>
    <row r="14" spans="2:14" ht="39" thickBot="1">
      <c r="B14" s="40" t="s">
        <v>50</v>
      </c>
      <c r="J14" s="44" t="s">
        <v>143</v>
      </c>
      <c r="K14" s="65">
        <v>48</v>
      </c>
    </row>
    <row r="15" spans="2:14" ht="20" thickBot="1">
      <c r="B15" s="40" t="s">
        <v>144</v>
      </c>
      <c r="J15" s="44" t="s">
        <v>145</v>
      </c>
      <c r="K15" s="78">
        <v>7.63</v>
      </c>
    </row>
    <row r="17" spans="2:2" ht="19" customHeight="1" thickBot="1"/>
    <row r="18" spans="2:2" ht="19" thickTop="1" thickBot="1">
      <c r="B18" s="55" t="s">
        <v>146</v>
      </c>
    </row>
    <row r="19" spans="2:2" ht="39" thickBot="1">
      <c r="B19" s="40" t="s">
        <v>103</v>
      </c>
    </row>
    <row r="20" spans="2:2" ht="39" thickBot="1">
      <c r="B20" s="40" t="s">
        <v>102</v>
      </c>
    </row>
    <row r="21" spans="2:2" ht="39" thickBot="1">
      <c r="B21" s="40" t="s">
        <v>104</v>
      </c>
    </row>
    <row r="22" spans="2:2" ht="20" thickBot="1">
      <c r="B22" s="40" t="s">
        <v>101</v>
      </c>
    </row>
    <row r="23" spans="2:2" ht="19" customHeight="1" thickBot="1">
      <c r="B23" s="40" t="s">
        <v>105</v>
      </c>
    </row>
  </sheetData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404-3C8B-904F-A05F-0F56BE5CFE47}">
  <sheetPr codeName="Folha5"/>
  <dimension ref="B2:O81"/>
  <sheetViews>
    <sheetView tabSelected="1" zoomScale="110" zoomScaleNormal="110" workbookViewId="0">
      <selection activeCell="H29" sqref="H3:H29"/>
    </sheetView>
  </sheetViews>
  <sheetFormatPr baseColWidth="10" defaultColWidth="10.83203125" defaultRowHeight="15" thickTop="1" thickBottom="1"/>
  <cols>
    <col min="1" max="1" width="10.83203125" style="15"/>
    <col min="2" max="2" width="19.1640625" style="15" customWidth="1"/>
    <col min="3" max="3" width="15" style="15" customWidth="1"/>
    <col min="4" max="4" width="35.33203125" style="15" customWidth="1"/>
    <col min="5" max="5" width="55" style="15" customWidth="1"/>
    <col min="6" max="6" width="13.33203125" style="15" customWidth="1"/>
    <col min="7" max="7" width="10.83203125" style="15" customWidth="1"/>
    <col min="8" max="8" width="12.33203125" style="15" customWidth="1"/>
    <col min="9" max="9" width="15.1640625" style="15" customWidth="1"/>
    <col min="10" max="10" width="14.6640625" style="15" customWidth="1"/>
    <col min="11" max="11" width="14.33203125" style="15" customWidth="1"/>
    <col min="12" max="12" width="32.33203125" style="15" customWidth="1"/>
    <col min="13" max="13" width="17.6640625" style="15" customWidth="1"/>
    <col min="14" max="14" width="10.33203125" style="15" bestFit="1" customWidth="1"/>
    <col min="15" max="15" width="14.33203125" style="15" bestFit="1" customWidth="1"/>
    <col min="16" max="16" width="8.83203125" style="15" bestFit="1" customWidth="1"/>
    <col min="17" max="16384" width="10.83203125" style="15"/>
  </cols>
  <sheetData>
    <row r="2" spans="2:15" ht="19" thickTop="1" thickBot="1">
      <c r="C2" s="34"/>
    </row>
    <row r="3" spans="2:15" ht="19" thickTop="1" thickBot="1">
      <c r="B3" s="195" t="s">
        <v>147</v>
      </c>
      <c r="C3" s="30" t="s">
        <v>148</v>
      </c>
      <c r="D3" s="30" t="s">
        <v>149</v>
      </c>
      <c r="E3" s="31" t="s">
        <v>150</v>
      </c>
      <c r="F3" s="32" t="s">
        <v>151</v>
      </c>
      <c r="G3" s="32" t="s">
        <v>152</v>
      </c>
      <c r="H3" s="32" t="s">
        <v>153</v>
      </c>
      <c r="I3" s="32" t="s">
        <v>154</v>
      </c>
      <c r="J3" s="32" t="s">
        <v>155</v>
      </c>
      <c r="K3" s="33" t="s">
        <v>156</v>
      </c>
      <c r="L3" s="17" t="s">
        <v>157</v>
      </c>
      <c r="M3" s="17" t="s">
        <v>158</v>
      </c>
      <c r="N3" s="154" t="s">
        <v>349</v>
      </c>
      <c r="O3" s="154" t="s">
        <v>350</v>
      </c>
    </row>
    <row r="4" spans="2:15" ht="18" thickTop="1" thickBot="1">
      <c r="B4" s="196"/>
      <c r="C4" s="25" t="s">
        <v>159</v>
      </c>
      <c r="D4" s="25" t="s">
        <v>54</v>
      </c>
      <c r="E4" s="18" t="s">
        <v>160</v>
      </c>
      <c r="F4" s="19">
        <v>3000</v>
      </c>
      <c r="G4" s="19">
        <f t="shared" ref="G4:G27" si="0">F4*25%</f>
        <v>750</v>
      </c>
      <c r="H4" s="19">
        <v>160.22999999999999</v>
      </c>
      <c r="I4" s="27">
        <v>1500</v>
      </c>
      <c r="J4" s="19">
        <f t="shared" ref="J4:J29" si="1">F4*14+G4*14+H4*11+I4*12</f>
        <v>72262.53</v>
      </c>
      <c r="K4" s="23">
        <f t="shared" ref="K4:K29" si="2">F4*14+G4*14+H4*11</f>
        <v>54262.53</v>
      </c>
      <c r="L4" s="72" t="s">
        <v>161</v>
      </c>
      <c r="M4" s="73">
        <v>0.05</v>
      </c>
      <c r="N4" s="155">
        <f>SPS_table[[#This Row],[ORDENADO]]+SPS_table[[#This Row],[ISENÇÃO]]</f>
        <v>3750</v>
      </c>
      <c r="O4" s="152"/>
    </row>
    <row r="5" spans="2:15" ht="18" thickTop="1" thickBot="1">
      <c r="B5" s="196"/>
      <c r="C5" s="25" t="s">
        <v>162</v>
      </c>
      <c r="D5" s="25" t="s">
        <v>54</v>
      </c>
      <c r="E5" s="18" t="s">
        <v>163</v>
      </c>
      <c r="F5" s="19">
        <v>2750</v>
      </c>
      <c r="G5" s="19">
        <f t="shared" si="0"/>
        <v>687.5</v>
      </c>
      <c r="H5" s="19">
        <v>160.22999999999999</v>
      </c>
      <c r="I5" s="27">
        <v>1500</v>
      </c>
      <c r="J5" s="19">
        <f t="shared" si="1"/>
        <v>67887.53</v>
      </c>
      <c r="K5" s="23">
        <f t="shared" si="2"/>
        <v>49887.53</v>
      </c>
      <c r="L5" s="72" t="s">
        <v>161</v>
      </c>
      <c r="M5" s="73">
        <v>0.05</v>
      </c>
      <c r="N5" s="151">
        <f>SPS_table[[#This Row],[ORDENADO]]+SPS_table[[#This Row],[ISENÇÃO]]</f>
        <v>3437.5</v>
      </c>
      <c r="O5" s="150"/>
    </row>
    <row r="6" spans="2:15" ht="18" thickTop="1" thickBot="1">
      <c r="B6" s="196"/>
      <c r="C6" s="25" t="s">
        <v>164</v>
      </c>
      <c r="D6" s="25" t="s">
        <v>54</v>
      </c>
      <c r="E6" s="18" t="s">
        <v>165</v>
      </c>
      <c r="F6" s="19">
        <v>2500</v>
      </c>
      <c r="G6" s="19">
        <f t="shared" si="0"/>
        <v>625</v>
      </c>
      <c r="H6" s="19">
        <v>160.22999999999999</v>
      </c>
      <c r="I6" s="19">
        <v>1000</v>
      </c>
      <c r="J6" s="19">
        <f t="shared" si="1"/>
        <v>57512.53</v>
      </c>
      <c r="K6" s="23">
        <f t="shared" si="2"/>
        <v>45512.53</v>
      </c>
      <c r="L6" s="72" t="s">
        <v>166</v>
      </c>
      <c r="M6" s="73">
        <v>2.5000000000000001E-2</v>
      </c>
      <c r="N6" s="151">
        <f>SPS_table[[#This Row],[ORDENADO]]+SPS_table[[#This Row],[ISENÇÃO]]</f>
        <v>3125</v>
      </c>
      <c r="O6" s="150"/>
    </row>
    <row r="7" spans="2:15" ht="18" thickTop="1" thickBot="1">
      <c r="B7" s="196"/>
      <c r="C7" s="25" t="s">
        <v>167</v>
      </c>
      <c r="D7" s="25" t="s">
        <v>54</v>
      </c>
      <c r="E7" s="18" t="s">
        <v>69</v>
      </c>
      <c r="F7" s="19">
        <v>2300</v>
      </c>
      <c r="G7" s="19">
        <f t="shared" si="0"/>
        <v>575</v>
      </c>
      <c r="H7" s="19">
        <v>160.22999999999999</v>
      </c>
      <c r="I7" s="19">
        <v>1000</v>
      </c>
      <c r="J7" s="19">
        <f t="shared" si="1"/>
        <v>54012.53</v>
      </c>
      <c r="K7" s="23">
        <f t="shared" si="2"/>
        <v>42012.53</v>
      </c>
      <c r="L7" s="72" t="s">
        <v>166</v>
      </c>
      <c r="M7" s="73">
        <v>2.5000000000000001E-2</v>
      </c>
      <c r="N7" s="151">
        <f>SPS_table[[#This Row],[ORDENADO]]+SPS_table[[#This Row],[ISENÇÃO]]</f>
        <v>2875</v>
      </c>
      <c r="O7" s="150"/>
    </row>
    <row r="8" spans="2:15" ht="18" thickTop="1" thickBot="1">
      <c r="B8" s="196"/>
      <c r="C8" s="25" t="s">
        <v>168</v>
      </c>
      <c r="D8" s="25" t="s">
        <v>54</v>
      </c>
      <c r="E8" s="18" t="s">
        <v>169</v>
      </c>
      <c r="F8" s="19">
        <v>2200</v>
      </c>
      <c r="G8" s="19">
        <f t="shared" si="0"/>
        <v>550</v>
      </c>
      <c r="H8" s="19">
        <v>160.22999999999999</v>
      </c>
      <c r="I8" s="19">
        <v>1000</v>
      </c>
      <c r="J8" s="19">
        <f t="shared" si="1"/>
        <v>52262.53</v>
      </c>
      <c r="K8" s="23">
        <f t="shared" si="2"/>
        <v>40262.53</v>
      </c>
      <c r="L8" s="72" t="s">
        <v>170</v>
      </c>
      <c r="M8" s="73">
        <v>0.01</v>
      </c>
      <c r="N8" s="151">
        <f>SPS_table[[#This Row],[ORDENADO]]+SPS_table[[#This Row],[ISENÇÃO]]</f>
        <v>2750</v>
      </c>
      <c r="O8" s="150"/>
    </row>
    <row r="9" spans="2:15" ht="18" thickTop="1" thickBot="1">
      <c r="B9" s="196"/>
      <c r="C9" s="25" t="s">
        <v>171</v>
      </c>
      <c r="D9" s="25" t="s">
        <v>92</v>
      </c>
      <c r="E9" s="18" t="s">
        <v>67</v>
      </c>
      <c r="F9" s="19">
        <v>2100</v>
      </c>
      <c r="G9" s="19">
        <f t="shared" si="0"/>
        <v>525</v>
      </c>
      <c r="H9" s="19">
        <v>160.22999999999999</v>
      </c>
      <c r="I9" s="19">
        <v>700</v>
      </c>
      <c r="J9" s="19">
        <f t="shared" si="1"/>
        <v>46912.53</v>
      </c>
      <c r="K9" s="23">
        <f t="shared" si="2"/>
        <v>38512.53</v>
      </c>
      <c r="L9" s="72" t="s">
        <v>170</v>
      </c>
      <c r="M9" s="73">
        <v>0.01</v>
      </c>
      <c r="N9" s="151">
        <f>SPS_table[[#This Row],[ORDENADO]]+SPS_table[[#This Row],[ISENÇÃO]]</f>
        <v>2625</v>
      </c>
      <c r="O9" s="150"/>
    </row>
    <row r="10" spans="2:15" ht="18" thickTop="1" thickBot="1">
      <c r="B10" s="196"/>
      <c r="C10" s="25" t="s">
        <v>172</v>
      </c>
      <c r="D10" s="25" t="s">
        <v>99</v>
      </c>
      <c r="E10" s="18" t="s">
        <v>62</v>
      </c>
      <c r="F10" s="19">
        <v>1975</v>
      </c>
      <c r="G10" s="19">
        <f t="shared" si="0"/>
        <v>493.75</v>
      </c>
      <c r="H10" s="19">
        <v>160.22999999999999</v>
      </c>
      <c r="I10" s="19">
        <v>650</v>
      </c>
      <c r="J10" s="19">
        <f t="shared" si="1"/>
        <v>44125.03</v>
      </c>
      <c r="K10" s="23">
        <f t="shared" si="2"/>
        <v>36325.03</v>
      </c>
      <c r="L10" s="72" t="s">
        <v>170</v>
      </c>
      <c r="M10" s="73">
        <v>0.01</v>
      </c>
      <c r="N10" s="151">
        <f>SPS_table[[#This Row],[ORDENADO]]+SPS_table[[#This Row],[ISENÇÃO]]</f>
        <v>2468.75</v>
      </c>
      <c r="O10" s="150"/>
    </row>
    <row r="11" spans="2:15" ht="18" thickTop="1" thickBot="1">
      <c r="B11" s="196"/>
      <c r="C11" s="25" t="s">
        <v>173</v>
      </c>
      <c r="D11" s="25" t="s">
        <v>89</v>
      </c>
      <c r="E11" s="18" t="s">
        <v>75</v>
      </c>
      <c r="F11" s="19">
        <v>1875</v>
      </c>
      <c r="G11" s="19">
        <f t="shared" si="0"/>
        <v>468.75</v>
      </c>
      <c r="H11" s="19">
        <v>160.22999999999999</v>
      </c>
      <c r="I11" s="19">
        <v>650</v>
      </c>
      <c r="J11" s="19">
        <f t="shared" si="1"/>
        <v>42375.03</v>
      </c>
      <c r="K11" s="23">
        <f t="shared" si="2"/>
        <v>34575.03</v>
      </c>
      <c r="L11" s="72" t="s">
        <v>170</v>
      </c>
      <c r="M11" s="73">
        <v>0.01</v>
      </c>
      <c r="N11" s="151">
        <f>SPS_table[[#This Row],[ORDENADO]]+SPS_table[[#This Row],[ISENÇÃO]]</f>
        <v>2343.75</v>
      </c>
      <c r="O11" s="150"/>
    </row>
    <row r="12" spans="2:15" ht="18" thickTop="1" thickBot="1">
      <c r="B12" s="196"/>
      <c r="C12" s="25" t="s">
        <v>174</v>
      </c>
      <c r="D12" s="25" t="s">
        <v>175</v>
      </c>
      <c r="E12" s="18" t="s">
        <v>61</v>
      </c>
      <c r="F12" s="19">
        <v>1815</v>
      </c>
      <c r="G12" s="19">
        <f t="shared" si="0"/>
        <v>453.75</v>
      </c>
      <c r="H12" s="19">
        <v>160.22999999999999</v>
      </c>
      <c r="I12" s="19">
        <v>650</v>
      </c>
      <c r="J12" s="19">
        <f t="shared" si="1"/>
        <v>41325.03</v>
      </c>
      <c r="K12" s="23">
        <f t="shared" si="2"/>
        <v>33525.03</v>
      </c>
      <c r="L12" s="72" t="s">
        <v>170</v>
      </c>
      <c r="M12" s="73">
        <v>0.01</v>
      </c>
      <c r="N12" s="151">
        <f>SPS_table[[#This Row],[ORDENADO]]+SPS_table[[#This Row],[ISENÇÃO]]</f>
        <v>2268.75</v>
      </c>
      <c r="O12" s="150"/>
    </row>
    <row r="13" spans="2:15" ht="18" thickTop="1" thickBot="1">
      <c r="B13" s="196"/>
      <c r="C13" s="25" t="s">
        <v>176</v>
      </c>
      <c r="D13" s="25" t="s">
        <v>177</v>
      </c>
      <c r="E13" s="18" t="s">
        <v>77</v>
      </c>
      <c r="F13" s="19">
        <v>1756</v>
      </c>
      <c r="G13" s="19">
        <f t="shared" si="0"/>
        <v>439</v>
      </c>
      <c r="H13" s="19">
        <v>160.22999999999999</v>
      </c>
      <c r="I13" s="19">
        <v>400</v>
      </c>
      <c r="J13" s="19">
        <f t="shared" si="1"/>
        <v>37292.53</v>
      </c>
      <c r="K13" s="23">
        <f t="shared" si="2"/>
        <v>32492.53</v>
      </c>
      <c r="L13" s="72" t="s">
        <v>170</v>
      </c>
      <c r="M13" s="73">
        <v>0.01</v>
      </c>
      <c r="N13" s="151">
        <f>SPS_table[[#This Row],[ORDENADO]]+SPS_table[[#This Row],[ISENÇÃO]]</f>
        <v>2195</v>
      </c>
      <c r="O13" s="150"/>
    </row>
    <row r="14" spans="2:15" ht="18" thickTop="1" thickBot="1">
      <c r="B14" s="196"/>
      <c r="C14" s="25" t="s">
        <v>178</v>
      </c>
      <c r="D14" s="25" t="s">
        <v>179</v>
      </c>
      <c r="E14" s="18" t="s">
        <v>76</v>
      </c>
      <c r="F14" s="19">
        <v>1715.86</v>
      </c>
      <c r="G14" s="19">
        <f t="shared" si="0"/>
        <v>428.96499999999997</v>
      </c>
      <c r="H14" s="19">
        <v>160.22999999999999</v>
      </c>
      <c r="I14" s="19">
        <v>400</v>
      </c>
      <c r="J14" s="19">
        <f t="shared" si="1"/>
        <v>36590.079999999994</v>
      </c>
      <c r="K14" s="23">
        <f t="shared" si="2"/>
        <v>31790.079999999994</v>
      </c>
      <c r="L14" s="19"/>
      <c r="M14" s="19" t="s">
        <v>180</v>
      </c>
      <c r="N14" s="151">
        <f>SPS_table[[#This Row],[ORDENADO]]+SPS_table[[#This Row],[ISENÇÃO]]</f>
        <v>2144.8249999999998</v>
      </c>
      <c r="O14" s="150"/>
    </row>
    <row r="15" spans="2:15" ht="18" thickTop="1" thickBot="1">
      <c r="B15" s="196"/>
      <c r="C15" s="25" t="s">
        <v>181</v>
      </c>
      <c r="D15" s="25" t="s">
        <v>182</v>
      </c>
      <c r="E15" s="18" t="s">
        <v>183</v>
      </c>
      <c r="F15" s="19">
        <v>1675.96</v>
      </c>
      <c r="G15" s="19">
        <f t="shared" si="0"/>
        <v>418.99</v>
      </c>
      <c r="H15" s="19">
        <v>160.22999999999999</v>
      </c>
      <c r="I15" s="19">
        <v>400</v>
      </c>
      <c r="J15" s="19">
        <f t="shared" si="1"/>
        <v>35891.83</v>
      </c>
      <c r="K15" s="23">
        <f t="shared" si="2"/>
        <v>31091.83</v>
      </c>
      <c r="L15" s="19"/>
      <c r="M15" s="19" t="s">
        <v>180</v>
      </c>
      <c r="N15" s="151">
        <f>SPS_table[[#This Row],[ORDENADO]]+SPS_table[[#This Row],[ISENÇÃO]]</f>
        <v>2094.9499999999998</v>
      </c>
      <c r="O15" s="150"/>
    </row>
    <row r="16" spans="2:15" ht="18" thickTop="1" thickBot="1">
      <c r="B16" s="196"/>
      <c r="C16" s="25" t="s">
        <v>184</v>
      </c>
      <c r="D16" s="25" t="s">
        <v>185</v>
      </c>
      <c r="E16" s="18" t="s">
        <v>74</v>
      </c>
      <c r="F16" s="19">
        <v>1636.06</v>
      </c>
      <c r="G16" s="19">
        <f t="shared" si="0"/>
        <v>409.01499999999999</v>
      </c>
      <c r="H16" s="19">
        <v>160.22999999999999</v>
      </c>
      <c r="I16" s="19">
        <v>300</v>
      </c>
      <c r="J16" s="19">
        <f t="shared" si="1"/>
        <v>33993.58</v>
      </c>
      <c r="K16" s="23">
        <f t="shared" si="2"/>
        <v>30393.579999999998</v>
      </c>
      <c r="L16" s="19"/>
      <c r="M16" s="19" t="s">
        <v>180</v>
      </c>
      <c r="N16" s="151">
        <f>SPS_table[[#This Row],[ORDENADO]]+SPS_table[[#This Row],[ISENÇÃO]]</f>
        <v>2045.0749999999998</v>
      </c>
      <c r="O16" s="150"/>
    </row>
    <row r="17" spans="2:15" ht="18" thickTop="1" thickBot="1">
      <c r="B17" s="196"/>
      <c r="C17" s="25" t="s">
        <v>186</v>
      </c>
      <c r="D17" s="25" t="s">
        <v>187</v>
      </c>
      <c r="E17" s="18" t="s">
        <v>64</v>
      </c>
      <c r="F17" s="19">
        <v>1596.15</v>
      </c>
      <c r="G17" s="19">
        <f>F17*25%</f>
        <v>399.03750000000002</v>
      </c>
      <c r="H17" s="19">
        <v>160.22999999999999</v>
      </c>
      <c r="I17" s="19">
        <v>300</v>
      </c>
      <c r="J17" s="19">
        <f t="shared" si="1"/>
        <v>33295.154999999999</v>
      </c>
      <c r="K17" s="23">
        <f t="shared" si="2"/>
        <v>29695.155000000002</v>
      </c>
      <c r="L17" s="19"/>
      <c r="M17" s="19" t="s">
        <v>180</v>
      </c>
      <c r="N17" s="151">
        <f>SPS_table[[#This Row],[ORDENADO]]+SPS_table[[#This Row],[ISENÇÃO]]</f>
        <v>1995.1875</v>
      </c>
      <c r="O17" s="150"/>
    </row>
    <row r="18" spans="2:15" ht="18" thickTop="1" thickBot="1">
      <c r="B18" s="196"/>
      <c r="C18" s="25" t="s">
        <v>188</v>
      </c>
      <c r="D18" s="25" t="s">
        <v>189</v>
      </c>
      <c r="E18" s="18" t="s">
        <v>71</v>
      </c>
      <c r="F18" s="19">
        <v>1546</v>
      </c>
      <c r="G18" s="19">
        <f t="shared" si="0"/>
        <v>386.5</v>
      </c>
      <c r="H18" s="19">
        <v>160.22999999999999</v>
      </c>
      <c r="I18" s="19">
        <v>100</v>
      </c>
      <c r="J18" s="19">
        <f t="shared" si="1"/>
        <v>30017.53</v>
      </c>
      <c r="K18" s="23">
        <f t="shared" si="2"/>
        <v>28817.53</v>
      </c>
      <c r="L18" s="19"/>
      <c r="M18" s="19" t="s">
        <v>180</v>
      </c>
      <c r="N18" s="151">
        <f>SPS_table[[#This Row],[ORDENADO]]+SPS_table[[#This Row],[ISENÇÃO]]</f>
        <v>1932.5</v>
      </c>
      <c r="O18" s="150"/>
    </row>
    <row r="19" spans="2:15" ht="18" thickTop="1" thickBot="1">
      <c r="B19" s="196"/>
      <c r="C19" s="25" t="s">
        <v>190</v>
      </c>
      <c r="D19" s="25" t="s">
        <v>96</v>
      </c>
      <c r="E19" s="18" t="s">
        <v>63</v>
      </c>
      <c r="F19" s="19">
        <v>1496</v>
      </c>
      <c r="G19" s="19">
        <f t="shared" si="0"/>
        <v>374</v>
      </c>
      <c r="H19" s="19">
        <v>160.22999999999999</v>
      </c>
      <c r="I19" s="19">
        <v>100</v>
      </c>
      <c r="J19" s="19">
        <f t="shared" si="1"/>
        <v>29142.53</v>
      </c>
      <c r="K19" s="23">
        <f t="shared" si="2"/>
        <v>27942.53</v>
      </c>
      <c r="L19" s="19"/>
      <c r="M19" s="19" t="s">
        <v>180</v>
      </c>
      <c r="N19" s="151">
        <f>SPS_table[[#This Row],[ORDENADO]]+SPS_table[[#This Row],[ISENÇÃO]]</f>
        <v>1870</v>
      </c>
      <c r="O19" s="150"/>
    </row>
    <row r="20" spans="2:15" ht="18" thickTop="1" thickBot="1">
      <c r="B20" s="196"/>
      <c r="C20" s="25" t="s">
        <v>191</v>
      </c>
      <c r="D20" s="25" t="s">
        <v>192</v>
      </c>
      <c r="E20" s="18" t="s">
        <v>66</v>
      </c>
      <c r="F20" s="19">
        <v>1430</v>
      </c>
      <c r="G20" s="19">
        <f t="shared" si="0"/>
        <v>357.5</v>
      </c>
      <c r="H20" s="19">
        <v>160.22999999999999</v>
      </c>
      <c r="I20" s="19">
        <v>100</v>
      </c>
      <c r="J20" s="19">
        <f t="shared" si="1"/>
        <v>27987.53</v>
      </c>
      <c r="K20" s="23">
        <f t="shared" si="2"/>
        <v>26787.53</v>
      </c>
      <c r="L20" s="19"/>
      <c r="M20" s="19" t="s">
        <v>180</v>
      </c>
      <c r="N20" s="151">
        <f>SPS_table[[#This Row],[ORDENADO]]+SPS_table[[#This Row],[ISENÇÃO]]</f>
        <v>1787.5</v>
      </c>
      <c r="O20" s="150"/>
    </row>
    <row r="21" spans="2:15" ht="18" thickTop="1" thickBot="1">
      <c r="B21" s="196"/>
      <c r="C21" s="25" t="s">
        <v>193</v>
      </c>
      <c r="D21" s="25" t="s">
        <v>194</v>
      </c>
      <c r="E21" s="18" t="s">
        <v>57</v>
      </c>
      <c r="F21" s="19">
        <v>1368.99</v>
      </c>
      <c r="G21" s="19">
        <f t="shared" si="0"/>
        <v>342.2475</v>
      </c>
      <c r="H21" s="19">
        <v>160.22999999999999</v>
      </c>
      <c r="I21" s="19">
        <v>100</v>
      </c>
      <c r="J21" s="19">
        <f t="shared" si="1"/>
        <v>26919.855</v>
      </c>
      <c r="K21" s="23">
        <f t="shared" si="2"/>
        <v>25719.855</v>
      </c>
      <c r="L21" s="19"/>
      <c r="M21" s="19" t="s">
        <v>180</v>
      </c>
      <c r="N21" s="151">
        <f>SPS_table[[#This Row],[ORDENADO]]+SPS_table[[#This Row],[ISENÇÃO]]</f>
        <v>1711.2375</v>
      </c>
      <c r="O21" s="157"/>
    </row>
    <row r="22" spans="2:15" ht="18" thickTop="1" thickBot="1">
      <c r="B22" s="196"/>
      <c r="C22" s="25" t="s">
        <v>195</v>
      </c>
      <c r="D22" s="25" t="s">
        <v>196</v>
      </c>
      <c r="E22" s="18" t="s">
        <v>79</v>
      </c>
      <c r="F22" s="19">
        <v>1300</v>
      </c>
      <c r="G22" s="19">
        <f t="shared" si="0"/>
        <v>325</v>
      </c>
      <c r="H22" s="19">
        <v>160.22999999999999</v>
      </c>
      <c r="I22" s="19">
        <v>100</v>
      </c>
      <c r="J22" s="19">
        <f t="shared" si="1"/>
        <v>25712.53</v>
      </c>
      <c r="K22" s="23">
        <f t="shared" si="2"/>
        <v>24512.53</v>
      </c>
      <c r="L22" s="19"/>
      <c r="M22" s="19" t="s">
        <v>180</v>
      </c>
      <c r="N22" s="151">
        <f>SPS_table[[#This Row],[ORDENADO]]+SPS_table[[#This Row],[ISENÇÃO]]</f>
        <v>1625</v>
      </c>
      <c r="O22" s="150"/>
    </row>
    <row r="23" spans="2:15" ht="18" thickTop="1" thickBot="1">
      <c r="B23" s="196"/>
      <c r="C23" s="25" t="s">
        <v>197</v>
      </c>
      <c r="D23" s="25" t="s">
        <v>198</v>
      </c>
      <c r="E23" s="18" t="s">
        <v>53</v>
      </c>
      <c r="F23" s="19">
        <v>1249</v>
      </c>
      <c r="G23" s="19">
        <f t="shared" si="0"/>
        <v>312.25</v>
      </c>
      <c r="H23" s="19">
        <v>160.22999999999999</v>
      </c>
      <c r="I23" s="19">
        <v>100</v>
      </c>
      <c r="J23" s="19">
        <f t="shared" si="1"/>
        <v>24820.03</v>
      </c>
      <c r="K23" s="23">
        <f t="shared" si="2"/>
        <v>23620.03</v>
      </c>
      <c r="L23" s="19"/>
      <c r="M23" s="19" t="s">
        <v>180</v>
      </c>
      <c r="N23" s="151">
        <f>SPS_table[[#This Row],[ORDENADO]]+SPS_table[[#This Row],[ISENÇÃO]]</f>
        <v>1561.25</v>
      </c>
      <c r="O23" s="150"/>
    </row>
    <row r="24" spans="2:15" ht="18" thickTop="1" thickBot="1">
      <c r="B24" s="196"/>
      <c r="C24" s="25" t="s">
        <v>199</v>
      </c>
      <c r="D24" s="25" t="s">
        <v>200</v>
      </c>
      <c r="E24" s="18" t="s">
        <v>56</v>
      </c>
      <c r="F24" s="19">
        <v>1150</v>
      </c>
      <c r="G24" s="19">
        <f t="shared" si="0"/>
        <v>287.5</v>
      </c>
      <c r="H24" s="19">
        <v>160.22999999999999</v>
      </c>
      <c r="I24" s="19">
        <v>100</v>
      </c>
      <c r="J24" s="19">
        <f t="shared" si="1"/>
        <v>23087.53</v>
      </c>
      <c r="K24" s="23">
        <f t="shared" si="2"/>
        <v>21887.53</v>
      </c>
      <c r="L24" s="19"/>
      <c r="M24" s="19" t="s">
        <v>180</v>
      </c>
      <c r="N24" s="151">
        <f>SPS_table[[#This Row],[ORDENADO]]+SPS_table[[#This Row],[ISENÇÃO]]</f>
        <v>1437.5</v>
      </c>
      <c r="O24" s="150"/>
    </row>
    <row r="25" spans="2:15" ht="18" thickTop="1" thickBot="1">
      <c r="B25" s="196"/>
      <c r="C25" s="25" t="s">
        <v>201</v>
      </c>
      <c r="D25" s="25" t="s">
        <v>202</v>
      </c>
      <c r="E25" s="18" t="s">
        <v>68</v>
      </c>
      <c r="F25" s="19">
        <v>998</v>
      </c>
      <c r="G25" s="19">
        <f t="shared" si="0"/>
        <v>249.5</v>
      </c>
      <c r="H25" s="19">
        <v>160.22999999999999</v>
      </c>
      <c r="I25" s="19">
        <v>100</v>
      </c>
      <c r="J25" s="19">
        <f t="shared" si="1"/>
        <v>20427.53</v>
      </c>
      <c r="K25" s="23">
        <f t="shared" si="2"/>
        <v>19227.53</v>
      </c>
      <c r="L25" s="19"/>
      <c r="M25" s="19" t="s">
        <v>180</v>
      </c>
      <c r="N25" s="151">
        <f>SPS_table[[#This Row],[ORDENADO]]+SPS_table[[#This Row],[ISENÇÃO]]</f>
        <v>1247.5</v>
      </c>
      <c r="O25" s="150"/>
    </row>
    <row r="26" spans="2:15" ht="18" thickTop="1" thickBot="1">
      <c r="B26" s="196"/>
      <c r="C26" s="25" t="s">
        <v>203</v>
      </c>
      <c r="D26" s="25" t="s">
        <v>204</v>
      </c>
      <c r="E26" s="18" t="s">
        <v>205</v>
      </c>
      <c r="F26" s="19">
        <v>998</v>
      </c>
      <c r="G26" s="19">
        <v>0</v>
      </c>
      <c r="H26" s="19">
        <v>160.22999999999999</v>
      </c>
      <c r="I26" s="19">
        <v>100</v>
      </c>
      <c r="J26" s="19">
        <f t="shared" si="1"/>
        <v>16934.53</v>
      </c>
      <c r="K26" s="23">
        <f t="shared" si="2"/>
        <v>15734.53</v>
      </c>
      <c r="L26" s="19"/>
      <c r="M26" s="19" t="s">
        <v>180</v>
      </c>
      <c r="N26" s="151">
        <f>SPS_table[[#This Row],[ORDENADO]]+SPS_table[[#This Row],[ISENÇÃO]]</f>
        <v>998</v>
      </c>
      <c r="O26" s="150"/>
    </row>
    <row r="27" spans="2:15" ht="18" thickTop="1" thickBot="1">
      <c r="B27" s="196"/>
      <c r="C27" s="28" t="s">
        <v>206</v>
      </c>
      <c r="D27" s="28"/>
      <c r="E27" s="26" t="s">
        <v>90</v>
      </c>
      <c r="F27" s="27">
        <v>700</v>
      </c>
      <c r="G27" s="19">
        <f t="shared" si="0"/>
        <v>175</v>
      </c>
      <c r="H27" s="19">
        <v>160.22999999999999</v>
      </c>
      <c r="I27" s="27">
        <v>100</v>
      </c>
      <c r="J27" s="19">
        <f t="shared" si="1"/>
        <v>15212.53</v>
      </c>
      <c r="K27" s="29">
        <f t="shared" si="2"/>
        <v>14012.53</v>
      </c>
      <c r="L27" s="19"/>
      <c r="M27" s="19" t="s">
        <v>180</v>
      </c>
      <c r="N27" s="151">
        <f>SPS_table[[#This Row],[ORDENADO]]+SPS_table[[#This Row],[ISENÇÃO]]</f>
        <v>875</v>
      </c>
      <c r="O27" s="150"/>
    </row>
    <row r="28" spans="2:15" ht="18" thickTop="1" thickBot="1">
      <c r="B28" s="196"/>
      <c r="C28" s="28" t="s">
        <v>207</v>
      </c>
      <c r="D28" s="28"/>
      <c r="E28" s="26" t="s">
        <v>208</v>
      </c>
      <c r="F28" s="27">
        <v>450</v>
      </c>
      <c r="G28" s="27">
        <f>SPS_table[[#This Row],[ORDENADO]]*25%</f>
        <v>112.5</v>
      </c>
      <c r="H28" s="19">
        <v>160.22999999999999</v>
      </c>
      <c r="I28" s="27">
        <v>100</v>
      </c>
      <c r="J28" s="19">
        <f t="shared" si="1"/>
        <v>10837.53</v>
      </c>
      <c r="K28" s="29">
        <f t="shared" si="2"/>
        <v>9637.5300000000007</v>
      </c>
      <c r="L28" s="19"/>
      <c r="M28" s="19" t="s">
        <v>180</v>
      </c>
      <c r="N28" s="151">
        <f>SPS_table[[#This Row],[ORDENADO]]+SPS_table[[#This Row],[ISENÇÃO]]</f>
        <v>562.5</v>
      </c>
      <c r="O28" s="150"/>
    </row>
    <row r="29" spans="2:15" ht="18" thickTop="1" thickBot="1">
      <c r="B29" s="197"/>
      <c r="C29" s="28" t="s">
        <v>209</v>
      </c>
      <c r="D29" s="28"/>
      <c r="E29" s="26" t="s">
        <v>210</v>
      </c>
      <c r="F29" s="27">
        <v>450</v>
      </c>
      <c r="G29" s="27">
        <v>0</v>
      </c>
      <c r="H29" s="19">
        <v>160.22999999999999</v>
      </c>
      <c r="I29" s="27">
        <v>100</v>
      </c>
      <c r="J29" s="19">
        <f t="shared" si="1"/>
        <v>9262.5299999999988</v>
      </c>
      <c r="K29" s="29">
        <f t="shared" si="2"/>
        <v>8062.53</v>
      </c>
      <c r="L29" s="27"/>
      <c r="M29" s="19" t="s">
        <v>180</v>
      </c>
      <c r="N29" s="156">
        <f>SPS_table[[#This Row],[ORDENADO]]+SPS_table[[#This Row],[ISENÇÃO]]</f>
        <v>450</v>
      </c>
      <c r="O29" s="153"/>
    </row>
    <row r="30" spans="2:15" ht="19" thickTop="1" thickBot="1">
      <c r="B30" s="195" t="s">
        <v>4</v>
      </c>
      <c r="C30" s="24" t="s">
        <v>211</v>
      </c>
      <c r="D30" s="24" t="s">
        <v>149</v>
      </c>
      <c r="E30" s="16" t="s">
        <v>212</v>
      </c>
      <c r="F30" s="17" t="s">
        <v>151</v>
      </c>
      <c r="G30" s="17" t="s">
        <v>152</v>
      </c>
      <c r="H30" s="17" t="s">
        <v>153</v>
      </c>
      <c r="I30" s="17" t="s">
        <v>154</v>
      </c>
      <c r="J30" s="17" t="s">
        <v>155</v>
      </c>
      <c r="K30" s="22" t="s">
        <v>156</v>
      </c>
      <c r="L30" s="17" t="s">
        <v>157</v>
      </c>
      <c r="M30" s="17" t="s">
        <v>158</v>
      </c>
    </row>
    <row r="31" spans="2:15" ht="18" thickTop="1" thickBot="1">
      <c r="B31" s="196"/>
      <c r="C31" s="25" t="s">
        <v>213</v>
      </c>
      <c r="D31" s="25"/>
      <c r="E31" s="18" t="s">
        <v>214</v>
      </c>
      <c r="F31" s="19">
        <v>3000</v>
      </c>
      <c r="G31" s="19">
        <f t="shared" ref="G31:G43" si="3">F31*25%</f>
        <v>750</v>
      </c>
      <c r="H31" s="19">
        <v>160.22999999999999</v>
      </c>
      <c r="I31" s="19">
        <v>1500</v>
      </c>
      <c r="J31" s="19">
        <f t="shared" ref="J31:J43" si="4">F31*14+G31*14+H31*11+I31*12</f>
        <v>72262.53</v>
      </c>
      <c r="K31" s="23">
        <f t="shared" ref="K31:K43" si="5">F31*14+G31*14+H31*11</f>
        <v>54262.53</v>
      </c>
      <c r="L31" s="72" t="s">
        <v>161</v>
      </c>
      <c r="M31" s="73">
        <v>2.5000000000000001E-2</v>
      </c>
    </row>
    <row r="32" spans="2:15" ht="18" thickTop="1" thickBot="1">
      <c r="B32" s="196"/>
      <c r="C32" s="25" t="s">
        <v>215</v>
      </c>
      <c r="D32" s="25"/>
      <c r="E32" s="18" t="s">
        <v>216</v>
      </c>
      <c r="F32" s="19">
        <v>2750</v>
      </c>
      <c r="G32" s="19">
        <f t="shared" si="3"/>
        <v>687.5</v>
      </c>
      <c r="H32" s="19">
        <v>160.22999999999999</v>
      </c>
      <c r="I32" s="19">
        <v>1500</v>
      </c>
      <c r="J32" s="19">
        <f t="shared" si="4"/>
        <v>67887.53</v>
      </c>
      <c r="K32" s="23">
        <f t="shared" si="5"/>
        <v>49887.53</v>
      </c>
      <c r="L32" s="72" t="s">
        <v>161</v>
      </c>
      <c r="M32" s="74">
        <v>2.5000000000000001E-2</v>
      </c>
    </row>
    <row r="33" spans="2:13" ht="18" thickTop="1" thickBot="1">
      <c r="B33" s="196"/>
      <c r="C33" s="25" t="s">
        <v>217</v>
      </c>
      <c r="D33" s="25"/>
      <c r="E33" s="18" t="s">
        <v>218</v>
      </c>
      <c r="F33" s="19">
        <v>2500</v>
      </c>
      <c r="G33" s="19">
        <f t="shared" si="3"/>
        <v>625</v>
      </c>
      <c r="H33" s="19">
        <v>160.22999999999999</v>
      </c>
      <c r="I33" s="19">
        <v>1500</v>
      </c>
      <c r="J33" s="19">
        <f t="shared" si="4"/>
        <v>63512.53</v>
      </c>
      <c r="K33" s="23">
        <f t="shared" si="5"/>
        <v>45512.53</v>
      </c>
      <c r="L33" s="72" t="s">
        <v>161</v>
      </c>
      <c r="M33" s="74">
        <v>2.5000000000000001E-2</v>
      </c>
    </row>
    <row r="34" spans="2:13" ht="18" thickTop="1" thickBot="1">
      <c r="B34" s="196"/>
      <c r="C34" s="25" t="s">
        <v>219</v>
      </c>
      <c r="D34" s="25"/>
      <c r="E34" s="18" t="s">
        <v>220</v>
      </c>
      <c r="F34" s="19">
        <v>2300</v>
      </c>
      <c r="G34" s="19">
        <f t="shared" si="3"/>
        <v>575</v>
      </c>
      <c r="H34" s="19">
        <v>160.22999999999999</v>
      </c>
      <c r="I34" s="19">
        <v>1000</v>
      </c>
      <c r="J34" s="19">
        <f t="shared" si="4"/>
        <v>54012.53</v>
      </c>
      <c r="K34" s="23">
        <f t="shared" si="5"/>
        <v>42012.53</v>
      </c>
      <c r="L34" s="72" t="s">
        <v>166</v>
      </c>
      <c r="M34" s="74">
        <v>0.01</v>
      </c>
    </row>
    <row r="35" spans="2:13" ht="18" thickTop="1" thickBot="1">
      <c r="B35" s="196"/>
      <c r="C35" s="25" t="s">
        <v>221</v>
      </c>
      <c r="D35" s="25"/>
      <c r="E35" s="18" t="s">
        <v>222</v>
      </c>
      <c r="F35" s="19">
        <v>2100</v>
      </c>
      <c r="G35" s="19">
        <f t="shared" si="3"/>
        <v>525</v>
      </c>
      <c r="H35" s="19">
        <v>160.22999999999999</v>
      </c>
      <c r="I35" s="19">
        <v>1000</v>
      </c>
      <c r="J35" s="19">
        <f t="shared" si="4"/>
        <v>50512.53</v>
      </c>
      <c r="K35" s="23">
        <f t="shared" si="5"/>
        <v>38512.53</v>
      </c>
      <c r="L35" s="72" t="s">
        <v>166</v>
      </c>
      <c r="M35" s="74">
        <v>0.01</v>
      </c>
    </row>
    <row r="36" spans="2:13" ht="18" thickTop="1" thickBot="1">
      <c r="B36" s="196"/>
      <c r="C36" s="25" t="s">
        <v>223</v>
      </c>
      <c r="D36" s="25"/>
      <c r="E36" s="18" t="s">
        <v>224</v>
      </c>
      <c r="F36" s="19">
        <v>1900</v>
      </c>
      <c r="G36" s="19">
        <f t="shared" si="3"/>
        <v>475</v>
      </c>
      <c r="H36" s="19">
        <v>160.22999999999999</v>
      </c>
      <c r="I36" s="19">
        <v>900</v>
      </c>
      <c r="J36" s="19">
        <f t="shared" si="4"/>
        <v>45812.53</v>
      </c>
      <c r="K36" s="23">
        <f t="shared" si="5"/>
        <v>35012.53</v>
      </c>
      <c r="L36" s="72" t="s">
        <v>166</v>
      </c>
      <c r="M36" s="74">
        <v>0.01</v>
      </c>
    </row>
    <row r="37" spans="2:13" ht="18" thickTop="1" thickBot="1">
      <c r="B37" s="196"/>
      <c r="C37" s="25" t="s">
        <v>225</v>
      </c>
      <c r="D37" s="25"/>
      <c r="E37" s="18" t="s">
        <v>226</v>
      </c>
      <c r="F37" s="19">
        <v>1600</v>
      </c>
      <c r="G37" s="19">
        <f t="shared" si="3"/>
        <v>400</v>
      </c>
      <c r="H37" s="19">
        <v>160.22999999999999</v>
      </c>
      <c r="I37" s="19">
        <v>800</v>
      </c>
      <c r="J37" s="19">
        <f t="shared" si="4"/>
        <v>39362.53</v>
      </c>
      <c r="K37" s="23">
        <f t="shared" si="5"/>
        <v>29762.53</v>
      </c>
      <c r="L37" s="72" t="s">
        <v>170</v>
      </c>
      <c r="M37" s="19" t="s">
        <v>180</v>
      </c>
    </row>
    <row r="38" spans="2:13" ht="18" thickTop="1" thickBot="1">
      <c r="B38" s="196"/>
      <c r="C38" s="25" t="s">
        <v>227</v>
      </c>
      <c r="D38" s="25"/>
      <c r="E38" s="18" t="s">
        <v>73</v>
      </c>
      <c r="F38" s="19">
        <v>1300</v>
      </c>
      <c r="G38" s="19">
        <f t="shared" si="3"/>
        <v>325</v>
      </c>
      <c r="H38" s="19">
        <v>160.22999999999999</v>
      </c>
      <c r="I38" s="19">
        <v>700</v>
      </c>
      <c r="J38" s="19">
        <f t="shared" si="4"/>
        <v>32912.53</v>
      </c>
      <c r="K38" s="23">
        <f t="shared" si="5"/>
        <v>24512.53</v>
      </c>
      <c r="L38" s="72" t="s">
        <v>170</v>
      </c>
      <c r="M38" s="19" t="s">
        <v>180</v>
      </c>
    </row>
    <row r="39" spans="2:13" ht="18" thickTop="1" thickBot="1">
      <c r="B39" s="196"/>
      <c r="C39" s="25" t="s">
        <v>228</v>
      </c>
      <c r="D39" s="25"/>
      <c r="E39" s="18" t="s">
        <v>229</v>
      </c>
      <c r="F39" s="19">
        <v>1150</v>
      </c>
      <c r="G39" s="19">
        <f t="shared" si="3"/>
        <v>287.5</v>
      </c>
      <c r="H39" s="19">
        <v>160.22999999999999</v>
      </c>
      <c r="I39" s="19">
        <v>600</v>
      </c>
      <c r="J39" s="19">
        <f t="shared" si="4"/>
        <v>29087.53</v>
      </c>
      <c r="K39" s="23">
        <f t="shared" si="5"/>
        <v>21887.53</v>
      </c>
      <c r="L39" s="72" t="s">
        <v>170</v>
      </c>
      <c r="M39" s="19" t="s">
        <v>180</v>
      </c>
    </row>
    <row r="40" spans="2:13" ht="18" thickTop="1" thickBot="1">
      <c r="B40" s="196"/>
      <c r="C40" s="25" t="s">
        <v>230</v>
      </c>
      <c r="D40" s="25"/>
      <c r="E40" s="18" t="s">
        <v>70</v>
      </c>
      <c r="F40" s="19">
        <v>1000</v>
      </c>
      <c r="G40" s="19">
        <f t="shared" si="3"/>
        <v>250</v>
      </c>
      <c r="H40" s="19">
        <v>160.22999999999999</v>
      </c>
      <c r="I40" s="19">
        <v>500</v>
      </c>
      <c r="J40" s="19">
        <f t="shared" si="4"/>
        <v>25262.53</v>
      </c>
      <c r="K40" s="23">
        <f t="shared" si="5"/>
        <v>19262.53</v>
      </c>
      <c r="L40" s="19"/>
      <c r="M40" s="19" t="s">
        <v>180</v>
      </c>
    </row>
    <row r="41" spans="2:13" ht="18" thickTop="1" thickBot="1">
      <c r="B41" s="196"/>
      <c r="C41" s="25" t="s">
        <v>231</v>
      </c>
      <c r="D41" s="25"/>
      <c r="E41" s="18" t="s">
        <v>82</v>
      </c>
      <c r="F41" s="19">
        <v>850</v>
      </c>
      <c r="G41" s="19">
        <f t="shared" si="3"/>
        <v>212.5</v>
      </c>
      <c r="H41" s="19">
        <v>160.22999999999999</v>
      </c>
      <c r="I41" s="19">
        <v>400</v>
      </c>
      <c r="J41" s="19">
        <f t="shared" si="4"/>
        <v>21437.53</v>
      </c>
      <c r="K41" s="23">
        <f t="shared" si="5"/>
        <v>16637.53</v>
      </c>
      <c r="L41" s="19"/>
      <c r="M41" s="19" t="s">
        <v>180</v>
      </c>
    </row>
    <row r="42" spans="2:13" ht="18" thickTop="1" thickBot="1">
      <c r="B42" s="196"/>
      <c r="C42" s="25" t="s">
        <v>232</v>
      </c>
      <c r="D42" s="25"/>
      <c r="E42" s="18" t="s">
        <v>233</v>
      </c>
      <c r="F42" s="19">
        <v>750</v>
      </c>
      <c r="G42" s="19">
        <f t="shared" si="3"/>
        <v>187.5</v>
      </c>
      <c r="H42" s="19">
        <v>160.22999999999999</v>
      </c>
      <c r="I42" s="19">
        <v>300</v>
      </c>
      <c r="J42" s="19">
        <f t="shared" si="4"/>
        <v>18487.53</v>
      </c>
      <c r="K42" s="23">
        <f t="shared" si="5"/>
        <v>14887.53</v>
      </c>
      <c r="L42" s="19"/>
      <c r="M42" s="19" t="s">
        <v>180</v>
      </c>
    </row>
    <row r="43" spans="2:13" ht="18" thickTop="1" thickBot="1">
      <c r="B43" s="197"/>
      <c r="C43" s="28" t="s">
        <v>234</v>
      </c>
      <c r="D43" s="28"/>
      <c r="E43" s="26" t="s">
        <v>100</v>
      </c>
      <c r="F43" s="27">
        <v>557</v>
      </c>
      <c r="G43" s="27">
        <f t="shared" si="3"/>
        <v>139.25</v>
      </c>
      <c r="H43" s="19">
        <v>160.22999999999999</v>
      </c>
      <c r="I43" s="27">
        <v>200</v>
      </c>
      <c r="J43" s="27">
        <f t="shared" si="4"/>
        <v>13910.03</v>
      </c>
      <c r="K43" s="29">
        <f t="shared" si="5"/>
        <v>11510.03</v>
      </c>
      <c r="L43" s="27"/>
      <c r="M43" s="19" t="s">
        <v>180</v>
      </c>
    </row>
    <row r="44" spans="2:13" ht="19" thickTop="1" thickBot="1">
      <c r="B44" s="195" t="s">
        <v>235</v>
      </c>
      <c r="C44" s="24" t="s">
        <v>211</v>
      </c>
      <c r="D44" s="24" t="s">
        <v>149</v>
      </c>
      <c r="E44" s="16" t="s">
        <v>212</v>
      </c>
      <c r="F44" s="17" t="s">
        <v>151</v>
      </c>
      <c r="G44" s="17" t="s">
        <v>152</v>
      </c>
      <c r="H44" s="17" t="s">
        <v>153</v>
      </c>
      <c r="I44" s="17" t="s">
        <v>154</v>
      </c>
      <c r="J44" s="17" t="s">
        <v>155</v>
      </c>
      <c r="K44" s="22" t="s">
        <v>156</v>
      </c>
      <c r="L44" s="17" t="s">
        <v>157</v>
      </c>
      <c r="M44" s="17" t="s">
        <v>158</v>
      </c>
    </row>
    <row r="45" spans="2:13" ht="18" thickTop="1" thickBot="1">
      <c r="B45" s="196"/>
      <c r="C45" s="25" t="s">
        <v>236</v>
      </c>
      <c r="D45" s="25"/>
      <c r="E45" s="18" t="s">
        <v>237</v>
      </c>
      <c r="F45" s="19">
        <v>2200</v>
      </c>
      <c r="G45" s="19">
        <f t="shared" ref="G45:G55" si="6">F45*25%</f>
        <v>550</v>
      </c>
      <c r="H45" s="19">
        <v>160.22999999999999</v>
      </c>
      <c r="I45" s="19">
        <v>1000</v>
      </c>
      <c r="J45" s="19">
        <f t="shared" ref="J45:J55" si="7">F45*14+G45*14+H45*11+I45*12</f>
        <v>52262.53</v>
      </c>
      <c r="K45" s="23">
        <f t="shared" ref="K45:K55" si="8">F45*14+G45*14+H45*11</f>
        <v>40262.53</v>
      </c>
      <c r="L45" s="72" t="s">
        <v>161</v>
      </c>
      <c r="M45" s="73">
        <v>2.5000000000000001E-2</v>
      </c>
    </row>
    <row r="46" spans="2:13" ht="18" thickTop="1" thickBot="1">
      <c r="B46" s="196"/>
      <c r="C46" s="25" t="s">
        <v>238</v>
      </c>
      <c r="D46" s="25"/>
      <c r="E46" s="18" t="s">
        <v>239</v>
      </c>
      <c r="F46" s="19">
        <v>2000</v>
      </c>
      <c r="G46" s="19">
        <f t="shared" si="6"/>
        <v>500</v>
      </c>
      <c r="H46" s="19">
        <v>160.22999999999999</v>
      </c>
      <c r="I46" s="19">
        <v>800</v>
      </c>
      <c r="J46" s="19">
        <f t="shared" si="7"/>
        <v>46362.53</v>
      </c>
      <c r="K46" s="23">
        <f t="shared" si="8"/>
        <v>36762.53</v>
      </c>
      <c r="L46" s="72" t="s">
        <v>161</v>
      </c>
      <c r="M46" s="74">
        <v>2.5000000000000001E-2</v>
      </c>
    </row>
    <row r="47" spans="2:13" ht="18" thickTop="1" thickBot="1">
      <c r="B47" s="196"/>
      <c r="C47" s="25" t="s">
        <v>240</v>
      </c>
      <c r="D47" s="25"/>
      <c r="E47" s="18" t="s">
        <v>93</v>
      </c>
      <c r="F47" s="19">
        <v>1800</v>
      </c>
      <c r="G47" s="19">
        <f t="shared" si="6"/>
        <v>450</v>
      </c>
      <c r="H47" s="19">
        <v>160.22999999999999</v>
      </c>
      <c r="I47" s="19">
        <v>700</v>
      </c>
      <c r="J47" s="19">
        <f t="shared" si="7"/>
        <v>41662.53</v>
      </c>
      <c r="K47" s="23">
        <f t="shared" si="8"/>
        <v>33262.53</v>
      </c>
      <c r="L47" s="72" t="s">
        <v>161</v>
      </c>
      <c r="M47" s="74">
        <v>2.5000000000000001E-2</v>
      </c>
    </row>
    <row r="48" spans="2:13" ht="18" thickTop="1" thickBot="1">
      <c r="B48" s="196"/>
      <c r="C48" s="25" t="s">
        <v>241</v>
      </c>
      <c r="D48" s="25"/>
      <c r="E48" s="18" t="s">
        <v>242</v>
      </c>
      <c r="F48" s="19">
        <v>1600</v>
      </c>
      <c r="G48" s="19">
        <f t="shared" si="6"/>
        <v>400</v>
      </c>
      <c r="H48" s="19">
        <v>160.22999999999999</v>
      </c>
      <c r="I48" s="19">
        <v>600</v>
      </c>
      <c r="J48" s="19">
        <f t="shared" si="7"/>
        <v>36962.53</v>
      </c>
      <c r="K48" s="23">
        <f t="shared" si="8"/>
        <v>29762.53</v>
      </c>
      <c r="L48" s="72" t="s">
        <v>166</v>
      </c>
      <c r="M48" s="74">
        <v>0.01</v>
      </c>
    </row>
    <row r="49" spans="2:13" ht="18" thickTop="1" thickBot="1">
      <c r="B49" s="196"/>
      <c r="C49" s="25" t="s">
        <v>243</v>
      </c>
      <c r="D49" s="25"/>
      <c r="E49" s="18" t="s">
        <v>244</v>
      </c>
      <c r="F49" s="19">
        <v>1500</v>
      </c>
      <c r="G49" s="19">
        <f t="shared" si="6"/>
        <v>375</v>
      </c>
      <c r="H49" s="19">
        <v>160.22999999999999</v>
      </c>
      <c r="I49" s="19">
        <v>500</v>
      </c>
      <c r="J49" s="19">
        <f t="shared" si="7"/>
        <v>34012.53</v>
      </c>
      <c r="K49" s="23">
        <f t="shared" si="8"/>
        <v>28012.53</v>
      </c>
      <c r="L49" s="72" t="s">
        <v>166</v>
      </c>
      <c r="M49" s="74">
        <v>0.01</v>
      </c>
    </row>
    <row r="50" spans="2:13" ht="18" thickTop="1" thickBot="1">
      <c r="B50" s="196"/>
      <c r="C50" s="25" t="s">
        <v>245</v>
      </c>
      <c r="D50" s="25"/>
      <c r="E50" s="18" t="s">
        <v>80</v>
      </c>
      <c r="F50" s="19">
        <v>1400</v>
      </c>
      <c r="G50" s="19">
        <f t="shared" si="6"/>
        <v>350</v>
      </c>
      <c r="H50" s="19">
        <v>160.22999999999999</v>
      </c>
      <c r="I50" s="19">
        <v>400</v>
      </c>
      <c r="J50" s="19">
        <f t="shared" si="7"/>
        <v>31062.53</v>
      </c>
      <c r="K50" s="23">
        <f t="shared" si="8"/>
        <v>26262.53</v>
      </c>
      <c r="L50" s="72" t="s">
        <v>166</v>
      </c>
      <c r="M50" s="74">
        <v>0.01</v>
      </c>
    </row>
    <row r="51" spans="2:13" ht="18" thickTop="1" thickBot="1">
      <c r="B51" s="196"/>
      <c r="C51" s="25" t="s">
        <v>246</v>
      </c>
      <c r="D51" s="25"/>
      <c r="E51" s="18" t="s">
        <v>98</v>
      </c>
      <c r="F51" s="19">
        <v>1200</v>
      </c>
      <c r="G51" s="19">
        <f t="shared" si="6"/>
        <v>300</v>
      </c>
      <c r="H51" s="19">
        <v>160.22999999999999</v>
      </c>
      <c r="I51" s="19">
        <v>300</v>
      </c>
      <c r="J51" s="19">
        <f t="shared" si="7"/>
        <v>26362.53</v>
      </c>
      <c r="K51" s="23">
        <f t="shared" si="8"/>
        <v>22762.53</v>
      </c>
      <c r="L51" s="19"/>
      <c r="M51" s="19" t="s">
        <v>180</v>
      </c>
    </row>
    <row r="52" spans="2:13" ht="18" thickTop="1" thickBot="1">
      <c r="B52" s="196"/>
      <c r="C52" s="25" t="s">
        <v>247</v>
      </c>
      <c r="D52" s="25"/>
      <c r="E52" s="18" t="s">
        <v>91</v>
      </c>
      <c r="F52" s="19">
        <v>1000</v>
      </c>
      <c r="G52" s="19">
        <f t="shared" si="6"/>
        <v>250</v>
      </c>
      <c r="H52" s="19">
        <v>160.22999999999999</v>
      </c>
      <c r="I52" s="19">
        <v>200</v>
      </c>
      <c r="J52" s="19">
        <f t="shared" si="7"/>
        <v>21662.53</v>
      </c>
      <c r="K52" s="23">
        <f t="shared" si="8"/>
        <v>19262.53</v>
      </c>
      <c r="L52" s="19"/>
      <c r="M52" s="19" t="s">
        <v>180</v>
      </c>
    </row>
    <row r="53" spans="2:13" ht="18" thickTop="1" thickBot="1">
      <c r="B53" s="196"/>
      <c r="C53" s="25" t="s">
        <v>248</v>
      </c>
      <c r="D53" s="25"/>
      <c r="E53" s="18" t="s">
        <v>88</v>
      </c>
      <c r="F53" s="19">
        <v>800</v>
      </c>
      <c r="G53" s="19">
        <f t="shared" si="6"/>
        <v>200</v>
      </c>
      <c r="H53" s="19">
        <v>160.22999999999999</v>
      </c>
      <c r="I53" s="19">
        <v>100</v>
      </c>
      <c r="J53" s="19">
        <f t="shared" si="7"/>
        <v>16962.53</v>
      </c>
      <c r="K53" s="23">
        <f t="shared" si="8"/>
        <v>15762.53</v>
      </c>
      <c r="L53" s="19"/>
      <c r="M53" s="19" t="s">
        <v>180</v>
      </c>
    </row>
    <row r="54" spans="2:13" ht="18" thickTop="1" thickBot="1">
      <c r="B54" s="196"/>
      <c r="C54" s="25" t="s">
        <v>249</v>
      </c>
      <c r="D54" s="25"/>
      <c r="E54" s="18" t="s">
        <v>250</v>
      </c>
      <c r="F54" s="19">
        <v>800</v>
      </c>
      <c r="G54" s="19">
        <v>0</v>
      </c>
      <c r="H54" s="19">
        <v>160.22999999999999</v>
      </c>
      <c r="I54" s="19">
        <v>100</v>
      </c>
      <c r="J54" s="19">
        <f t="shared" si="7"/>
        <v>14162.53</v>
      </c>
      <c r="K54" s="23">
        <f t="shared" si="8"/>
        <v>12962.53</v>
      </c>
      <c r="L54" s="19"/>
      <c r="M54" s="19" t="s">
        <v>180</v>
      </c>
    </row>
    <row r="55" spans="2:13" ht="18" thickTop="1" thickBot="1">
      <c r="B55" s="197"/>
      <c r="C55" s="28" t="s">
        <v>251</v>
      </c>
      <c r="D55" s="28"/>
      <c r="E55" s="26" t="s">
        <v>252</v>
      </c>
      <c r="F55" s="27">
        <v>386</v>
      </c>
      <c r="G55" s="27">
        <f t="shared" si="6"/>
        <v>96.5</v>
      </c>
      <c r="H55" s="19">
        <v>160.22999999999999</v>
      </c>
      <c r="I55" s="27">
        <v>0</v>
      </c>
      <c r="J55" s="27">
        <f t="shared" si="7"/>
        <v>8517.5300000000007</v>
      </c>
      <c r="K55" s="29">
        <f t="shared" si="8"/>
        <v>8517.5300000000007</v>
      </c>
      <c r="L55" s="27"/>
      <c r="M55" s="19" t="s">
        <v>180</v>
      </c>
    </row>
    <row r="56" spans="2:13" ht="19" thickTop="1" thickBot="1">
      <c r="B56" s="195" t="s">
        <v>253</v>
      </c>
      <c r="C56" s="24" t="s">
        <v>211</v>
      </c>
      <c r="D56" s="24" t="s">
        <v>149</v>
      </c>
      <c r="E56" s="16" t="s">
        <v>212</v>
      </c>
      <c r="F56" s="17" t="s">
        <v>151</v>
      </c>
      <c r="G56" s="17" t="s">
        <v>152</v>
      </c>
      <c r="H56" s="17" t="s">
        <v>153</v>
      </c>
      <c r="I56" s="17" t="s">
        <v>154</v>
      </c>
      <c r="J56" s="17" t="s">
        <v>155</v>
      </c>
      <c r="K56" s="22" t="s">
        <v>156</v>
      </c>
      <c r="L56" s="17" t="s">
        <v>157</v>
      </c>
      <c r="M56" s="17" t="s">
        <v>158</v>
      </c>
    </row>
    <row r="57" spans="2:13" ht="18" thickTop="1" thickBot="1">
      <c r="B57" s="196"/>
      <c r="C57" s="25" t="s">
        <v>254</v>
      </c>
      <c r="D57" s="25"/>
      <c r="E57" s="18" t="s">
        <v>255</v>
      </c>
      <c r="F57" s="19">
        <v>2200</v>
      </c>
      <c r="G57" s="19">
        <f t="shared" ref="G57:G65" si="9">F57*25%</f>
        <v>550</v>
      </c>
      <c r="H57" s="19">
        <v>160.22999999999999</v>
      </c>
      <c r="I57" s="19">
        <v>1000</v>
      </c>
      <c r="J57" s="19">
        <f t="shared" ref="J57:J67" si="10">F57*14+G57*14+H57*11+I57*12</f>
        <v>52262.53</v>
      </c>
      <c r="K57" s="23">
        <f t="shared" ref="K57:K67" si="11">F57*14+G57*14+H57*11</f>
        <v>40262.53</v>
      </c>
      <c r="L57" s="72" t="s">
        <v>161</v>
      </c>
      <c r="M57" s="73">
        <v>2.5000000000000001E-2</v>
      </c>
    </row>
    <row r="58" spans="2:13" ht="18" thickTop="1" thickBot="1">
      <c r="B58" s="196"/>
      <c r="C58" s="25" t="s">
        <v>256</v>
      </c>
      <c r="D58" s="25"/>
      <c r="E58" s="18" t="s">
        <v>257</v>
      </c>
      <c r="F58" s="19">
        <v>2000</v>
      </c>
      <c r="G58" s="19">
        <f t="shared" si="9"/>
        <v>500</v>
      </c>
      <c r="H58" s="19">
        <v>160.22999999999999</v>
      </c>
      <c r="I58" s="19">
        <v>800</v>
      </c>
      <c r="J58" s="19">
        <f t="shared" si="10"/>
        <v>46362.53</v>
      </c>
      <c r="K58" s="23">
        <f t="shared" si="11"/>
        <v>36762.53</v>
      </c>
      <c r="L58" s="72" t="s">
        <v>161</v>
      </c>
      <c r="M58" s="74">
        <v>2.5000000000000001E-2</v>
      </c>
    </row>
    <row r="59" spans="2:13" ht="18" thickTop="1" thickBot="1">
      <c r="B59" s="196"/>
      <c r="C59" s="25" t="s">
        <v>258</v>
      </c>
      <c r="D59" s="25"/>
      <c r="E59" s="18" t="s">
        <v>95</v>
      </c>
      <c r="F59" s="19">
        <v>1800</v>
      </c>
      <c r="G59" s="19">
        <f t="shared" si="9"/>
        <v>450</v>
      </c>
      <c r="H59" s="19">
        <v>160.22999999999999</v>
      </c>
      <c r="I59" s="19">
        <v>700</v>
      </c>
      <c r="J59" s="19">
        <f t="shared" si="10"/>
        <v>41662.53</v>
      </c>
      <c r="K59" s="23">
        <f t="shared" si="11"/>
        <v>33262.53</v>
      </c>
      <c r="L59" s="72" t="s">
        <v>161</v>
      </c>
      <c r="M59" s="74">
        <v>2.5000000000000001E-2</v>
      </c>
    </row>
    <row r="60" spans="2:13" ht="18" thickTop="1" thickBot="1">
      <c r="B60" s="196"/>
      <c r="C60" s="25" t="s">
        <v>259</v>
      </c>
      <c r="D60" s="25"/>
      <c r="E60" s="18" t="s">
        <v>260</v>
      </c>
      <c r="F60" s="19">
        <v>1600</v>
      </c>
      <c r="G60" s="19">
        <f t="shared" si="9"/>
        <v>400</v>
      </c>
      <c r="H60" s="19">
        <v>160.22999999999999</v>
      </c>
      <c r="I60" s="19">
        <v>600</v>
      </c>
      <c r="J60" s="19">
        <f t="shared" si="10"/>
        <v>36962.53</v>
      </c>
      <c r="K60" s="23">
        <f t="shared" si="11"/>
        <v>29762.53</v>
      </c>
      <c r="L60" s="72" t="s">
        <v>166</v>
      </c>
      <c r="M60" s="74">
        <v>0.01</v>
      </c>
    </row>
    <row r="61" spans="2:13" ht="18" thickTop="1" thickBot="1">
      <c r="B61" s="196"/>
      <c r="C61" s="25" t="s">
        <v>261</v>
      </c>
      <c r="D61" s="25"/>
      <c r="E61" s="18" t="s">
        <v>55</v>
      </c>
      <c r="F61" s="19">
        <v>1500</v>
      </c>
      <c r="G61" s="19">
        <f t="shared" si="9"/>
        <v>375</v>
      </c>
      <c r="H61" s="19">
        <v>160.22999999999999</v>
      </c>
      <c r="I61" s="19">
        <v>500</v>
      </c>
      <c r="J61" s="19">
        <f t="shared" si="10"/>
        <v>34012.53</v>
      </c>
      <c r="K61" s="23">
        <f t="shared" si="11"/>
        <v>28012.53</v>
      </c>
      <c r="L61" s="72" t="s">
        <v>166</v>
      </c>
      <c r="M61" s="74">
        <v>0.01</v>
      </c>
    </row>
    <row r="62" spans="2:13" ht="18" thickTop="1" thickBot="1">
      <c r="B62" s="196"/>
      <c r="C62" s="25" t="s">
        <v>262</v>
      </c>
      <c r="D62" s="25"/>
      <c r="E62" s="18" t="s">
        <v>81</v>
      </c>
      <c r="F62" s="19">
        <v>1400</v>
      </c>
      <c r="G62" s="19">
        <f t="shared" si="9"/>
        <v>350</v>
      </c>
      <c r="H62" s="19">
        <v>160.22999999999999</v>
      </c>
      <c r="I62" s="19">
        <v>400</v>
      </c>
      <c r="J62" s="19">
        <f t="shared" si="10"/>
        <v>31062.53</v>
      </c>
      <c r="K62" s="23">
        <f t="shared" si="11"/>
        <v>26262.53</v>
      </c>
      <c r="L62" s="72" t="s">
        <v>166</v>
      </c>
      <c r="M62" s="74">
        <v>0.01</v>
      </c>
    </row>
    <row r="63" spans="2:13" ht="18" thickTop="1" thickBot="1">
      <c r="B63" s="196"/>
      <c r="C63" s="25" t="s">
        <v>263</v>
      </c>
      <c r="D63" s="25"/>
      <c r="E63" s="18" t="s">
        <v>97</v>
      </c>
      <c r="F63" s="19">
        <v>1200</v>
      </c>
      <c r="G63" s="19">
        <f t="shared" si="9"/>
        <v>300</v>
      </c>
      <c r="H63" s="19">
        <v>160.22999999999999</v>
      </c>
      <c r="I63" s="19">
        <v>300</v>
      </c>
      <c r="J63" s="19">
        <f t="shared" si="10"/>
        <v>26362.53</v>
      </c>
      <c r="K63" s="23">
        <f t="shared" si="11"/>
        <v>22762.53</v>
      </c>
      <c r="L63" s="19"/>
      <c r="M63" s="19" t="s">
        <v>180</v>
      </c>
    </row>
    <row r="64" spans="2:13" ht="18" thickTop="1" thickBot="1">
      <c r="B64" s="196"/>
      <c r="C64" s="25" t="s">
        <v>264</v>
      </c>
      <c r="D64" s="25"/>
      <c r="E64" s="18" t="s">
        <v>60</v>
      </c>
      <c r="F64" s="19">
        <v>1000</v>
      </c>
      <c r="G64" s="19">
        <f t="shared" si="9"/>
        <v>250</v>
      </c>
      <c r="H64" s="19">
        <v>160.22999999999999</v>
      </c>
      <c r="I64" s="19">
        <v>200</v>
      </c>
      <c r="J64" s="19">
        <f t="shared" si="10"/>
        <v>21662.53</v>
      </c>
      <c r="K64" s="23">
        <f t="shared" si="11"/>
        <v>19262.53</v>
      </c>
      <c r="L64" s="19"/>
      <c r="M64" s="19" t="s">
        <v>180</v>
      </c>
    </row>
    <row r="65" spans="2:13" ht="18" thickTop="1" thickBot="1">
      <c r="B65" s="196"/>
      <c r="C65" s="25" t="s">
        <v>265</v>
      </c>
      <c r="D65" s="25"/>
      <c r="E65" s="18" t="s">
        <v>78</v>
      </c>
      <c r="F65" s="19">
        <v>800</v>
      </c>
      <c r="G65" s="19">
        <f t="shared" si="9"/>
        <v>200</v>
      </c>
      <c r="H65" s="19">
        <v>160.22999999999999</v>
      </c>
      <c r="I65" s="19">
        <v>100</v>
      </c>
      <c r="J65" s="19">
        <f t="shared" si="10"/>
        <v>16962.53</v>
      </c>
      <c r="K65" s="23">
        <f t="shared" si="11"/>
        <v>15762.53</v>
      </c>
      <c r="L65" s="19"/>
      <c r="M65" s="19" t="s">
        <v>180</v>
      </c>
    </row>
    <row r="66" spans="2:13" ht="18" thickTop="1" thickBot="1">
      <c r="B66" s="196"/>
      <c r="C66" s="25" t="s">
        <v>266</v>
      </c>
      <c r="D66" s="25"/>
      <c r="E66" s="18" t="s">
        <v>267</v>
      </c>
      <c r="F66" s="19">
        <v>800</v>
      </c>
      <c r="G66" s="19">
        <v>0</v>
      </c>
      <c r="H66" s="19">
        <v>160.22999999999999</v>
      </c>
      <c r="I66" s="19">
        <v>100</v>
      </c>
      <c r="J66" s="19">
        <f t="shared" si="10"/>
        <v>14162.53</v>
      </c>
      <c r="K66" s="23">
        <f t="shared" si="11"/>
        <v>12962.53</v>
      </c>
      <c r="L66" s="19"/>
      <c r="M66" s="19" t="s">
        <v>180</v>
      </c>
    </row>
    <row r="67" spans="2:13" ht="18" thickTop="1" thickBot="1">
      <c r="B67" s="197"/>
      <c r="C67" s="28" t="s">
        <v>268</v>
      </c>
      <c r="D67" s="28"/>
      <c r="E67" s="26" t="s">
        <v>269</v>
      </c>
      <c r="F67" s="27">
        <v>690</v>
      </c>
      <c r="G67" s="27">
        <v>0</v>
      </c>
      <c r="H67" s="19">
        <v>160.22999999999999</v>
      </c>
      <c r="I67" s="27">
        <v>0</v>
      </c>
      <c r="J67" s="27">
        <f t="shared" si="10"/>
        <v>11422.53</v>
      </c>
      <c r="K67" s="29">
        <f t="shared" si="11"/>
        <v>11422.53</v>
      </c>
      <c r="L67" s="27"/>
      <c r="M67" s="19" t="s">
        <v>180</v>
      </c>
    </row>
    <row r="68" spans="2:13" ht="19" thickTop="1" thickBot="1">
      <c r="B68" s="195" t="s">
        <v>270</v>
      </c>
      <c r="C68" s="24" t="s">
        <v>211</v>
      </c>
      <c r="D68" s="24" t="s">
        <v>149</v>
      </c>
      <c r="E68" s="16" t="s">
        <v>212</v>
      </c>
      <c r="F68" s="17" t="s">
        <v>151</v>
      </c>
      <c r="G68" s="17" t="s">
        <v>152</v>
      </c>
      <c r="H68" s="17" t="s">
        <v>153</v>
      </c>
      <c r="I68" s="17" t="s">
        <v>154</v>
      </c>
      <c r="J68" s="17" t="s">
        <v>155</v>
      </c>
      <c r="K68" s="22" t="s">
        <v>156</v>
      </c>
      <c r="L68" s="17" t="s">
        <v>157</v>
      </c>
      <c r="M68" s="17" t="s">
        <v>158</v>
      </c>
    </row>
    <row r="69" spans="2:13" ht="18" thickTop="1" thickBot="1">
      <c r="B69" s="196"/>
      <c r="C69" s="25" t="s">
        <v>271</v>
      </c>
      <c r="D69" s="25"/>
      <c r="E69" s="18" t="s">
        <v>272</v>
      </c>
      <c r="F69" s="19">
        <v>2200</v>
      </c>
      <c r="G69" s="19">
        <f t="shared" ref="G69:G78" si="12">F69*25%</f>
        <v>550</v>
      </c>
      <c r="H69" s="19">
        <v>160.22999999999999</v>
      </c>
      <c r="I69" s="19">
        <v>1000</v>
      </c>
      <c r="J69" s="19">
        <f t="shared" ref="J69:J80" si="13">F69*14+G69*14+H69*11+I69*12</f>
        <v>52262.53</v>
      </c>
      <c r="K69" s="23">
        <f t="shared" ref="K69:K80" si="14">F69*14+G69*14+H69*11</f>
        <v>40262.53</v>
      </c>
      <c r="L69" s="72" t="s">
        <v>161</v>
      </c>
      <c r="M69" s="73">
        <v>2.5000000000000001E-2</v>
      </c>
    </row>
    <row r="70" spans="2:13" ht="18" thickTop="1" thickBot="1">
      <c r="B70" s="196"/>
      <c r="C70" s="25" t="s">
        <v>273</v>
      </c>
      <c r="D70" s="25"/>
      <c r="E70" s="18" t="s">
        <v>274</v>
      </c>
      <c r="F70" s="19">
        <v>2000</v>
      </c>
      <c r="G70" s="19">
        <f t="shared" si="12"/>
        <v>500</v>
      </c>
      <c r="H70" s="19">
        <v>160.22999999999999</v>
      </c>
      <c r="I70" s="19">
        <v>800</v>
      </c>
      <c r="J70" s="19">
        <f t="shared" si="13"/>
        <v>46362.53</v>
      </c>
      <c r="K70" s="23">
        <f t="shared" si="14"/>
        <v>36762.53</v>
      </c>
      <c r="L70" s="72" t="s">
        <v>161</v>
      </c>
      <c r="M70" s="74">
        <v>2.5000000000000001E-2</v>
      </c>
    </row>
    <row r="71" spans="2:13" ht="18" thickTop="1" thickBot="1">
      <c r="B71" s="196"/>
      <c r="C71" s="25" t="s">
        <v>275</v>
      </c>
      <c r="D71" s="25"/>
      <c r="E71" s="18" t="s">
        <v>276</v>
      </c>
      <c r="F71" s="19">
        <v>1800</v>
      </c>
      <c r="G71" s="19">
        <f t="shared" si="12"/>
        <v>450</v>
      </c>
      <c r="H71" s="19">
        <v>160.22999999999999</v>
      </c>
      <c r="I71" s="19">
        <v>700</v>
      </c>
      <c r="J71" s="19">
        <f t="shared" si="13"/>
        <v>41662.53</v>
      </c>
      <c r="K71" s="23">
        <f t="shared" si="14"/>
        <v>33262.53</v>
      </c>
      <c r="L71" s="72" t="s">
        <v>161</v>
      </c>
      <c r="M71" s="74">
        <v>2.5000000000000001E-2</v>
      </c>
    </row>
    <row r="72" spans="2:13" ht="18" thickTop="1" thickBot="1">
      <c r="B72" s="196"/>
      <c r="C72" s="25" t="s">
        <v>277</v>
      </c>
      <c r="D72" s="25"/>
      <c r="E72" s="18" t="s">
        <v>278</v>
      </c>
      <c r="F72" s="19">
        <v>1600</v>
      </c>
      <c r="G72" s="19">
        <f t="shared" si="12"/>
        <v>400</v>
      </c>
      <c r="H72" s="19">
        <v>160.22999999999999</v>
      </c>
      <c r="I72" s="19">
        <v>600</v>
      </c>
      <c r="J72" s="19">
        <f t="shared" si="13"/>
        <v>36962.53</v>
      </c>
      <c r="K72" s="23">
        <f t="shared" si="14"/>
        <v>29762.53</v>
      </c>
      <c r="L72" s="72" t="s">
        <v>166</v>
      </c>
      <c r="M72" s="74">
        <v>0.01</v>
      </c>
    </row>
    <row r="73" spans="2:13" ht="18" thickTop="1" thickBot="1">
      <c r="B73" s="196"/>
      <c r="C73" s="25" t="s">
        <v>279</v>
      </c>
      <c r="D73" s="25"/>
      <c r="E73" s="18" t="s">
        <v>280</v>
      </c>
      <c r="F73" s="19">
        <v>1500</v>
      </c>
      <c r="G73" s="19">
        <f t="shared" si="12"/>
        <v>375</v>
      </c>
      <c r="H73" s="19">
        <v>160.22999999999999</v>
      </c>
      <c r="I73" s="19">
        <v>500</v>
      </c>
      <c r="J73" s="19">
        <f t="shared" si="13"/>
        <v>34012.53</v>
      </c>
      <c r="K73" s="23">
        <f t="shared" si="14"/>
        <v>28012.53</v>
      </c>
      <c r="L73" s="72" t="s">
        <v>166</v>
      </c>
      <c r="M73" s="74">
        <v>0.01</v>
      </c>
    </row>
    <row r="74" spans="2:13" ht="18" thickTop="1" thickBot="1">
      <c r="B74" s="196"/>
      <c r="C74" s="25" t="s">
        <v>281</v>
      </c>
      <c r="D74" s="25"/>
      <c r="E74" s="18" t="s">
        <v>282</v>
      </c>
      <c r="F74" s="19">
        <v>1400</v>
      </c>
      <c r="G74" s="19">
        <f t="shared" si="12"/>
        <v>350</v>
      </c>
      <c r="H74" s="19">
        <v>160.22999999999999</v>
      </c>
      <c r="I74" s="19">
        <v>400</v>
      </c>
      <c r="J74" s="19">
        <f t="shared" si="13"/>
        <v>31062.53</v>
      </c>
      <c r="K74" s="23">
        <f t="shared" si="14"/>
        <v>26262.53</v>
      </c>
      <c r="L74" s="72" t="s">
        <v>166</v>
      </c>
      <c r="M74" s="74">
        <v>0.01</v>
      </c>
    </row>
    <row r="75" spans="2:13" ht="18" thickTop="1" thickBot="1">
      <c r="B75" s="196"/>
      <c r="C75" s="25"/>
      <c r="D75" s="25"/>
      <c r="E75" s="18" t="s">
        <v>59</v>
      </c>
      <c r="F75" s="19">
        <f>1122</f>
        <v>1122</v>
      </c>
      <c r="G75" s="19">
        <f t="shared" si="12"/>
        <v>280.5</v>
      </c>
      <c r="H75" s="19">
        <v>160.22999999999999</v>
      </c>
      <c r="I75" s="19">
        <v>0</v>
      </c>
      <c r="J75" s="19">
        <f>F75*14+G75*14+H75*11+I75*12</f>
        <v>21397.53</v>
      </c>
      <c r="K75" s="23">
        <f>F75*14+G75*14+H75*11</f>
        <v>21397.53</v>
      </c>
      <c r="L75" s="72"/>
      <c r="M75" s="74"/>
    </row>
    <row r="76" spans="2:13" ht="18" thickTop="1" thickBot="1">
      <c r="B76" s="196"/>
      <c r="C76" s="25" t="s">
        <v>283</v>
      </c>
      <c r="D76" s="25"/>
      <c r="E76" s="18" t="s">
        <v>284</v>
      </c>
      <c r="F76" s="19">
        <v>1200</v>
      </c>
      <c r="G76" s="19">
        <f t="shared" si="12"/>
        <v>300</v>
      </c>
      <c r="H76" s="19">
        <v>160.22999999999999</v>
      </c>
      <c r="I76" s="19">
        <v>300</v>
      </c>
      <c r="J76" s="19">
        <f t="shared" si="13"/>
        <v>26362.53</v>
      </c>
      <c r="K76" s="23">
        <f t="shared" si="14"/>
        <v>22762.53</v>
      </c>
      <c r="L76" s="19"/>
      <c r="M76" s="19" t="s">
        <v>180</v>
      </c>
    </row>
    <row r="77" spans="2:13" ht="18" thickTop="1" thickBot="1">
      <c r="B77" s="196"/>
      <c r="C77" s="25" t="s">
        <v>285</v>
      </c>
      <c r="D77" s="25"/>
      <c r="E77" s="18" t="s">
        <v>65</v>
      </c>
      <c r="F77" s="19">
        <v>1000</v>
      </c>
      <c r="G77" s="19">
        <f t="shared" si="12"/>
        <v>250</v>
      </c>
      <c r="H77" s="19">
        <v>160.22999999999999</v>
      </c>
      <c r="I77" s="19">
        <v>200</v>
      </c>
      <c r="J77" s="19">
        <f t="shared" si="13"/>
        <v>21662.53</v>
      </c>
      <c r="K77" s="23">
        <f t="shared" si="14"/>
        <v>19262.53</v>
      </c>
      <c r="L77" s="19"/>
      <c r="M77" s="19" t="s">
        <v>180</v>
      </c>
    </row>
    <row r="78" spans="2:13" ht="18" thickTop="1" thickBot="1">
      <c r="B78" s="196"/>
      <c r="C78" s="25" t="s">
        <v>286</v>
      </c>
      <c r="D78" s="25"/>
      <c r="E78" s="18" t="s">
        <v>287</v>
      </c>
      <c r="F78" s="19">
        <v>800</v>
      </c>
      <c r="G78" s="19">
        <f t="shared" si="12"/>
        <v>200</v>
      </c>
      <c r="H78" s="19">
        <v>160.22999999999999</v>
      </c>
      <c r="I78" s="19">
        <v>100</v>
      </c>
      <c r="J78" s="19">
        <f t="shared" si="13"/>
        <v>16962.53</v>
      </c>
      <c r="K78" s="23">
        <f t="shared" si="14"/>
        <v>15762.53</v>
      </c>
      <c r="L78" s="19"/>
      <c r="M78" s="19" t="s">
        <v>180</v>
      </c>
    </row>
    <row r="79" spans="2:13" ht="18" thickTop="1" thickBot="1">
      <c r="B79" s="196"/>
      <c r="C79" s="25" t="s">
        <v>288</v>
      </c>
      <c r="D79" s="25"/>
      <c r="E79" s="18" t="s">
        <v>58</v>
      </c>
      <c r="F79" s="19">
        <v>800</v>
      </c>
      <c r="G79" s="19">
        <v>0</v>
      </c>
      <c r="H79" s="19">
        <v>160.22999999999999</v>
      </c>
      <c r="I79" s="19">
        <v>100</v>
      </c>
      <c r="J79" s="19">
        <f t="shared" si="13"/>
        <v>14162.53</v>
      </c>
      <c r="K79" s="23">
        <f t="shared" si="14"/>
        <v>12962.53</v>
      </c>
      <c r="L79" s="19"/>
      <c r="M79" s="19" t="s">
        <v>180</v>
      </c>
    </row>
    <row r="80" spans="2:13" ht="18" thickTop="1" thickBot="1">
      <c r="B80" s="197"/>
      <c r="C80" s="28" t="s">
        <v>289</v>
      </c>
      <c r="D80" s="28"/>
      <c r="E80" s="26" t="s">
        <v>290</v>
      </c>
      <c r="F80" s="27">
        <v>690</v>
      </c>
      <c r="G80" s="27">
        <v>0</v>
      </c>
      <c r="H80" s="19">
        <v>160.22999999999999</v>
      </c>
      <c r="I80" s="27">
        <v>0</v>
      </c>
      <c r="J80" s="27">
        <f t="shared" si="13"/>
        <v>11422.53</v>
      </c>
      <c r="K80" s="29">
        <f t="shared" si="14"/>
        <v>11422.53</v>
      </c>
      <c r="L80" s="27"/>
      <c r="M80" s="19" t="s">
        <v>180</v>
      </c>
    </row>
    <row r="81" ht="13"/>
  </sheetData>
  <mergeCells count="5">
    <mergeCell ref="B3:B29"/>
    <mergeCell ref="B30:B43"/>
    <mergeCell ref="B44:B55"/>
    <mergeCell ref="B56:B67"/>
    <mergeCell ref="B68:B80"/>
  </mergeCells>
  <phoneticPr fontId="51" type="noConversion"/>
  <dataValidations count="1">
    <dataValidation type="list" allowBlank="1" showInputMessage="1" showErrorMessage="1" sqref="E75" xr:uid="{445430C8-BDC5-8948-B18B-98E0199A2AAF}">
      <formula1>INDIRECT(XEK75)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6"/>
  <dimension ref="A1:J425"/>
  <sheetViews>
    <sheetView zoomScaleSheetLayoutView="90" workbookViewId="0">
      <selection activeCell="I40" sqref="I40"/>
    </sheetView>
  </sheetViews>
  <sheetFormatPr baseColWidth="10" defaultColWidth="9.1640625" defaultRowHeight="15"/>
  <cols>
    <col min="1" max="1" width="9.5" customWidth="1"/>
    <col min="2" max="2" width="11.83203125" bestFit="1" customWidth="1"/>
    <col min="3" max="3" width="10.6640625" style="173" customWidth="1"/>
    <col min="4" max="8" width="10.6640625" customWidth="1"/>
    <col min="11" max="14" width="9.1640625" style="20"/>
    <col min="15" max="15" width="14.1640625" style="20" bestFit="1" customWidth="1"/>
    <col min="16" max="16384" width="9.1640625" style="20"/>
  </cols>
  <sheetData>
    <row r="1" spans="1:10">
      <c r="A1" s="159"/>
      <c r="B1" s="159"/>
      <c r="C1" s="160"/>
      <c r="D1" s="159"/>
      <c r="E1" s="159"/>
      <c r="F1" s="159"/>
      <c r="G1" s="159"/>
      <c r="H1" s="161"/>
    </row>
    <row r="2" spans="1:10" ht="16">
      <c r="A2" s="159"/>
      <c r="B2" s="200" t="s">
        <v>362</v>
      </c>
      <c r="C2" s="200"/>
      <c r="D2" s="200"/>
      <c r="E2" s="200"/>
      <c r="F2" s="200"/>
      <c r="G2" s="200"/>
      <c r="H2" s="161"/>
    </row>
    <row r="3" spans="1:10">
      <c r="A3" s="159"/>
      <c r="B3" s="159"/>
      <c r="C3" s="160"/>
      <c r="D3" s="161"/>
      <c r="E3" s="161"/>
      <c r="F3" s="161"/>
      <c r="G3" s="161"/>
      <c r="H3" s="161"/>
    </row>
    <row r="4" spans="1:10">
      <c r="A4" s="202" t="s">
        <v>291</v>
      </c>
      <c r="B4" s="202"/>
      <c r="C4" s="202"/>
      <c r="D4" s="202"/>
      <c r="E4" s="202"/>
      <c r="F4" s="202"/>
      <c r="G4" s="202"/>
      <c r="H4" s="202"/>
    </row>
    <row r="5" spans="1:10">
      <c r="A5" s="203" t="s">
        <v>292</v>
      </c>
      <c r="B5" s="203"/>
      <c r="C5" s="203"/>
      <c r="D5" s="203"/>
      <c r="E5" s="203"/>
      <c r="F5" s="203"/>
      <c r="G5" s="203"/>
      <c r="H5" s="203"/>
    </row>
    <row r="6" spans="1:10" ht="17" customHeight="1" thickBot="1">
      <c r="A6" s="159"/>
      <c r="B6" s="159"/>
      <c r="C6" s="160"/>
      <c r="D6" s="161"/>
      <c r="E6" s="161"/>
      <c r="F6" s="161"/>
      <c r="G6" s="161"/>
      <c r="H6" s="161"/>
    </row>
    <row r="7" spans="1:10" ht="16" customHeight="1" thickBot="1">
      <c r="A7" s="204" t="s">
        <v>293</v>
      </c>
      <c r="B7" s="205"/>
      <c r="C7" s="206" t="s">
        <v>294</v>
      </c>
      <c r="D7" s="209"/>
      <c r="E7" s="209"/>
      <c r="F7" s="209"/>
      <c r="G7" s="209"/>
      <c r="H7" s="210"/>
    </row>
    <row r="8" spans="1:10" ht="15" customHeight="1" thickBot="1">
      <c r="A8" s="198" t="s">
        <v>295</v>
      </c>
      <c r="B8" s="199"/>
      <c r="C8" s="107">
        <v>0</v>
      </c>
      <c r="D8" s="107">
        <v>1</v>
      </c>
      <c r="E8" s="107">
        <v>2</v>
      </c>
      <c r="F8" s="107">
        <v>3</v>
      </c>
      <c r="G8" s="107">
        <v>4</v>
      </c>
      <c r="H8" s="108" t="s">
        <v>296</v>
      </c>
    </row>
    <row r="9" spans="1:10">
      <c r="A9" s="162" t="s">
        <v>297</v>
      </c>
      <c r="B9" s="109">
        <v>659</v>
      </c>
      <c r="C9" s="110">
        <v>0</v>
      </c>
      <c r="D9" s="110">
        <v>0</v>
      </c>
      <c r="E9" s="110">
        <v>0</v>
      </c>
      <c r="F9" s="110">
        <v>0</v>
      </c>
      <c r="G9" s="110">
        <v>0</v>
      </c>
      <c r="H9" s="111">
        <v>0</v>
      </c>
    </row>
    <row r="10" spans="1:10" s="21" customFormat="1" ht="15" customHeight="1">
      <c r="A10" s="163" t="s">
        <v>297</v>
      </c>
      <c r="B10" s="112">
        <v>686</v>
      </c>
      <c r="C10" s="113" t="s">
        <v>363</v>
      </c>
      <c r="D10" s="113">
        <v>0</v>
      </c>
      <c r="E10" s="113">
        <v>0</v>
      </c>
      <c r="F10" s="113">
        <v>0</v>
      </c>
      <c r="G10" s="113">
        <v>0</v>
      </c>
      <c r="H10" s="114">
        <v>0</v>
      </c>
      <c r="I10"/>
      <c r="J10"/>
    </row>
    <row r="11" spans="1:10" s="21" customFormat="1">
      <c r="A11" s="163" t="s">
        <v>297</v>
      </c>
      <c r="B11" s="112">
        <v>718</v>
      </c>
      <c r="C11" s="113" t="s">
        <v>364</v>
      </c>
      <c r="D11" s="113" t="s">
        <v>365</v>
      </c>
      <c r="E11" s="113">
        <v>0</v>
      </c>
      <c r="F11" s="113">
        <v>0</v>
      </c>
      <c r="G11" s="113">
        <v>0</v>
      </c>
      <c r="H11" s="114">
        <v>0</v>
      </c>
      <c r="I11"/>
      <c r="J11"/>
    </row>
    <row r="12" spans="1:10" s="21" customFormat="1">
      <c r="A12" s="163" t="s">
        <v>297</v>
      </c>
      <c r="B12" s="112">
        <v>739</v>
      </c>
      <c r="C12" s="113">
        <v>7.2999999999999995E-2</v>
      </c>
      <c r="D12" s="113">
        <v>2.8000000000000001E-2</v>
      </c>
      <c r="E12" s="113">
        <v>2E-3</v>
      </c>
      <c r="F12" s="113">
        <v>0</v>
      </c>
      <c r="G12" s="113">
        <v>0</v>
      </c>
      <c r="H12" s="114">
        <v>0</v>
      </c>
      <c r="I12"/>
      <c r="J12"/>
    </row>
    <row r="13" spans="1:10" s="21" customFormat="1">
      <c r="A13" s="163" t="s">
        <v>297</v>
      </c>
      <c r="B13" s="112">
        <v>814</v>
      </c>
      <c r="C13" s="113">
        <v>8.2000000000000003E-2</v>
      </c>
      <c r="D13" s="113">
        <v>4.5999999999999999E-2</v>
      </c>
      <c r="E13" s="113">
        <v>1.0999999999999999E-2</v>
      </c>
      <c r="F13" s="113">
        <v>0</v>
      </c>
      <c r="G13" s="113">
        <v>0</v>
      </c>
      <c r="H13" s="114">
        <v>0</v>
      </c>
      <c r="I13"/>
      <c r="J13"/>
    </row>
    <row r="14" spans="1:10" s="21" customFormat="1">
      <c r="A14" s="163" t="s">
        <v>297</v>
      </c>
      <c r="B14" s="112">
        <v>922</v>
      </c>
      <c r="C14" s="113">
        <v>0.104</v>
      </c>
      <c r="D14" s="113">
        <v>6.9000000000000006E-2</v>
      </c>
      <c r="E14" s="113">
        <v>3.5999999999999997E-2</v>
      </c>
      <c r="F14" s="113">
        <v>0</v>
      </c>
      <c r="G14" s="113">
        <v>0</v>
      </c>
      <c r="H14" s="114">
        <v>0</v>
      </c>
      <c r="I14"/>
      <c r="J14"/>
    </row>
    <row r="15" spans="1:10" s="21" customFormat="1">
      <c r="A15" s="163" t="s">
        <v>297</v>
      </c>
      <c r="B15" s="115">
        <v>1005</v>
      </c>
      <c r="C15" s="113">
        <v>0.11600000000000001</v>
      </c>
      <c r="D15" s="113">
        <v>8.2000000000000003E-2</v>
      </c>
      <c r="E15" s="113">
        <v>5.8000000000000003E-2</v>
      </c>
      <c r="F15" s="113">
        <v>1.4999999999999999E-2</v>
      </c>
      <c r="G15" s="113">
        <v>0</v>
      </c>
      <c r="H15" s="114">
        <v>0</v>
      </c>
      <c r="I15"/>
      <c r="J15"/>
    </row>
    <row r="16" spans="1:10" s="21" customFormat="1">
      <c r="A16" s="163" t="s">
        <v>297</v>
      </c>
      <c r="B16" s="115">
        <v>1065</v>
      </c>
      <c r="C16" s="113">
        <v>0.124</v>
      </c>
      <c r="D16" s="113">
        <v>9.0999999999999998E-2</v>
      </c>
      <c r="E16" s="113">
        <v>6.7000000000000004E-2</v>
      </c>
      <c r="F16" s="113">
        <v>3.4000000000000002E-2</v>
      </c>
      <c r="G16" s="113">
        <v>0</v>
      </c>
      <c r="H16" s="114">
        <v>0</v>
      </c>
      <c r="I16"/>
      <c r="J16"/>
    </row>
    <row r="17" spans="1:10" s="21" customFormat="1">
      <c r="A17" s="163" t="s">
        <v>297</v>
      </c>
      <c r="B17" s="115">
        <v>1143</v>
      </c>
      <c r="C17" s="113">
        <v>0.13500000000000001</v>
      </c>
      <c r="D17" s="113">
        <v>0.11</v>
      </c>
      <c r="E17" s="113">
        <v>8.5999999999999993E-2</v>
      </c>
      <c r="F17" s="113">
        <v>5.1999999999999998E-2</v>
      </c>
      <c r="G17" s="113">
        <v>2.8000000000000001E-2</v>
      </c>
      <c r="H17" s="114">
        <v>3.0000000000000001E-3</v>
      </c>
      <c r="I17"/>
      <c r="J17"/>
    </row>
    <row r="18" spans="1:10" s="21" customFormat="1">
      <c r="A18" s="163" t="s">
        <v>297</v>
      </c>
      <c r="B18" s="115">
        <v>1225</v>
      </c>
      <c r="C18" s="113">
        <v>0.14499999999999999</v>
      </c>
      <c r="D18" s="113">
        <v>0.121</v>
      </c>
      <c r="E18" s="113">
        <v>9.6000000000000002E-2</v>
      </c>
      <c r="F18" s="113">
        <v>6.2E-2</v>
      </c>
      <c r="G18" s="113">
        <v>3.6999999999999998E-2</v>
      </c>
      <c r="H18" s="114">
        <v>1.2999999999999999E-2</v>
      </c>
      <c r="I18"/>
      <c r="J18"/>
    </row>
    <row r="19" spans="1:10" s="21" customFormat="1">
      <c r="A19" s="163" t="s">
        <v>297</v>
      </c>
      <c r="B19" s="115">
        <v>1321</v>
      </c>
      <c r="C19" s="113">
        <v>0.156</v>
      </c>
      <c r="D19" s="113">
        <v>0.13200000000000001</v>
      </c>
      <c r="E19" s="113">
        <v>0.108</v>
      </c>
      <c r="F19" s="113">
        <v>7.1999999999999995E-2</v>
      </c>
      <c r="G19" s="113">
        <v>4.7E-2</v>
      </c>
      <c r="H19" s="114">
        <v>2.3E-2</v>
      </c>
      <c r="I19"/>
      <c r="J19"/>
    </row>
    <row r="20" spans="1:10" s="21" customFormat="1">
      <c r="A20" s="163" t="s">
        <v>297</v>
      </c>
      <c r="B20" s="115">
        <v>1424</v>
      </c>
      <c r="C20" s="113">
        <v>0.16600000000000001</v>
      </c>
      <c r="D20" s="113">
        <v>0.14199999999999999</v>
      </c>
      <c r="E20" s="113">
        <v>0.11700000000000001</v>
      </c>
      <c r="F20" s="113">
        <v>8.3000000000000004E-2</v>
      </c>
      <c r="G20" s="113">
        <v>6.7000000000000004E-2</v>
      </c>
      <c r="H20" s="114">
        <v>4.1000000000000002E-2</v>
      </c>
      <c r="I20"/>
      <c r="J20"/>
    </row>
    <row r="21" spans="1:10" s="21" customFormat="1">
      <c r="A21" s="163" t="s">
        <v>297</v>
      </c>
      <c r="B21" s="115">
        <v>1562</v>
      </c>
      <c r="C21" s="113">
        <v>0.17699999999999999</v>
      </c>
      <c r="D21" s="113">
        <v>0.152</v>
      </c>
      <c r="E21" s="113">
        <v>0.127</v>
      </c>
      <c r="F21" s="113">
        <v>0.10299999999999999</v>
      </c>
      <c r="G21" s="113">
        <v>7.8E-2</v>
      </c>
      <c r="H21" s="114">
        <v>5.0999999999999997E-2</v>
      </c>
      <c r="I21"/>
      <c r="J21"/>
    </row>
    <row r="22" spans="1:10" s="21" customFormat="1">
      <c r="A22" s="163" t="s">
        <v>297</v>
      </c>
      <c r="B22" s="115">
        <v>1711</v>
      </c>
      <c r="C22" s="113">
        <v>0.191</v>
      </c>
      <c r="D22" s="113">
        <v>0.16700000000000001</v>
      </c>
      <c r="E22" s="113">
        <v>0.152</v>
      </c>
      <c r="F22" s="113">
        <v>0.11700000000000001</v>
      </c>
      <c r="G22" s="113">
        <v>9.1999999999999998E-2</v>
      </c>
      <c r="H22" s="114">
        <v>6.7000000000000004E-2</v>
      </c>
      <c r="I22"/>
      <c r="J22"/>
    </row>
    <row r="23" spans="1:10" s="21" customFormat="1">
      <c r="A23" s="163" t="s">
        <v>297</v>
      </c>
      <c r="B23" s="115">
        <v>1870</v>
      </c>
      <c r="C23" s="113">
        <v>0.20499999999999999</v>
      </c>
      <c r="D23" s="113">
        <v>0.187</v>
      </c>
      <c r="E23" s="113">
        <v>0.17799999999999999</v>
      </c>
      <c r="F23" s="113">
        <v>0.14899999999999999</v>
      </c>
      <c r="G23" s="113">
        <v>0.129</v>
      </c>
      <c r="H23" s="114">
        <v>0.12</v>
      </c>
      <c r="I23"/>
      <c r="J23"/>
    </row>
    <row r="24" spans="1:10" s="21" customFormat="1">
      <c r="A24" s="163" t="s">
        <v>297</v>
      </c>
      <c r="B24" s="115">
        <v>1977</v>
      </c>
      <c r="C24" s="113">
        <v>0.215</v>
      </c>
      <c r="D24" s="113">
        <v>0.19900000000000001</v>
      </c>
      <c r="E24" s="113">
        <v>0.187</v>
      </c>
      <c r="F24" s="113">
        <v>0.159</v>
      </c>
      <c r="G24" s="113">
        <v>0.14899999999999999</v>
      </c>
      <c r="H24" s="114">
        <v>0.129</v>
      </c>
      <c r="I24"/>
      <c r="J24"/>
    </row>
    <row r="25" spans="1:10" s="21" customFormat="1">
      <c r="A25" s="163" t="s">
        <v>297</v>
      </c>
      <c r="B25" s="115">
        <v>2090</v>
      </c>
      <c r="C25" s="113">
        <v>0.22500000000000001</v>
      </c>
      <c r="D25" s="113">
        <v>0.20799999999999999</v>
      </c>
      <c r="E25" s="113">
        <v>0.19800000000000001</v>
      </c>
      <c r="F25" s="113">
        <v>0.16800000000000001</v>
      </c>
      <c r="G25" s="113">
        <v>0.159</v>
      </c>
      <c r="H25" s="114">
        <v>0.13900000000000001</v>
      </c>
      <c r="I25"/>
      <c r="J25"/>
    </row>
    <row r="26" spans="1:10" s="21" customFormat="1">
      <c r="A26" s="163" t="s">
        <v>297</v>
      </c>
      <c r="B26" s="115">
        <v>2218</v>
      </c>
      <c r="C26" s="113">
        <v>0.23499999999999999</v>
      </c>
      <c r="D26" s="113">
        <v>0.219</v>
      </c>
      <c r="E26" s="113">
        <v>0.20899999999999999</v>
      </c>
      <c r="F26" s="113">
        <v>0.18</v>
      </c>
      <c r="G26" s="113">
        <v>0.16900000000000001</v>
      </c>
      <c r="H26" s="114">
        <v>0.14899999999999999</v>
      </c>
      <c r="I26"/>
      <c r="J26"/>
    </row>
    <row r="27" spans="1:10" s="21" customFormat="1">
      <c r="A27" s="163" t="s">
        <v>297</v>
      </c>
      <c r="B27" s="115">
        <v>2367</v>
      </c>
      <c r="C27" s="113">
        <v>0.245</v>
      </c>
      <c r="D27" s="113">
        <v>0.22900000000000001</v>
      </c>
      <c r="E27" s="113">
        <v>0.219</v>
      </c>
      <c r="F27" s="113">
        <v>0.19</v>
      </c>
      <c r="G27" s="113">
        <v>0.18099999999999999</v>
      </c>
      <c r="H27" s="114">
        <v>0.159</v>
      </c>
      <c r="I27"/>
      <c r="J27"/>
    </row>
    <row r="28" spans="1:10" s="21" customFormat="1">
      <c r="A28" s="163" t="s">
        <v>297</v>
      </c>
      <c r="B28" s="115">
        <v>2535</v>
      </c>
      <c r="C28" s="113">
        <v>0.255</v>
      </c>
      <c r="D28" s="113">
        <v>0.249</v>
      </c>
      <c r="E28" s="113">
        <v>0.22900000000000001</v>
      </c>
      <c r="F28" s="113">
        <v>0.21</v>
      </c>
      <c r="G28" s="113">
        <v>0.19</v>
      </c>
      <c r="H28" s="114">
        <v>0.18099999999999999</v>
      </c>
      <c r="I28"/>
      <c r="J28"/>
    </row>
    <row r="29" spans="1:10" s="21" customFormat="1">
      <c r="A29" s="163" t="s">
        <v>297</v>
      </c>
      <c r="B29" s="115">
        <v>2767</v>
      </c>
      <c r="C29" s="113">
        <v>0.26500000000000001</v>
      </c>
      <c r="D29" s="113">
        <v>0.25800000000000001</v>
      </c>
      <c r="E29" s="113">
        <v>0.24</v>
      </c>
      <c r="F29" s="113">
        <v>0.22</v>
      </c>
      <c r="G29" s="113">
        <v>0.2</v>
      </c>
      <c r="H29" s="114">
        <v>0.19</v>
      </c>
      <c r="I29"/>
      <c r="J29"/>
    </row>
    <row r="30" spans="1:10" s="21" customFormat="1">
      <c r="A30" s="163" t="s">
        <v>297</v>
      </c>
      <c r="B30" s="115">
        <v>3104</v>
      </c>
      <c r="C30" s="113">
        <v>0.27800000000000002</v>
      </c>
      <c r="D30" s="113">
        <v>0.27100000000000002</v>
      </c>
      <c r="E30" s="113">
        <v>0.252</v>
      </c>
      <c r="F30" s="113">
        <v>0.23200000000000001</v>
      </c>
      <c r="G30" s="113">
        <v>0.21199999999999999</v>
      </c>
      <c r="H30" s="114">
        <v>0.20200000000000001</v>
      </c>
      <c r="I30"/>
      <c r="J30"/>
    </row>
    <row r="31" spans="1:10" s="21" customFormat="1">
      <c r="A31" s="163" t="s">
        <v>297</v>
      </c>
      <c r="B31" s="115">
        <v>3534</v>
      </c>
      <c r="C31" s="113">
        <v>0.29399999999999998</v>
      </c>
      <c r="D31" s="113">
        <v>0.29099999999999998</v>
      </c>
      <c r="E31" s="113">
        <v>0.27500000000000002</v>
      </c>
      <c r="F31" s="113">
        <v>0.25900000000000001</v>
      </c>
      <c r="G31" s="113">
        <v>0.253</v>
      </c>
      <c r="H31" s="114">
        <v>0.23699999999999999</v>
      </c>
      <c r="I31"/>
      <c r="J31"/>
    </row>
    <row r="32" spans="1:10" s="21" customFormat="1">
      <c r="A32" s="163" t="s">
        <v>297</v>
      </c>
      <c r="B32" s="115">
        <v>4118</v>
      </c>
      <c r="C32" s="113">
        <v>0.30499999999999999</v>
      </c>
      <c r="D32" s="113">
        <v>0.30299999999999999</v>
      </c>
      <c r="E32" s="113">
        <v>0.28499999999999998</v>
      </c>
      <c r="F32" s="113">
        <v>0.26900000000000002</v>
      </c>
      <c r="G32" s="113">
        <v>0.26300000000000001</v>
      </c>
      <c r="H32" s="114">
        <v>0.25700000000000001</v>
      </c>
      <c r="I32"/>
      <c r="J32"/>
    </row>
    <row r="33" spans="1:10" s="21" customFormat="1">
      <c r="A33" s="163" t="s">
        <v>297</v>
      </c>
      <c r="B33" s="115">
        <v>4650</v>
      </c>
      <c r="C33" s="113">
        <v>0.32300000000000001</v>
      </c>
      <c r="D33" s="113">
        <v>0.318</v>
      </c>
      <c r="E33" s="113">
        <v>0.30199999999999999</v>
      </c>
      <c r="F33" s="113">
        <v>0.28399999999999997</v>
      </c>
      <c r="G33" s="113">
        <v>0.27800000000000002</v>
      </c>
      <c r="H33" s="114">
        <v>0.27200000000000002</v>
      </c>
      <c r="I33"/>
      <c r="J33"/>
    </row>
    <row r="34" spans="1:10" s="21" customFormat="1">
      <c r="A34" s="163" t="s">
        <v>297</v>
      </c>
      <c r="B34" s="115">
        <v>5194</v>
      </c>
      <c r="C34" s="113">
        <v>0.33300000000000002</v>
      </c>
      <c r="D34" s="113">
        <v>0.32800000000000001</v>
      </c>
      <c r="E34" s="113">
        <v>0.32200000000000001</v>
      </c>
      <c r="F34" s="113">
        <v>0.29699999999999999</v>
      </c>
      <c r="G34" s="113">
        <v>0.28799999999999998</v>
      </c>
      <c r="H34" s="114">
        <v>0.28199999999999997</v>
      </c>
      <c r="I34"/>
      <c r="J34"/>
    </row>
    <row r="35" spans="1:10" s="21" customFormat="1">
      <c r="A35" s="163" t="s">
        <v>297</v>
      </c>
      <c r="B35" s="115">
        <v>5880</v>
      </c>
      <c r="C35" s="113">
        <v>0.34300000000000003</v>
      </c>
      <c r="D35" s="113">
        <v>0.33800000000000002</v>
      </c>
      <c r="E35" s="113">
        <v>0.33200000000000002</v>
      </c>
      <c r="F35" s="113">
        <v>0.30599999999999999</v>
      </c>
      <c r="G35" s="113">
        <v>0.3</v>
      </c>
      <c r="H35" s="114">
        <v>0.29199999999999998</v>
      </c>
      <c r="I35"/>
      <c r="J35"/>
    </row>
    <row r="36" spans="1:10" s="21" customFormat="1">
      <c r="A36" s="163" t="s">
        <v>297</v>
      </c>
      <c r="B36" s="115">
        <v>6727</v>
      </c>
      <c r="C36" s="113">
        <v>0.36299999999999999</v>
      </c>
      <c r="D36" s="113">
        <v>0.35899999999999999</v>
      </c>
      <c r="E36" s="113">
        <v>0.35099999999999998</v>
      </c>
      <c r="F36" s="113">
        <v>0.33200000000000002</v>
      </c>
      <c r="G36" s="113">
        <v>0.32800000000000001</v>
      </c>
      <c r="H36" s="114">
        <v>0.32400000000000001</v>
      </c>
      <c r="I36"/>
      <c r="J36"/>
    </row>
    <row r="37" spans="1:10" s="21" customFormat="1">
      <c r="A37" s="163" t="s">
        <v>297</v>
      </c>
      <c r="B37" s="115">
        <v>7939</v>
      </c>
      <c r="C37" s="113">
        <v>0.373</v>
      </c>
      <c r="D37" s="113">
        <v>0.36899999999999999</v>
      </c>
      <c r="E37" s="113">
        <v>0.36499999999999999</v>
      </c>
      <c r="F37" s="113">
        <v>0.35199999999999998</v>
      </c>
      <c r="G37" s="113">
        <v>0.33800000000000002</v>
      </c>
      <c r="H37" s="114">
        <v>0.33400000000000002</v>
      </c>
      <c r="I37"/>
      <c r="J37"/>
    </row>
    <row r="38" spans="1:10" s="21" customFormat="1">
      <c r="A38" s="163" t="s">
        <v>297</v>
      </c>
      <c r="B38" s="115">
        <v>9560</v>
      </c>
      <c r="C38" s="113">
        <v>0.39300000000000002</v>
      </c>
      <c r="D38" s="113">
        <v>0.38900000000000001</v>
      </c>
      <c r="E38" s="113">
        <v>0.38500000000000001</v>
      </c>
      <c r="F38" s="113">
        <v>0.372</v>
      </c>
      <c r="G38" s="113">
        <v>0.36799999999999999</v>
      </c>
      <c r="H38" s="114">
        <v>0.35399999999999998</v>
      </c>
      <c r="I38"/>
      <c r="J38"/>
    </row>
    <row r="39" spans="1:10" s="21" customFormat="1">
      <c r="A39" s="163" t="s">
        <v>297</v>
      </c>
      <c r="B39" s="115">
        <v>11282</v>
      </c>
      <c r="C39" s="113">
        <v>0.40300000000000002</v>
      </c>
      <c r="D39" s="113">
        <v>0.39900000000000002</v>
      </c>
      <c r="E39" s="113">
        <v>0.39500000000000002</v>
      </c>
      <c r="F39" s="113">
        <v>0.38600000000000001</v>
      </c>
      <c r="G39" s="113">
        <v>0.378</v>
      </c>
      <c r="H39" s="114">
        <v>0.36399999999999999</v>
      </c>
      <c r="I39"/>
      <c r="J39"/>
    </row>
    <row r="40" spans="1:10">
      <c r="A40" s="163" t="s">
        <v>297</v>
      </c>
      <c r="B40" s="115">
        <v>18854</v>
      </c>
      <c r="C40" s="113">
        <v>0.41299999999999998</v>
      </c>
      <c r="D40" s="113">
        <v>0.40899999999999997</v>
      </c>
      <c r="E40" s="113">
        <v>0.40500000000000003</v>
      </c>
      <c r="F40" s="113">
        <v>0.39600000000000002</v>
      </c>
      <c r="G40" s="113">
        <v>0.39200000000000002</v>
      </c>
      <c r="H40" s="114" t="s">
        <v>366</v>
      </c>
    </row>
    <row r="41" spans="1:10">
      <c r="A41" s="163" t="s">
        <v>297</v>
      </c>
      <c r="B41" s="115">
        <v>20221</v>
      </c>
      <c r="C41" s="113">
        <v>0.42299999999999999</v>
      </c>
      <c r="D41" s="113">
        <v>0.41899999999999998</v>
      </c>
      <c r="E41" s="113">
        <v>0.41499999999999998</v>
      </c>
      <c r="F41" s="113">
        <v>0.40600000000000003</v>
      </c>
      <c r="G41" s="113">
        <v>0.40200000000000002</v>
      </c>
      <c r="H41" s="114">
        <v>0.38400000000000001</v>
      </c>
    </row>
    <row r="42" spans="1:10">
      <c r="A42" s="163" t="s">
        <v>297</v>
      </c>
      <c r="B42" s="115">
        <v>22749</v>
      </c>
      <c r="C42" s="113">
        <v>0.43099999999999999</v>
      </c>
      <c r="D42" s="113">
        <v>0.42899999999999999</v>
      </c>
      <c r="E42" s="113">
        <v>0.42499999999999999</v>
      </c>
      <c r="F42" s="113">
        <v>0.41599999999999998</v>
      </c>
      <c r="G42" s="113">
        <v>0.41199999999999998</v>
      </c>
      <c r="H42" s="114">
        <v>0.39600000000000002</v>
      </c>
    </row>
    <row r="43" spans="1:10">
      <c r="A43" s="163" t="s">
        <v>297</v>
      </c>
      <c r="B43" s="115">
        <v>25276</v>
      </c>
      <c r="C43" s="113">
        <v>0.441</v>
      </c>
      <c r="D43" s="113">
        <v>0.439</v>
      </c>
      <c r="E43" s="113">
        <v>0.435</v>
      </c>
      <c r="F43" s="113">
        <v>0.42599999999999999</v>
      </c>
      <c r="G43" s="113">
        <v>0.42199999999999999</v>
      </c>
      <c r="H43" s="114">
        <v>0.40799999999999997</v>
      </c>
    </row>
    <row r="44" spans="1:10" ht="16" thickBot="1">
      <c r="A44" s="164" t="s">
        <v>298</v>
      </c>
      <c r="B44" s="116">
        <v>25276</v>
      </c>
      <c r="C44" s="117">
        <v>0.45100000000000001</v>
      </c>
      <c r="D44" s="117">
        <v>0.44900000000000001</v>
      </c>
      <c r="E44" s="117">
        <v>0.44500000000000001</v>
      </c>
      <c r="F44" s="117">
        <v>0.436</v>
      </c>
      <c r="G44" s="117">
        <v>0.432</v>
      </c>
      <c r="H44" s="118">
        <v>0.41799999999999998</v>
      </c>
    </row>
    <row r="45" spans="1:10">
      <c r="A45" s="159"/>
      <c r="B45" s="159"/>
      <c r="C45" s="160"/>
      <c r="D45" s="159"/>
      <c r="E45" s="159"/>
      <c r="F45" s="159"/>
      <c r="G45" s="159"/>
      <c r="H45" s="159"/>
    </row>
    <row r="46" spans="1:10">
      <c r="A46" s="159"/>
      <c r="B46" s="159"/>
      <c r="C46" s="160"/>
      <c r="D46" s="159"/>
      <c r="E46" s="159"/>
      <c r="F46" s="159"/>
      <c r="G46" s="159"/>
      <c r="H46" s="161"/>
    </row>
    <row r="47" spans="1:10" ht="16">
      <c r="A47" s="159"/>
      <c r="B47" s="200" t="s">
        <v>362</v>
      </c>
      <c r="C47" s="201"/>
      <c r="D47" s="201"/>
      <c r="E47" s="201"/>
      <c r="F47" s="201"/>
      <c r="G47" s="201"/>
      <c r="H47" s="161"/>
    </row>
    <row r="48" spans="1:10">
      <c r="A48" s="159"/>
      <c r="B48" s="159"/>
      <c r="C48" s="160"/>
      <c r="D48" s="161"/>
      <c r="E48" s="161"/>
      <c r="F48" s="161"/>
      <c r="G48" s="161"/>
      <c r="H48" s="161"/>
    </row>
    <row r="49" spans="1:10">
      <c r="A49" s="202" t="s">
        <v>299</v>
      </c>
      <c r="B49" s="202"/>
      <c r="C49" s="202"/>
      <c r="D49" s="202"/>
      <c r="E49" s="202"/>
      <c r="F49" s="202"/>
      <c r="G49" s="202"/>
      <c r="H49" s="202"/>
    </row>
    <row r="50" spans="1:10">
      <c r="A50" s="203" t="s">
        <v>300</v>
      </c>
      <c r="B50" s="203"/>
      <c r="C50" s="203"/>
      <c r="D50" s="203"/>
      <c r="E50" s="203"/>
      <c r="F50" s="203"/>
      <c r="G50" s="203"/>
      <c r="H50" s="203"/>
    </row>
    <row r="51" spans="1:10" ht="16" thickBot="1">
      <c r="A51" s="165"/>
      <c r="B51" s="165"/>
      <c r="C51" s="166"/>
      <c r="D51" s="167"/>
      <c r="E51" s="167"/>
      <c r="F51" s="167"/>
      <c r="G51" s="167"/>
      <c r="H51" s="167"/>
    </row>
    <row r="52" spans="1:10" ht="16" thickBot="1">
      <c r="A52" s="204" t="s">
        <v>293</v>
      </c>
      <c r="B52" s="205"/>
      <c r="C52" s="206" t="s">
        <v>294</v>
      </c>
      <c r="D52" s="207"/>
      <c r="E52" s="207"/>
      <c r="F52" s="207"/>
      <c r="G52" s="207"/>
      <c r="H52" s="208"/>
    </row>
    <row r="53" spans="1:10" ht="16" thickBot="1">
      <c r="A53" s="198" t="s">
        <v>295</v>
      </c>
      <c r="B53" s="199"/>
      <c r="C53" s="107">
        <v>0</v>
      </c>
      <c r="D53" s="107">
        <v>1</v>
      </c>
      <c r="E53" s="107">
        <v>2</v>
      </c>
      <c r="F53" s="107">
        <v>3</v>
      </c>
      <c r="G53" s="107">
        <v>4</v>
      </c>
      <c r="H53" s="108" t="s">
        <v>296</v>
      </c>
    </row>
    <row r="54" spans="1:10" ht="15" customHeight="1">
      <c r="A54" s="168" t="s">
        <v>297</v>
      </c>
      <c r="B54" s="109">
        <v>659</v>
      </c>
      <c r="C54" s="119">
        <v>0</v>
      </c>
      <c r="D54" s="119">
        <v>0</v>
      </c>
      <c r="E54" s="119">
        <v>0</v>
      </c>
      <c r="F54" s="119">
        <v>0</v>
      </c>
      <c r="G54" s="119">
        <v>0</v>
      </c>
      <c r="H54" s="120">
        <v>0</v>
      </c>
    </row>
    <row r="55" spans="1:10">
      <c r="A55" s="163" t="s">
        <v>297</v>
      </c>
      <c r="B55" s="112">
        <v>686</v>
      </c>
      <c r="C55" s="113">
        <v>1E-3</v>
      </c>
      <c r="D55" s="113">
        <v>0</v>
      </c>
      <c r="E55" s="113">
        <v>0</v>
      </c>
      <c r="F55" s="113">
        <v>0</v>
      </c>
      <c r="G55" s="113">
        <v>0</v>
      </c>
      <c r="H55" s="114">
        <v>0</v>
      </c>
    </row>
    <row r="56" spans="1:10">
      <c r="A56" s="163" t="s">
        <v>297</v>
      </c>
      <c r="B56" s="112">
        <v>708</v>
      </c>
      <c r="C56" s="113">
        <v>2.4E-2</v>
      </c>
      <c r="D56" s="113">
        <v>0</v>
      </c>
      <c r="E56" s="113">
        <v>0</v>
      </c>
      <c r="F56" s="113">
        <v>0</v>
      </c>
      <c r="G56" s="113">
        <v>0</v>
      </c>
      <c r="H56" s="114">
        <v>0</v>
      </c>
    </row>
    <row r="57" spans="1:10" s="21" customFormat="1">
      <c r="A57" s="163" t="s">
        <v>297</v>
      </c>
      <c r="B57" s="112">
        <v>754</v>
      </c>
      <c r="C57" s="113">
        <v>3.4000000000000002E-2</v>
      </c>
      <c r="D57" s="113">
        <v>0</v>
      </c>
      <c r="E57" s="113">
        <v>0</v>
      </c>
      <c r="F57" s="113">
        <v>0</v>
      </c>
      <c r="G57" s="113">
        <v>0</v>
      </c>
      <c r="H57" s="114">
        <v>0</v>
      </c>
      <c r="I57"/>
      <c r="J57"/>
    </row>
    <row r="58" spans="1:10" s="21" customFormat="1">
      <c r="A58" s="163" t="s">
        <v>297</v>
      </c>
      <c r="B58" s="112">
        <v>794</v>
      </c>
      <c r="C58" s="113">
        <v>4.8000000000000001E-2</v>
      </c>
      <c r="D58" s="113">
        <v>0.01</v>
      </c>
      <c r="E58" s="113">
        <v>0</v>
      </c>
      <c r="F58" s="113">
        <v>0</v>
      </c>
      <c r="G58" s="113">
        <v>0</v>
      </c>
      <c r="H58" s="114">
        <v>0</v>
      </c>
      <c r="I58"/>
      <c r="J58"/>
    </row>
    <row r="59" spans="1:10" s="21" customFormat="1">
      <c r="A59" s="163" t="s">
        <v>297</v>
      </c>
      <c r="B59" s="112">
        <v>836</v>
      </c>
      <c r="C59" s="113">
        <v>5.7000000000000002E-2</v>
      </c>
      <c r="D59" s="113">
        <v>1.9E-2</v>
      </c>
      <c r="E59" s="113">
        <v>0.01</v>
      </c>
      <c r="F59" s="113">
        <v>0</v>
      </c>
      <c r="G59" s="113">
        <v>0</v>
      </c>
      <c r="H59" s="114">
        <v>0</v>
      </c>
      <c r="I59"/>
      <c r="J59"/>
    </row>
    <row r="60" spans="1:10" s="21" customFormat="1">
      <c r="A60" s="163" t="s">
        <v>297</v>
      </c>
      <c r="B60" s="115">
        <v>886</v>
      </c>
      <c r="C60" s="113">
        <v>6.6000000000000003E-2</v>
      </c>
      <c r="D60" s="113">
        <v>3.7999999999999999E-2</v>
      </c>
      <c r="E60" s="113">
        <v>1.2999999999999999E-2</v>
      </c>
      <c r="F60" s="113">
        <v>0</v>
      </c>
      <c r="G60" s="113">
        <v>0</v>
      </c>
      <c r="H60" s="114">
        <v>0</v>
      </c>
      <c r="I60"/>
      <c r="J60"/>
    </row>
    <row r="61" spans="1:10" s="21" customFormat="1">
      <c r="A61" s="163" t="s">
        <v>297</v>
      </c>
      <c r="B61" s="115">
        <v>974</v>
      </c>
      <c r="C61" s="113">
        <v>7.3999999999999996E-2</v>
      </c>
      <c r="D61" s="113">
        <v>4.7E-2</v>
      </c>
      <c r="E61" s="113">
        <v>0.03</v>
      </c>
      <c r="F61" s="113">
        <v>0</v>
      </c>
      <c r="G61" s="113">
        <v>0</v>
      </c>
      <c r="H61" s="114">
        <v>0</v>
      </c>
      <c r="I61"/>
      <c r="J61"/>
    </row>
    <row r="62" spans="1:10" s="21" customFormat="1">
      <c r="A62" s="163" t="s">
        <v>297</v>
      </c>
      <c r="B62" s="115">
        <v>1081</v>
      </c>
      <c r="C62" s="113">
        <v>8.3000000000000004E-2</v>
      </c>
      <c r="D62" s="113">
        <v>5.6000000000000001E-2</v>
      </c>
      <c r="E62" s="113">
        <v>3.7999999999999999E-2</v>
      </c>
      <c r="F62" s="113">
        <v>1.0999999999999999E-2</v>
      </c>
      <c r="G62" s="113">
        <v>0</v>
      </c>
      <c r="H62" s="114">
        <v>0</v>
      </c>
      <c r="I62"/>
      <c r="J62"/>
    </row>
    <row r="63" spans="1:10" s="21" customFormat="1">
      <c r="A63" s="163" t="s">
        <v>297</v>
      </c>
      <c r="B63" s="115">
        <v>1225</v>
      </c>
      <c r="C63" s="113">
        <v>9.4E-2</v>
      </c>
      <c r="D63" s="113">
        <v>7.0000000000000007E-2</v>
      </c>
      <c r="E63" s="113">
        <v>4.8000000000000001E-2</v>
      </c>
      <c r="F63" s="113">
        <v>2.1000000000000001E-2</v>
      </c>
      <c r="G63" s="113">
        <v>2E-3</v>
      </c>
      <c r="H63" s="114">
        <v>0</v>
      </c>
      <c r="I63"/>
      <c r="J63"/>
    </row>
    <row r="64" spans="1:10" s="21" customFormat="1">
      <c r="A64" s="163" t="s">
        <v>297</v>
      </c>
      <c r="B64" s="115">
        <v>1404</v>
      </c>
      <c r="C64" s="113">
        <v>0.109</v>
      </c>
      <c r="D64" s="113">
        <v>9.0999999999999998E-2</v>
      </c>
      <c r="E64" s="113">
        <v>7.1999999999999995E-2</v>
      </c>
      <c r="F64" s="113">
        <v>4.3999999999999997E-2</v>
      </c>
      <c r="G64" s="113">
        <v>2.7E-2</v>
      </c>
      <c r="H64" s="114">
        <v>1.7999999999999999E-2</v>
      </c>
      <c r="I64"/>
      <c r="J64"/>
    </row>
    <row r="65" spans="1:10" s="21" customFormat="1">
      <c r="A65" s="163" t="s">
        <v>297</v>
      </c>
      <c r="B65" s="115">
        <v>1629</v>
      </c>
      <c r="C65" s="113">
        <v>0.11899999999999999</v>
      </c>
      <c r="D65" s="113">
        <v>0.10199999999999999</v>
      </c>
      <c r="E65" s="113">
        <v>8.3000000000000004E-2</v>
      </c>
      <c r="F65" s="113">
        <v>6.4000000000000001E-2</v>
      </c>
      <c r="G65" s="113">
        <v>4.5999999999999999E-2</v>
      </c>
      <c r="H65" s="114">
        <v>2.8000000000000001E-2</v>
      </c>
      <c r="I65"/>
      <c r="J65"/>
    </row>
    <row r="66" spans="1:10" s="21" customFormat="1">
      <c r="A66" s="163" t="s">
        <v>297</v>
      </c>
      <c r="B66" s="115">
        <v>1733</v>
      </c>
      <c r="C66" s="113">
        <v>0.13400000000000001</v>
      </c>
      <c r="D66" s="113">
        <v>0.11600000000000001</v>
      </c>
      <c r="E66" s="113">
        <v>0.108</v>
      </c>
      <c r="F66" s="113">
        <v>7.9000000000000001E-2</v>
      </c>
      <c r="G66" s="113">
        <v>0.06</v>
      </c>
      <c r="H66" s="114">
        <v>5.1999999999999998E-2</v>
      </c>
      <c r="I66"/>
      <c r="J66"/>
    </row>
    <row r="67" spans="1:10" s="21" customFormat="1">
      <c r="A67" s="163" t="s">
        <v>297</v>
      </c>
      <c r="B67" s="115">
        <v>1849</v>
      </c>
      <c r="C67" s="113">
        <v>0.14299999999999999</v>
      </c>
      <c r="D67" s="113">
        <v>0.127</v>
      </c>
      <c r="E67" s="113">
        <v>0.11899999999999999</v>
      </c>
      <c r="F67" s="113">
        <v>9.1999999999999998E-2</v>
      </c>
      <c r="G67" s="113">
        <v>7.3999999999999996E-2</v>
      </c>
      <c r="H67" s="114">
        <v>6.6000000000000003E-2</v>
      </c>
      <c r="I67"/>
      <c r="J67"/>
    </row>
    <row r="68" spans="1:10" s="21" customFormat="1">
      <c r="A68" s="163" t="s">
        <v>297</v>
      </c>
      <c r="B68" s="115">
        <v>1998</v>
      </c>
      <c r="C68" s="113">
        <v>0.153</v>
      </c>
      <c r="D68" s="113">
        <v>0.13600000000000001</v>
      </c>
      <c r="E68" s="113">
        <v>0.128</v>
      </c>
      <c r="F68" s="113">
        <v>0.10199999999999999</v>
      </c>
      <c r="G68" s="113">
        <v>9.4E-2</v>
      </c>
      <c r="H68" s="114">
        <v>7.5999999999999998E-2</v>
      </c>
      <c r="I68"/>
      <c r="J68"/>
    </row>
    <row r="69" spans="1:10" s="21" customFormat="1">
      <c r="A69" s="163" t="s">
        <v>297</v>
      </c>
      <c r="B69" s="115">
        <v>2157</v>
      </c>
      <c r="C69" s="113">
        <v>0.16300000000000001</v>
      </c>
      <c r="D69" s="113">
        <v>0.14599999999999999</v>
      </c>
      <c r="E69" s="113">
        <v>0.13800000000000001</v>
      </c>
      <c r="F69" s="113">
        <v>0.111</v>
      </c>
      <c r="G69" s="113">
        <v>0.104</v>
      </c>
      <c r="H69" s="114">
        <v>8.6999999999999994E-2</v>
      </c>
      <c r="I69"/>
      <c r="J69"/>
    </row>
    <row r="70" spans="1:10" s="21" customFormat="1">
      <c r="A70" s="163" t="s">
        <v>297</v>
      </c>
      <c r="B70" s="115">
        <v>2347</v>
      </c>
      <c r="C70" s="113">
        <v>0.17299999999999999</v>
      </c>
      <c r="D70" s="113">
        <v>0.16600000000000001</v>
      </c>
      <c r="E70" s="113">
        <v>0.14899999999999999</v>
      </c>
      <c r="F70" s="113">
        <v>0.121</v>
      </c>
      <c r="G70" s="113">
        <v>0.113</v>
      </c>
      <c r="H70" s="114">
        <v>9.7000000000000003E-2</v>
      </c>
      <c r="I70"/>
      <c r="J70"/>
    </row>
    <row r="71" spans="1:10" s="21" customFormat="1">
      <c r="A71" s="163" t="s">
        <v>297</v>
      </c>
      <c r="B71" s="115">
        <v>2566</v>
      </c>
      <c r="C71" s="113">
        <v>0.182</v>
      </c>
      <c r="D71" s="113">
        <v>0.17599999999999999</v>
      </c>
      <c r="E71" s="113">
        <v>0.159</v>
      </c>
      <c r="F71" s="113">
        <v>0.14099999999999999</v>
      </c>
      <c r="G71" s="113">
        <v>0.123</v>
      </c>
      <c r="H71" s="114">
        <v>0.11600000000000001</v>
      </c>
      <c r="I71"/>
      <c r="J71"/>
    </row>
    <row r="72" spans="1:10" s="21" customFormat="1">
      <c r="A72" s="163" t="s">
        <v>297</v>
      </c>
      <c r="B72" s="115">
        <v>2934</v>
      </c>
      <c r="C72" s="113">
        <v>0.193</v>
      </c>
      <c r="D72" s="113">
        <v>0.186</v>
      </c>
      <c r="E72" s="113">
        <v>0.16900000000000001</v>
      </c>
      <c r="F72" s="113">
        <v>0.151</v>
      </c>
      <c r="G72" s="113">
        <v>0.13400000000000001</v>
      </c>
      <c r="H72" s="114">
        <v>0.126</v>
      </c>
      <c r="I72"/>
      <c r="J72"/>
    </row>
    <row r="73" spans="1:10" s="21" customFormat="1">
      <c r="A73" s="163" t="s">
        <v>297</v>
      </c>
      <c r="B73" s="115">
        <v>3356</v>
      </c>
      <c r="C73" s="113">
        <v>0.219</v>
      </c>
      <c r="D73" s="113">
        <v>0.218</v>
      </c>
      <c r="E73" s="113">
        <v>0.20200000000000001</v>
      </c>
      <c r="F73" s="113">
        <v>0.188</v>
      </c>
      <c r="G73" s="113">
        <v>0.17399999999999999</v>
      </c>
      <c r="H73" s="114">
        <v>0.17</v>
      </c>
      <c r="I73"/>
      <c r="J73"/>
    </row>
    <row r="74" spans="1:10" s="21" customFormat="1">
      <c r="A74" s="163" t="s">
        <v>297</v>
      </c>
      <c r="B74" s="115">
        <v>3611</v>
      </c>
      <c r="C74" s="113">
        <v>0.22900000000000001</v>
      </c>
      <c r="D74" s="113">
        <v>0.22800000000000001</v>
      </c>
      <c r="E74" s="113">
        <v>0.214</v>
      </c>
      <c r="F74" s="113">
        <v>0.19800000000000001</v>
      </c>
      <c r="G74" s="113">
        <v>0.19400000000000001</v>
      </c>
      <c r="H74" s="114">
        <v>0.18</v>
      </c>
      <c r="I74"/>
      <c r="J74"/>
    </row>
    <row r="75" spans="1:10" s="21" customFormat="1">
      <c r="A75" s="163" t="s">
        <v>297</v>
      </c>
      <c r="B75" s="115">
        <v>3882</v>
      </c>
      <c r="C75" s="113">
        <v>0.23899999999999999</v>
      </c>
      <c r="D75" s="113">
        <v>0.23799999999999999</v>
      </c>
      <c r="E75" s="113">
        <v>0.224</v>
      </c>
      <c r="F75" s="113">
        <v>0.21</v>
      </c>
      <c r="G75" s="113">
        <v>0.20399999999999999</v>
      </c>
      <c r="H75" s="114">
        <v>0.19</v>
      </c>
      <c r="I75"/>
      <c r="J75"/>
    </row>
    <row r="76" spans="1:10" s="21" customFormat="1">
      <c r="A76" s="163" t="s">
        <v>297</v>
      </c>
      <c r="B76" s="115">
        <v>4210</v>
      </c>
      <c r="C76" s="113">
        <v>0.249</v>
      </c>
      <c r="D76" s="113">
        <v>0.248</v>
      </c>
      <c r="E76" s="113">
        <v>0.23400000000000001</v>
      </c>
      <c r="F76" s="113">
        <v>0.22</v>
      </c>
      <c r="G76" s="113">
        <v>0.216</v>
      </c>
      <c r="H76" s="114">
        <v>0.21</v>
      </c>
      <c r="I76"/>
      <c r="J76"/>
    </row>
    <row r="77" spans="1:10" s="21" customFormat="1">
      <c r="A77" s="163" t="s">
        <v>297</v>
      </c>
      <c r="B77" s="115">
        <v>4604</v>
      </c>
      <c r="C77" s="113">
        <v>0.26400000000000001</v>
      </c>
      <c r="D77" s="113">
        <v>0.25800000000000001</v>
      </c>
      <c r="E77" s="113">
        <v>0.24399999999999999</v>
      </c>
      <c r="F77" s="113">
        <v>0.23</v>
      </c>
      <c r="G77" s="113">
        <v>0.22600000000000001</v>
      </c>
      <c r="H77" s="114">
        <v>0.222</v>
      </c>
      <c r="I77"/>
      <c r="J77"/>
    </row>
    <row r="78" spans="1:10" s="21" customFormat="1">
      <c r="A78" s="163" t="s">
        <v>297</v>
      </c>
      <c r="B78" s="115">
        <v>5076</v>
      </c>
      <c r="C78" s="113">
        <v>0.27400000000000002</v>
      </c>
      <c r="D78" s="113">
        <v>0.26800000000000002</v>
      </c>
      <c r="E78" s="113">
        <v>0.26400000000000001</v>
      </c>
      <c r="F78" s="113">
        <v>0.24</v>
      </c>
      <c r="G78" s="113">
        <v>0.23599999999999999</v>
      </c>
      <c r="H78" s="114">
        <v>0.23200000000000001</v>
      </c>
      <c r="I78"/>
      <c r="J78"/>
    </row>
    <row r="79" spans="1:10" s="21" customFormat="1">
      <c r="A79" s="163" t="s">
        <v>297</v>
      </c>
      <c r="B79" s="115">
        <v>5654</v>
      </c>
      <c r="C79" s="113">
        <v>0.28399999999999997</v>
      </c>
      <c r="D79" s="113">
        <v>0.27800000000000002</v>
      </c>
      <c r="E79" s="113">
        <v>0.27400000000000002</v>
      </c>
      <c r="F79" s="113">
        <v>0.25</v>
      </c>
      <c r="G79" s="113">
        <v>0.246</v>
      </c>
      <c r="H79" s="114">
        <v>0.24199999999999999</v>
      </c>
      <c r="I79"/>
      <c r="J79"/>
    </row>
    <row r="80" spans="1:10" s="21" customFormat="1">
      <c r="A80" s="163" t="s">
        <v>297</v>
      </c>
      <c r="B80" s="115">
        <v>6381</v>
      </c>
      <c r="C80" s="113">
        <v>0.29399999999999998</v>
      </c>
      <c r="D80" s="113">
        <v>0.28799999999999998</v>
      </c>
      <c r="E80" s="113">
        <v>0.28399999999999997</v>
      </c>
      <c r="F80" s="113">
        <v>0.26</v>
      </c>
      <c r="G80" s="113">
        <v>0.25600000000000001</v>
      </c>
      <c r="H80" s="114">
        <v>0.252</v>
      </c>
      <c r="I80"/>
      <c r="J80"/>
    </row>
    <row r="81" spans="1:10" s="21" customFormat="1">
      <c r="A81" s="163" t="s">
        <v>297</v>
      </c>
      <c r="B81" s="115">
        <v>7323</v>
      </c>
      <c r="C81" s="113">
        <v>0.30299999999999999</v>
      </c>
      <c r="D81" s="113">
        <v>0.30199999999999999</v>
      </c>
      <c r="E81" s="113">
        <v>0.29799999999999999</v>
      </c>
      <c r="F81" s="113">
        <v>0.27600000000000002</v>
      </c>
      <c r="G81" s="113">
        <v>0.27400000000000002</v>
      </c>
      <c r="H81" s="114">
        <v>0.27200000000000002</v>
      </c>
      <c r="I81"/>
      <c r="J81"/>
    </row>
    <row r="82" spans="1:10" s="21" customFormat="1">
      <c r="A82" s="163" t="s">
        <v>297</v>
      </c>
      <c r="B82" s="115">
        <v>8441</v>
      </c>
      <c r="C82" s="113">
        <v>0.313</v>
      </c>
      <c r="D82" s="113">
        <v>0.312</v>
      </c>
      <c r="E82" s="113">
        <v>0.31</v>
      </c>
      <c r="F82" s="113">
        <v>0.29599999999999999</v>
      </c>
      <c r="G82" s="113">
        <v>0.28399999999999997</v>
      </c>
      <c r="H82" s="114">
        <v>0.28199999999999997</v>
      </c>
      <c r="I82"/>
      <c r="J82"/>
    </row>
    <row r="83" spans="1:10" s="21" customFormat="1">
      <c r="A83" s="163" t="s">
        <v>297</v>
      </c>
      <c r="B83" s="115">
        <v>9336</v>
      </c>
      <c r="C83" s="113">
        <v>0.32800000000000001</v>
      </c>
      <c r="D83" s="113">
        <v>0.32700000000000001</v>
      </c>
      <c r="E83" s="113">
        <v>0.32500000000000001</v>
      </c>
      <c r="F83" s="113">
        <v>0.313</v>
      </c>
      <c r="G83" s="113">
        <v>0.29899999999999999</v>
      </c>
      <c r="H83" s="114">
        <v>0.29699999999999999</v>
      </c>
      <c r="I83"/>
      <c r="J83"/>
    </row>
    <row r="84" spans="1:10" s="21" customFormat="1">
      <c r="A84" s="163" t="s">
        <v>297</v>
      </c>
      <c r="B84" s="115">
        <v>10448</v>
      </c>
      <c r="C84" s="113">
        <v>0.33800000000000002</v>
      </c>
      <c r="D84" s="113">
        <v>0.33700000000000002</v>
      </c>
      <c r="E84" s="113">
        <v>0.33500000000000002</v>
      </c>
      <c r="F84" s="113">
        <v>0.32300000000000001</v>
      </c>
      <c r="G84" s="113">
        <v>0.32100000000000001</v>
      </c>
      <c r="H84" s="114">
        <v>0.30599999999999999</v>
      </c>
      <c r="I84"/>
      <c r="J84"/>
    </row>
    <row r="85" spans="1:10" s="21" customFormat="1">
      <c r="A85" s="163" t="s">
        <v>297</v>
      </c>
      <c r="B85" s="115">
        <v>14013</v>
      </c>
      <c r="C85" s="113">
        <v>0.35099999999999998</v>
      </c>
      <c r="D85" s="113">
        <v>0.35099999999999998</v>
      </c>
      <c r="E85" s="113">
        <v>0.34499999999999997</v>
      </c>
      <c r="F85" s="113">
        <v>0.33300000000000002</v>
      </c>
      <c r="G85" s="113">
        <v>0.33100000000000002</v>
      </c>
      <c r="H85" s="114">
        <v>0.31900000000000001</v>
      </c>
      <c r="I85"/>
      <c r="J85"/>
    </row>
    <row r="86" spans="1:10" s="21" customFormat="1">
      <c r="A86" s="163" t="s">
        <v>297</v>
      </c>
      <c r="B86" s="115">
        <v>20118</v>
      </c>
      <c r="C86" s="113">
        <v>0.371</v>
      </c>
      <c r="D86" s="113">
        <v>0.371</v>
      </c>
      <c r="E86" s="121">
        <v>0.36899999999999999</v>
      </c>
      <c r="F86" s="113">
        <v>0.35199999999999998</v>
      </c>
      <c r="G86" s="169">
        <v>0.35599999999999998</v>
      </c>
      <c r="H86" s="114">
        <v>0.34399999999999997</v>
      </c>
      <c r="I86"/>
      <c r="J86"/>
    </row>
    <row r="87" spans="1:10" s="21" customFormat="1">
      <c r="A87" s="163" t="s">
        <v>297</v>
      </c>
      <c r="B87" s="115">
        <v>22749</v>
      </c>
      <c r="C87" s="113">
        <v>0.38100000000000001</v>
      </c>
      <c r="D87" s="113">
        <v>0.38100000000000001</v>
      </c>
      <c r="E87" s="121">
        <v>0.379</v>
      </c>
      <c r="F87" s="113">
        <v>0.372</v>
      </c>
      <c r="G87" s="169">
        <v>0.36599999999999999</v>
      </c>
      <c r="H87" s="114">
        <v>0.35399999999999998</v>
      </c>
      <c r="I87"/>
      <c r="J87"/>
    </row>
    <row r="88" spans="1:10" s="21" customFormat="1">
      <c r="A88" s="170" t="s">
        <v>297</v>
      </c>
      <c r="B88" s="115">
        <v>25276</v>
      </c>
      <c r="C88" s="169">
        <v>0.39100000000000001</v>
      </c>
      <c r="D88" s="113">
        <v>0.39100000000000001</v>
      </c>
      <c r="E88" s="169">
        <v>0.38900000000000001</v>
      </c>
      <c r="F88" s="113">
        <v>0.38200000000000001</v>
      </c>
      <c r="G88" s="169">
        <v>0.38</v>
      </c>
      <c r="H88" s="114">
        <v>0.36399999999999999</v>
      </c>
      <c r="I88"/>
      <c r="J88"/>
    </row>
    <row r="89" spans="1:10">
      <c r="A89" s="170" t="s">
        <v>297</v>
      </c>
      <c r="B89" s="115">
        <v>28309</v>
      </c>
      <c r="C89" s="169">
        <v>0.40100000000000002</v>
      </c>
      <c r="D89" s="113">
        <v>0.40100000000000002</v>
      </c>
      <c r="E89" s="169">
        <v>0.39900000000000002</v>
      </c>
      <c r="F89" s="113">
        <v>0.39200000000000002</v>
      </c>
      <c r="G89" s="169">
        <v>0.39</v>
      </c>
      <c r="H89" s="114">
        <v>0.378</v>
      </c>
    </row>
    <row r="90" spans="1:10" ht="16" thickBot="1">
      <c r="A90" s="171" t="s">
        <v>298</v>
      </c>
      <c r="B90" s="116">
        <v>28309</v>
      </c>
      <c r="C90" s="122">
        <v>0.41099999999999998</v>
      </c>
      <c r="D90" s="117">
        <v>0.41099999999999998</v>
      </c>
      <c r="E90" s="122">
        <v>0.40899999999999997</v>
      </c>
      <c r="F90" s="117">
        <v>0.40200000000000002</v>
      </c>
      <c r="G90" s="122">
        <v>0.4</v>
      </c>
      <c r="H90" s="118">
        <v>0.38800000000000001</v>
      </c>
    </row>
    <row r="91" spans="1:10">
      <c r="A91" s="159"/>
      <c r="B91" s="159"/>
      <c r="C91" s="160"/>
      <c r="D91" s="159"/>
      <c r="E91" s="159"/>
      <c r="F91" s="159"/>
      <c r="G91" s="159"/>
      <c r="H91" s="159"/>
    </row>
    <row r="92" spans="1:10">
      <c r="A92" s="159"/>
      <c r="B92" s="159"/>
      <c r="C92" s="160"/>
      <c r="D92" s="159"/>
      <c r="E92" s="159"/>
      <c r="F92" s="159"/>
      <c r="G92" s="159"/>
      <c r="H92" s="159"/>
    </row>
    <row r="93" spans="1:10" ht="16">
      <c r="A93" s="159"/>
      <c r="B93" s="200" t="s">
        <v>362</v>
      </c>
      <c r="C93" s="201"/>
      <c r="D93" s="201"/>
      <c r="E93" s="201"/>
      <c r="F93" s="201"/>
      <c r="G93" s="201"/>
      <c r="H93" s="161"/>
    </row>
    <row r="94" spans="1:10">
      <c r="A94" s="159"/>
      <c r="B94" s="159"/>
      <c r="C94" s="160"/>
      <c r="D94" s="161"/>
      <c r="E94" s="161"/>
      <c r="F94" s="161"/>
      <c r="G94" s="161"/>
      <c r="H94" s="161"/>
    </row>
    <row r="95" spans="1:10">
      <c r="A95" s="202" t="s">
        <v>301</v>
      </c>
      <c r="B95" s="202"/>
      <c r="C95" s="202"/>
      <c r="D95" s="202"/>
      <c r="E95" s="202"/>
      <c r="F95" s="202"/>
      <c r="G95" s="202"/>
      <c r="H95" s="202"/>
    </row>
    <row r="96" spans="1:10">
      <c r="A96" s="203" t="s">
        <v>302</v>
      </c>
      <c r="B96" s="203"/>
      <c r="C96" s="203"/>
      <c r="D96" s="203"/>
      <c r="E96" s="203"/>
      <c r="F96" s="203"/>
      <c r="G96" s="203"/>
      <c r="H96" s="203"/>
    </row>
    <row r="97" spans="1:10" ht="16" thickBot="1">
      <c r="A97" s="165"/>
      <c r="B97" s="165"/>
      <c r="C97" s="166"/>
      <c r="D97" s="167"/>
      <c r="E97" s="167"/>
      <c r="F97" s="167"/>
      <c r="G97" s="167"/>
      <c r="H97" s="167"/>
    </row>
    <row r="98" spans="1:10" ht="16" thickBot="1">
      <c r="A98" s="204" t="s">
        <v>293</v>
      </c>
      <c r="B98" s="205"/>
      <c r="C98" s="206" t="s">
        <v>294</v>
      </c>
      <c r="D98" s="207"/>
      <c r="E98" s="207"/>
      <c r="F98" s="207"/>
      <c r="G98" s="207"/>
      <c r="H98" s="208"/>
    </row>
    <row r="99" spans="1:10" ht="16" thickBot="1">
      <c r="A99" s="198" t="s">
        <v>295</v>
      </c>
      <c r="B99" s="199"/>
      <c r="C99" s="107">
        <v>0</v>
      </c>
      <c r="D99" s="107">
        <v>1</v>
      </c>
      <c r="E99" s="107">
        <v>2</v>
      </c>
      <c r="F99" s="107">
        <v>3</v>
      </c>
      <c r="G99" s="107">
        <v>4</v>
      </c>
      <c r="H99" s="108" t="s">
        <v>296</v>
      </c>
    </row>
    <row r="100" spans="1:10">
      <c r="A100" s="168" t="s">
        <v>297</v>
      </c>
      <c r="B100" s="109">
        <v>659</v>
      </c>
      <c r="C100" s="110">
        <v>0</v>
      </c>
      <c r="D100" s="110">
        <v>0</v>
      </c>
      <c r="E100" s="119">
        <v>0</v>
      </c>
      <c r="F100" s="119">
        <v>0</v>
      </c>
      <c r="G100" s="119">
        <v>0</v>
      </c>
      <c r="H100" s="120">
        <v>0</v>
      </c>
    </row>
    <row r="101" spans="1:10">
      <c r="A101" s="163" t="s">
        <v>297</v>
      </c>
      <c r="B101" s="112">
        <v>686</v>
      </c>
      <c r="C101" s="113" t="s">
        <v>363</v>
      </c>
      <c r="D101" s="113">
        <v>0</v>
      </c>
      <c r="E101" s="113">
        <v>0</v>
      </c>
      <c r="F101" s="113">
        <v>0</v>
      </c>
      <c r="G101" s="113">
        <v>0</v>
      </c>
      <c r="H101" s="114">
        <v>0</v>
      </c>
    </row>
    <row r="102" spans="1:10" ht="15" customHeight="1">
      <c r="A102" s="163" t="s">
        <v>297</v>
      </c>
      <c r="B102" s="112">
        <v>718</v>
      </c>
      <c r="C102" s="113" t="s">
        <v>364</v>
      </c>
      <c r="D102" s="113">
        <v>1.2999999999999999E-2</v>
      </c>
      <c r="E102" s="113">
        <v>8.9999999999999993E-3</v>
      </c>
      <c r="F102" s="113">
        <v>4.0000000000000001E-3</v>
      </c>
      <c r="G102" s="113">
        <v>0</v>
      </c>
      <c r="H102" s="114">
        <v>0</v>
      </c>
    </row>
    <row r="103" spans="1:10">
      <c r="A103" s="163" t="s">
        <v>297</v>
      </c>
      <c r="B103" s="112">
        <v>739</v>
      </c>
      <c r="C103" s="113">
        <v>7.2999999999999995E-2</v>
      </c>
      <c r="D103" s="113">
        <v>4.3999999999999997E-2</v>
      </c>
      <c r="E103" s="113">
        <v>2.5999999999999999E-2</v>
      </c>
      <c r="F103" s="113">
        <v>7.0000000000000001E-3</v>
      </c>
      <c r="G103" s="113">
        <v>0</v>
      </c>
      <c r="H103" s="114">
        <v>0</v>
      </c>
    </row>
    <row r="104" spans="1:10" s="21" customFormat="1">
      <c r="A104" s="163" t="s">
        <v>297</v>
      </c>
      <c r="B104" s="112">
        <v>814</v>
      </c>
      <c r="C104" s="113">
        <v>8.2000000000000003E-2</v>
      </c>
      <c r="D104" s="113">
        <v>5.2999999999999999E-2</v>
      </c>
      <c r="E104" s="113">
        <v>3.5000000000000003E-2</v>
      </c>
      <c r="F104" s="113">
        <v>2.5999999999999999E-2</v>
      </c>
      <c r="G104" s="113">
        <v>7.0000000000000001E-3</v>
      </c>
      <c r="H104" s="114">
        <v>0</v>
      </c>
      <c r="I104"/>
      <c r="J104"/>
    </row>
    <row r="105" spans="1:10" s="21" customFormat="1">
      <c r="A105" s="163" t="s">
        <v>297</v>
      </c>
      <c r="B105" s="112">
        <v>922</v>
      </c>
      <c r="C105" s="113">
        <v>0.104</v>
      </c>
      <c r="D105" s="113">
        <v>7.5999999999999998E-2</v>
      </c>
      <c r="E105" s="113">
        <v>6.7000000000000004E-2</v>
      </c>
      <c r="F105" s="113">
        <v>3.9E-2</v>
      </c>
      <c r="G105" s="113">
        <v>3.2000000000000001E-2</v>
      </c>
      <c r="H105" s="114">
        <v>1.2999999999999999E-2</v>
      </c>
      <c r="I105"/>
      <c r="J105"/>
    </row>
    <row r="106" spans="1:10" s="21" customFormat="1">
      <c r="A106" s="163" t="s">
        <v>297</v>
      </c>
      <c r="B106" s="115">
        <v>1005</v>
      </c>
      <c r="C106" s="113">
        <v>0.11600000000000001</v>
      </c>
      <c r="D106" s="113">
        <v>8.8999999999999996E-2</v>
      </c>
      <c r="E106" s="113">
        <v>8.1000000000000003E-2</v>
      </c>
      <c r="F106" s="113">
        <v>5.2999999999999999E-2</v>
      </c>
      <c r="G106" s="113">
        <v>4.4999999999999998E-2</v>
      </c>
      <c r="H106" s="114">
        <v>3.2000000000000001E-2</v>
      </c>
      <c r="I106"/>
      <c r="J106"/>
    </row>
    <row r="107" spans="1:10" s="21" customFormat="1">
      <c r="A107" s="163" t="s">
        <v>297</v>
      </c>
      <c r="B107" s="115">
        <v>1065</v>
      </c>
      <c r="C107" s="113">
        <v>0.124</v>
      </c>
      <c r="D107" s="113">
        <v>9.8000000000000004E-2</v>
      </c>
      <c r="E107" s="113">
        <v>8.8999999999999996E-2</v>
      </c>
      <c r="F107" s="113">
        <v>6.2E-2</v>
      </c>
      <c r="G107" s="113">
        <v>4.9000000000000002E-2</v>
      </c>
      <c r="H107" s="114">
        <v>0.04</v>
      </c>
      <c r="I107"/>
      <c r="J107"/>
    </row>
    <row r="108" spans="1:10" s="21" customFormat="1">
      <c r="A108" s="163" t="s">
        <v>297</v>
      </c>
      <c r="B108" s="115">
        <v>1143</v>
      </c>
      <c r="C108" s="113">
        <v>0.13500000000000001</v>
      </c>
      <c r="D108" s="113">
        <v>0.11700000000000001</v>
      </c>
      <c r="E108" s="113">
        <v>0.109</v>
      </c>
      <c r="F108" s="113">
        <v>8.2000000000000003E-2</v>
      </c>
      <c r="G108" s="113">
        <v>7.2999999999999995E-2</v>
      </c>
      <c r="H108" s="114">
        <v>5.5E-2</v>
      </c>
      <c r="I108"/>
      <c r="J108"/>
    </row>
    <row r="109" spans="1:10" s="21" customFormat="1">
      <c r="A109" s="163" t="s">
        <v>297</v>
      </c>
      <c r="B109" s="115">
        <v>1225</v>
      </c>
      <c r="C109" s="113">
        <v>0.14499999999999999</v>
      </c>
      <c r="D109" s="113">
        <v>0.128</v>
      </c>
      <c r="E109" s="113">
        <v>0.11799999999999999</v>
      </c>
      <c r="F109" s="113">
        <v>9.1999999999999998E-2</v>
      </c>
      <c r="G109" s="113">
        <v>8.3000000000000004E-2</v>
      </c>
      <c r="H109" s="114">
        <v>6.5000000000000002E-2</v>
      </c>
      <c r="I109"/>
      <c r="J109"/>
    </row>
    <row r="110" spans="1:10" s="21" customFormat="1">
      <c r="A110" s="163" t="s">
        <v>297</v>
      </c>
      <c r="B110" s="115">
        <v>1321</v>
      </c>
      <c r="C110" s="113">
        <v>0.156</v>
      </c>
      <c r="D110" s="113">
        <v>0.14799999999999999</v>
      </c>
      <c r="E110" s="113">
        <v>0.13</v>
      </c>
      <c r="F110" s="113">
        <v>0.11</v>
      </c>
      <c r="G110" s="113">
        <v>9.2999999999999999E-2</v>
      </c>
      <c r="H110" s="114">
        <v>8.4000000000000005E-2</v>
      </c>
      <c r="I110"/>
      <c r="J110"/>
    </row>
    <row r="111" spans="1:10" s="21" customFormat="1">
      <c r="A111" s="163" t="s">
        <v>297</v>
      </c>
      <c r="B111" s="115">
        <v>1424</v>
      </c>
      <c r="C111" s="113">
        <v>0.16600000000000001</v>
      </c>
      <c r="D111" s="113">
        <v>0.158</v>
      </c>
      <c r="E111" s="113">
        <v>0.14000000000000001</v>
      </c>
      <c r="F111" s="113">
        <v>0.122</v>
      </c>
      <c r="G111" s="113">
        <v>0.10299999999999999</v>
      </c>
      <c r="H111" s="114">
        <v>9.5000000000000001E-2</v>
      </c>
      <c r="I111"/>
      <c r="J111"/>
    </row>
    <row r="112" spans="1:10" s="21" customFormat="1">
      <c r="A112" s="163" t="s">
        <v>297</v>
      </c>
      <c r="B112" s="115">
        <v>1562</v>
      </c>
      <c r="C112" s="113">
        <v>0.17699999999999999</v>
      </c>
      <c r="D112" s="113">
        <v>0.16900000000000001</v>
      </c>
      <c r="E112" s="113">
        <v>0.15</v>
      </c>
      <c r="F112" s="113">
        <v>0.13200000000000001</v>
      </c>
      <c r="G112" s="113">
        <v>0.114</v>
      </c>
      <c r="H112" s="114">
        <v>0.105</v>
      </c>
      <c r="I112"/>
      <c r="J112"/>
    </row>
    <row r="113" spans="1:10" s="21" customFormat="1">
      <c r="A113" s="163" t="s">
        <v>297</v>
      </c>
      <c r="B113" s="115">
        <v>1711</v>
      </c>
      <c r="C113" s="113">
        <v>0.191</v>
      </c>
      <c r="D113" s="113">
        <v>0.183</v>
      </c>
      <c r="E113" s="113">
        <v>0.16600000000000001</v>
      </c>
      <c r="F113" s="113">
        <v>0.14699999999999999</v>
      </c>
      <c r="G113" s="113">
        <v>0.13800000000000001</v>
      </c>
      <c r="H113" s="114">
        <v>0.12</v>
      </c>
      <c r="I113"/>
      <c r="J113"/>
    </row>
    <row r="114" spans="1:10" s="21" customFormat="1">
      <c r="A114" s="163" t="s">
        <v>297</v>
      </c>
      <c r="B114" s="115">
        <v>1870</v>
      </c>
      <c r="C114" s="113">
        <v>0.20499999999999999</v>
      </c>
      <c r="D114" s="113">
        <v>0.19900000000000001</v>
      </c>
      <c r="E114" s="113">
        <v>0.182</v>
      </c>
      <c r="F114" s="113">
        <v>0.16500000000000001</v>
      </c>
      <c r="G114" s="113">
        <v>0.157</v>
      </c>
      <c r="H114" s="114">
        <v>0.13900000000000001</v>
      </c>
      <c r="I114"/>
      <c r="J114"/>
    </row>
    <row r="115" spans="1:10" s="21" customFormat="1">
      <c r="A115" s="163" t="s">
        <v>297</v>
      </c>
      <c r="B115" s="115">
        <v>1977</v>
      </c>
      <c r="C115" s="113">
        <v>0.215</v>
      </c>
      <c r="D115" s="113">
        <v>0.21</v>
      </c>
      <c r="E115" s="113">
        <v>0.191</v>
      </c>
      <c r="F115" s="113">
        <v>0.17399999999999999</v>
      </c>
      <c r="G115" s="113">
        <v>0.16600000000000001</v>
      </c>
      <c r="H115" s="114">
        <v>0.14899999999999999</v>
      </c>
      <c r="I115"/>
      <c r="J115"/>
    </row>
    <row r="116" spans="1:10" s="21" customFormat="1">
      <c r="A116" s="163" t="s">
        <v>297</v>
      </c>
      <c r="B116" s="115">
        <v>2090</v>
      </c>
      <c r="C116" s="113">
        <v>0.22500000000000001</v>
      </c>
      <c r="D116" s="113">
        <v>0.22</v>
      </c>
      <c r="E116" s="113">
        <v>0.20200000000000001</v>
      </c>
      <c r="F116" s="113">
        <v>0.183</v>
      </c>
      <c r="G116" s="113">
        <v>0.17599999999999999</v>
      </c>
      <c r="H116" s="114">
        <v>0.16800000000000001</v>
      </c>
      <c r="I116"/>
      <c r="J116"/>
    </row>
    <row r="117" spans="1:10" s="21" customFormat="1">
      <c r="A117" s="163" t="s">
        <v>297</v>
      </c>
      <c r="B117" s="115">
        <v>2218</v>
      </c>
      <c r="C117" s="113">
        <v>0.23499999999999999</v>
      </c>
      <c r="D117" s="113">
        <v>0.23</v>
      </c>
      <c r="E117" s="113">
        <v>0.21299999999999999</v>
      </c>
      <c r="F117" s="113">
        <v>0.19500000000000001</v>
      </c>
      <c r="G117" s="113">
        <v>0.185</v>
      </c>
      <c r="H117" s="114">
        <v>0.17899999999999999</v>
      </c>
      <c r="I117"/>
      <c r="J117"/>
    </row>
    <row r="118" spans="1:10" s="21" customFormat="1">
      <c r="A118" s="163" t="s">
        <v>297</v>
      </c>
      <c r="B118" s="115">
        <v>2367</v>
      </c>
      <c r="C118" s="113">
        <v>0.245</v>
      </c>
      <c r="D118" s="113">
        <v>0.24099999999999999</v>
      </c>
      <c r="E118" s="113">
        <v>0.23300000000000001</v>
      </c>
      <c r="F118" s="113">
        <v>0.20499999999999999</v>
      </c>
      <c r="G118" s="113">
        <v>0.19700000000000001</v>
      </c>
      <c r="H118" s="114">
        <v>0.188</v>
      </c>
      <c r="I118"/>
      <c r="J118"/>
    </row>
    <row r="119" spans="1:10" s="21" customFormat="1">
      <c r="A119" s="163" t="s">
        <v>297</v>
      </c>
      <c r="B119" s="115">
        <v>2535</v>
      </c>
      <c r="C119" s="113">
        <v>0.255</v>
      </c>
      <c r="D119" s="113">
        <v>0.251</v>
      </c>
      <c r="E119" s="113">
        <v>0.24299999999999999</v>
      </c>
      <c r="F119" s="113">
        <v>0.216</v>
      </c>
      <c r="G119" s="113">
        <v>0.20799999999999999</v>
      </c>
      <c r="H119" s="114">
        <v>0.2</v>
      </c>
      <c r="I119"/>
      <c r="J119"/>
    </row>
    <row r="120" spans="1:10" s="21" customFormat="1">
      <c r="A120" s="163" t="s">
        <v>297</v>
      </c>
      <c r="B120" s="115">
        <v>2767</v>
      </c>
      <c r="C120" s="113">
        <v>0.26500000000000001</v>
      </c>
      <c r="D120" s="113">
        <v>0.26</v>
      </c>
      <c r="E120" s="113">
        <v>0.253</v>
      </c>
      <c r="F120" s="113">
        <v>0.22600000000000001</v>
      </c>
      <c r="G120" s="113">
        <v>0.218</v>
      </c>
      <c r="H120" s="114">
        <v>0.21</v>
      </c>
      <c r="I120"/>
      <c r="J120"/>
    </row>
    <row r="121" spans="1:10" s="21" customFormat="1">
      <c r="A121" s="163" t="s">
        <v>297</v>
      </c>
      <c r="B121" s="115">
        <v>3104</v>
      </c>
      <c r="C121" s="113">
        <v>0.27800000000000002</v>
      </c>
      <c r="D121" s="113">
        <v>0.27300000000000002</v>
      </c>
      <c r="E121" s="113">
        <v>0.26500000000000001</v>
      </c>
      <c r="F121" s="113">
        <v>0.23799999999999999</v>
      </c>
      <c r="G121" s="113">
        <v>0.23</v>
      </c>
      <c r="H121" s="114">
        <v>0.222</v>
      </c>
      <c r="I121"/>
      <c r="J121"/>
    </row>
    <row r="122" spans="1:10" s="21" customFormat="1">
      <c r="A122" s="163" t="s">
        <v>297</v>
      </c>
      <c r="B122" s="115">
        <v>3534</v>
      </c>
      <c r="C122" s="113">
        <v>0.29399999999999998</v>
      </c>
      <c r="D122" s="113">
        <v>0.29299999999999998</v>
      </c>
      <c r="E122" s="113">
        <v>0.28899999999999998</v>
      </c>
      <c r="F122" s="113">
        <v>0.26500000000000001</v>
      </c>
      <c r="G122" s="113">
        <v>0.26100000000000001</v>
      </c>
      <c r="H122" s="114">
        <v>0.25700000000000001</v>
      </c>
      <c r="I122"/>
      <c r="J122"/>
    </row>
    <row r="123" spans="1:10" s="21" customFormat="1">
      <c r="A123" s="163" t="s">
        <v>297</v>
      </c>
      <c r="B123" s="115">
        <v>4118</v>
      </c>
      <c r="C123" s="113">
        <v>0.30499999999999999</v>
      </c>
      <c r="D123" s="113">
        <v>0.30499999999999999</v>
      </c>
      <c r="E123" s="113">
        <v>0.29899999999999999</v>
      </c>
      <c r="F123" s="113">
        <v>0.28499999999999998</v>
      </c>
      <c r="G123" s="113">
        <v>0.27100000000000002</v>
      </c>
      <c r="H123" s="114">
        <v>0.26700000000000002</v>
      </c>
      <c r="I123"/>
      <c r="J123"/>
    </row>
    <row r="124" spans="1:10" s="21" customFormat="1">
      <c r="A124" s="163" t="s">
        <v>297</v>
      </c>
      <c r="B124" s="115">
        <v>4650</v>
      </c>
      <c r="C124" s="113">
        <v>0.32300000000000001</v>
      </c>
      <c r="D124" s="113">
        <v>0.32</v>
      </c>
      <c r="E124" s="113">
        <v>0.316</v>
      </c>
      <c r="F124" s="113">
        <v>0.29899999999999999</v>
      </c>
      <c r="G124" s="113">
        <v>0.28599999999999998</v>
      </c>
      <c r="H124" s="114">
        <v>0.28199999999999997</v>
      </c>
      <c r="I124"/>
      <c r="J124"/>
    </row>
    <row r="125" spans="1:10" s="21" customFormat="1">
      <c r="A125" s="163" t="s">
        <v>297</v>
      </c>
      <c r="B125" s="115">
        <v>5194</v>
      </c>
      <c r="C125" s="113">
        <v>0.33300000000000002</v>
      </c>
      <c r="D125" s="113">
        <v>0.33</v>
      </c>
      <c r="E125" s="113">
        <v>0.32600000000000001</v>
      </c>
      <c r="F125" s="113">
        <v>0.312</v>
      </c>
      <c r="G125" s="113">
        <v>0.30499999999999999</v>
      </c>
      <c r="H125" s="114">
        <v>0.29199999999999998</v>
      </c>
      <c r="I125"/>
      <c r="J125"/>
    </row>
    <row r="126" spans="1:10" s="21" customFormat="1">
      <c r="A126" s="163" t="s">
        <v>297</v>
      </c>
      <c r="B126" s="115">
        <v>5880</v>
      </c>
      <c r="C126" s="113">
        <v>0.34300000000000003</v>
      </c>
      <c r="D126" s="113">
        <v>0.34</v>
      </c>
      <c r="E126" s="113">
        <v>0.33600000000000002</v>
      </c>
      <c r="F126" s="113">
        <v>0.32200000000000001</v>
      </c>
      <c r="G126" s="113">
        <v>0.318</v>
      </c>
      <c r="H126" s="114">
        <v>0.30099999999999999</v>
      </c>
      <c r="I126"/>
      <c r="J126"/>
    </row>
    <row r="127" spans="1:10" s="21" customFormat="1">
      <c r="A127" s="163" t="s">
        <v>297</v>
      </c>
      <c r="B127" s="115">
        <v>6727</v>
      </c>
      <c r="C127" s="113">
        <v>0.36299999999999999</v>
      </c>
      <c r="D127" s="113">
        <v>0.36099999999999999</v>
      </c>
      <c r="E127" s="113">
        <v>0.35499999999999998</v>
      </c>
      <c r="F127" s="113">
        <v>0.34799999999999998</v>
      </c>
      <c r="G127" s="113">
        <v>0.34599999999999997</v>
      </c>
      <c r="H127" s="114">
        <v>0.34399999999999997</v>
      </c>
      <c r="I127"/>
      <c r="J127"/>
    </row>
    <row r="128" spans="1:10" s="21" customFormat="1">
      <c r="A128" s="163" t="s">
        <v>297</v>
      </c>
      <c r="B128" s="115">
        <v>7939</v>
      </c>
      <c r="C128" s="113">
        <v>0.373</v>
      </c>
      <c r="D128" s="113">
        <v>0.371</v>
      </c>
      <c r="E128" s="113">
        <v>0.36899999999999999</v>
      </c>
      <c r="F128" s="113">
        <v>0.35799999999999998</v>
      </c>
      <c r="G128" s="113">
        <v>0.35599999999999998</v>
      </c>
      <c r="H128" s="114">
        <v>0.35399999999999998</v>
      </c>
      <c r="I128"/>
      <c r="J128"/>
    </row>
    <row r="129" spans="1:10" s="21" customFormat="1">
      <c r="A129" s="163" t="s">
        <v>297</v>
      </c>
      <c r="B129" s="115">
        <v>9560</v>
      </c>
      <c r="C129" s="113">
        <v>0.39300000000000002</v>
      </c>
      <c r="D129" s="113">
        <v>0.39100000000000001</v>
      </c>
      <c r="E129" s="113">
        <v>0.38900000000000001</v>
      </c>
      <c r="F129" s="113">
        <v>0.378</v>
      </c>
      <c r="G129" s="113">
        <v>0.376</v>
      </c>
      <c r="H129" s="114">
        <v>0.374</v>
      </c>
      <c r="I129"/>
      <c r="J129"/>
    </row>
    <row r="130" spans="1:10" s="21" customFormat="1">
      <c r="A130" s="163" t="s">
        <v>297</v>
      </c>
      <c r="B130" s="115">
        <v>11282</v>
      </c>
      <c r="C130" s="113">
        <v>0.40300000000000002</v>
      </c>
      <c r="D130" s="113">
        <v>0.40100000000000002</v>
      </c>
      <c r="E130" s="113">
        <v>0.39900000000000002</v>
      </c>
      <c r="F130" s="113">
        <v>0.39200000000000002</v>
      </c>
      <c r="G130" s="113">
        <v>0.38600000000000001</v>
      </c>
      <c r="H130" s="114">
        <v>0.38400000000000001</v>
      </c>
      <c r="I130"/>
      <c r="J130"/>
    </row>
    <row r="131" spans="1:10" s="21" customFormat="1">
      <c r="A131" s="163" t="s">
        <v>297</v>
      </c>
      <c r="B131" s="115">
        <v>18854</v>
      </c>
      <c r="C131" s="113">
        <v>0.41299999999999998</v>
      </c>
      <c r="D131" s="113">
        <v>0.41099999999999998</v>
      </c>
      <c r="E131" s="113">
        <v>0.40899999999999997</v>
      </c>
      <c r="F131" s="113">
        <v>0.40200000000000002</v>
      </c>
      <c r="G131" s="113">
        <v>0.4</v>
      </c>
      <c r="H131" s="114">
        <v>0.39400000000000002</v>
      </c>
      <c r="I131"/>
      <c r="J131"/>
    </row>
    <row r="132" spans="1:10" s="21" customFormat="1">
      <c r="A132" s="163" t="s">
        <v>297</v>
      </c>
      <c r="B132" s="115">
        <v>20221</v>
      </c>
      <c r="C132" s="113">
        <v>0.42299999999999999</v>
      </c>
      <c r="D132" s="113">
        <v>0.42099999999999999</v>
      </c>
      <c r="E132" s="121">
        <v>0.41899999999999998</v>
      </c>
      <c r="F132" s="113">
        <v>0.41199999999999998</v>
      </c>
      <c r="G132" s="169">
        <v>0.41</v>
      </c>
      <c r="H132" s="114">
        <v>0.40400000000000003</v>
      </c>
      <c r="I132"/>
      <c r="J132"/>
    </row>
    <row r="133" spans="1:10" s="21" customFormat="1">
      <c r="A133" s="163" t="s">
        <v>297</v>
      </c>
      <c r="B133" s="115">
        <v>22749</v>
      </c>
      <c r="C133" s="113">
        <v>0.43099999999999999</v>
      </c>
      <c r="D133" s="113">
        <v>0.43099999999999999</v>
      </c>
      <c r="E133" s="121">
        <v>0.42899999999999999</v>
      </c>
      <c r="F133" s="113">
        <v>0.42199999999999999</v>
      </c>
      <c r="G133" s="169">
        <v>0.42</v>
      </c>
      <c r="H133" s="114">
        <v>0.41599999999999998</v>
      </c>
      <c r="I133"/>
      <c r="J133"/>
    </row>
    <row r="134" spans="1:10" s="21" customFormat="1">
      <c r="A134" s="170" t="s">
        <v>297</v>
      </c>
      <c r="B134" s="115">
        <v>25276</v>
      </c>
      <c r="C134" s="113">
        <v>0.441</v>
      </c>
      <c r="D134" s="113">
        <v>0.441</v>
      </c>
      <c r="E134" s="169">
        <v>0.439</v>
      </c>
      <c r="F134" s="113">
        <v>0.432</v>
      </c>
      <c r="G134" s="169">
        <v>0.43</v>
      </c>
      <c r="H134" s="114">
        <v>0.42799999999999999</v>
      </c>
      <c r="I134"/>
      <c r="J134"/>
    </row>
    <row r="135" spans="1:10" s="21" customFormat="1" ht="16" thickBot="1">
      <c r="A135" s="171" t="s">
        <v>298</v>
      </c>
      <c r="B135" s="116">
        <v>25276</v>
      </c>
      <c r="C135" s="117">
        <v>0.45100000000000001</v>
      </c>
      <c r="D135" s="117">
        <v>0.45100000000000001</v>
      </c>
      <c r="E135" s="122">
        <v>0.44900000000000001</v>
      </c>
      <c r="F135" s="117">
        <v>0.442</v>
      </c>
      <c r="G135" s="122">
        <v>0.44</v>
      </c>
      <c r="H135" s="118">
        <v>0.438</v>
      </c>
      <c r="I135"/>
      <c r="J135"/>
    </row>
    <row r="136" spans="1:10">
      <c r="A136" s="159"/>
      <c r="B136" s="159"/>
      <c r="C136" s="160"/>
      <c r="D136" s="159"/>
      <c r="E136" s="159"/>
      <c r="F136" s="159"/>
      <c r="G136" s="159"/>
      <c r="H136" s="159"/>
    </row>
    <row r="137" spans="1:10">
      <c r="A137" s="159"/>
      <c r="B137" s="159"/>
      <c r="C137" s="160"/>
      <c r="D137" s="159"/>
      <c r="E137" s="159"/>
      <c r="F137" s="159"/>
      <c r="G137" s="159"/>
      <c r="H137" s="161"/>
    </row>
    <row r="138" spans="1:10" ht="16">
      <c r="A138" s="159"/>
      <c r="B138" s="200" t="s">
        <v>362</v>
      </c>
      <c r="C138" s="200"/>
      <c r="D138" s="200"/>
      <c r="E138" s="200"/>
      <c r="F138" s="200"/>
      <c r="G138" s="200"/>
      <c r="H138" s="161"/>
    </row>
    <row r="139" spans="1:10">
      <c r="A139" s="159"/>
      <c r="B139" s="159"/>
      <c r="C139" s="160"/>
      <c r="D139" s="161"/>
      <c r="E139" s="161"/>
      <c r="F139" s="161"/>
      <c r="G139" s="161"/>
      <c r="H139" s="161"/>
    </row>
    <row r="140" spans="1:10">
      <c r="A140" s="202" t="s">
        <v>303</v>
      </c>
      <c r="B140" s="202"/>
      <c r="C140" s="202"/>
      <c r="D140" s="202"/>
      <c r="E140" s="202"/>
      <c r="F140" s="202"/>
      <c r="G140" s="202"/>
      <c r="H140" s="202"/>
    </row>
    <row r="141" spans="1:10">
      <c r="A141" s="203" t="s">
        <v>304</v>
      </c>
      <c r="B141" s="203"/>
      <c r="C141" s="203"/>
      <c r="D141" s="203"/>
      <c r="E141" s="203"/>
      <c r="F141" s="203"/>
      <c r="G141" s="203"/>
      <c r="H141" s="203"/>
    </row>
    <row r="142" spans="1:10" ht="16" thickBot="1">
      <c r="A142" s="165"/>
      <c r="B142" s="165"/>
      <c r="C142" s="166"/>
      <c r="D142" s="167"/>
      <c r="E142" s="167"/>
      <c r="F142" s="167"/>
      <c r="G142" s="167"/>
      <c r="H142" s="167"/>
    </row>
    <row r="143" spans="1:10" ht="16" thickBot="1">
      <c r="A143" s="204" t="s">
        <v>293</v>
      </c>
      <c r="B143" s="205"/>
      <c r="C143" s="206" t="s">
        <v>294</v>
      </c>
      <c r="D143" s="209"/>
      <c r="E143" s="209"/>
      <c r="F143" s="209"/>
      <c r="G143" s="209"/>
      <c r="H143" s="210"/>
    </row>
    <row r="144" spans="1:10" ht="16" thickBot="1">
      <c r="A144" s="198" t="s">
        <v>295</v>
      </c>
      <c r="B144" s="199"/>
      <c r="C144" s="107">
        <v>0</v>
      </c>
      <c r="D144" s="107">
        <v>1</v>
      </c>
      <c r="E144" s="107">
        <v>2</v>
      </c>
      <c r="F144" s="107">
        <v>3</v>
      </c>
      <c r="G144" s="107">
        <v>4</v>
      </c>
      <c r="H144" s="108" t="s">
        <v>296</v>
      </c>
    </row>
    <row r="145" spans="1:10">
      <c r="A145" s="162" t="s">
        <v>297</v>
      </c>
      <c r="B145" s="123">
        <v>1310</v>
      </c>
      <c r="C145" s="110">
        <v>0</v>
      </c>
      <c r="D145" s="110">
        <v>0</v>
      </c>
      <c r="E145" s="110">
        <v>0</v>
      </c>
      <c r="F145" s="110">
        <v>0</v>
      </c>
      <c r="G145" s="110">
        <v>0</v>
      </c>
      <c r="H145" s="111">
        <v>0</v>
      </c>
    </row>
    <row r="146" spans="1:10">
      <c r="A146" s="163" t="s">
        <v>297</v>
      </c>
      <c r="B146" s="115">
        <v>1414</v>
      </c>
      <c r="C146" s="113">
        <v>1.2999999999999999E-2</v>
      </c>
      <c r="D146" s="113">
        <v>0</v>
      </c>
      <c r="E146" s="113">
        <v>0</v>
      </c>
      <c r="F146" s="113">
        <v>0</v>
      </c>
      <c r="G146" s="113">
        <v>0</v>
      </c>
      <c r="H146" s="114">
        <v>0</v>
      </c>
    </row>
    <row r="147" spans="1:10">
      <c r="A147" s="163" t="s">
        <v>297</v>
      </c>
      <c r="B147" s="115">
        <v>1455</v>
      </c>
      <c r="C147" s="113">
        <v>4.2000000000000003E-2</v>
      </c>
      <c r="D147" s="113">
        <v>7.0000000000000001E-3</v>
      </c>
      <c r="E147" s="113">
        <v>0</v>
      </c>
      <c r="F147" s="113">
        <v>0</v>
      </c>
      <c r="G147" s="113">
        <v>0</v>
      </c>
      <c r="H147" s="114">
        <v>0</v>
      </c>
    </row>
    <row r="148" spans="1:10">
      <c r="A148" s="163" t="s">
        <v>297</v>
      </c>
      <c r="B148" s="115">
        <v>1639</v>
      </c>
      <c r="C148" s="113">
        <v>5.1999999999999998E-2</v>
      </c>
      <c r="D148" s="113">
        <v>2.7E-2</v>
      </c>
      <c r="E148" s="113">
        <v>0</v>
      </c>
      <c r="F148" s="113">
        <v>0</v>
      </c>
      <c r="G148" s="113">
        <v>0</v>
      </c>
      <c r="H148" s="114">
        <v>0</v>
      </c>
    </row>
    <row r="149" spans="1:10" ht="15" customHeight="1">
      <c r="A149" s="163" t="s">
        <v>297</v>
      </c>
      <c r="B149" s="115">
        <v>1956</v>
      </c>
      <c r="C149" s="113">
        <v>6.7000000000000004E-2</v>
      </c>
      <c r="D149" s="113">
        <v>4.8000000000000001E-2</v>
      </c>
      <c r="E149" s="113">
        <v>3.7999999999999999E-2</v>
      </c>
      <c r="F149" s="113">
        <v>3.0000000000000001E-3</v>
      </c>
      <c r="G149" s="113">
        <v>0</v>
      </c>
      <c r="H149" s="114">
        <v>0</v>
      </c>
      <c r="I149" s="159"/>
      <c r="J149" s="159"/>
    </row>
    <row r="150" spans="1:10">
      <c r="A150" s="163" t="s">
        <v>297</v>
      </c>
      <c r="B150" s="115">
        <v>2079</v>
      </c>
      <c r="C150" s="113">
        <v>8.2000000000000003E-2</v>
      </c>
      <c r="D150" s="113">
        <v>6.3E-2</v>
      </c>
      <c r="E150" s="113">
        <v>5.2999999999999999E-2</v>
      </c>
      <c r="F150" s="113">
        <v>2.3E-2</v>
      </c>
      <c r="G150" s="113">
        <v>1.2999999999999999E-2</v>
      </c>
      <c r="H150" s="114">
        <v>0</v>
      </c>
      <c r="I150" s="159"/>
      <c r="J150" s="159"/>
    </row>
    <row r="151" spans="1:10">
      <c r="A151" s="163" t="s">
        <v>297</v>
      </c>
      <c r="B151" s="115">
        <v>2213</v>
      </c>
      <c r="C151" s="113">
        <v>0.10100000000000001</v>
      </c>
      <c r="D151" s="113">
        <v>7.2999999999999995E-2</v>
      </c>
      <c r="E151" s="113">
        <v>6.3E-2</v>
      </c>
      <c r="F151" s="113">
        <v>4.2999999999999997E-2</v>
      </c>
      <c r="G151" s="113">
        <v>2.3E-2</v>
      </c>
      <c r="H151" s="114">
        <v>1.2999999999999999E-2</v>
      </c>
      <c r="I151" s="159"/>
      <c r="J151" s="159"/>
    </row>
    <row r="152" spans="1:10">
      <c r="A152" s="163" t="s">
        <v>297</v>
      </c>
      <c r="B152" s="115">
        <v>2314</v>
      </c>
      <c r="C152" s="113">
        <v>0.126</v>
      </c>
      <c r="D152" s="113">
        <v>9.7000000000000003E-2</v>
      </c>
      <c r="E152" s="113">
        <v>7.8E-2</v>
      </c>
      <c r="F152" s="113">
        <v>5.8000000000000003E-2</v>
      </c>
      <c r="G152" s="113">
        <v>3.7999999999999999E-2</v>
      </c>
      <c r="H152" s="114">
        <v>2.8000000000000001E-2</v>
      </c>
      <c r="I152" s="159"/>
      <c r="J152" s="159"/>
    </row>
    <row r="153" spans="1:10" s="21" customFormat="1">
      <c r="A153" s="163" t="s">
        <v>297</v>
      </c>
      <c r="B153" s="115">
        <v>2479</v>
      </c>
      <c r="C153" s="113">
        <v>0.14599999999999999</v>
      </c>
      <c r="D153" s="113">
        <v>0.11700000000000001</v>
      </c>
      <c r="E153" s="113">
        <v>9.8000000000000004E-2</v>
      </c>
      <c r="F153" s="113">
        <v>7.8E-2</v>
      </c>
      <c r="G153" s="113">
        <v>5.8999999999999997E-2</v>
      </c>
      <c r="H153" s="114">
        <v>3.7999999999999999E-2</v>
      </c>
      <c r="I153" s="159"/>
      <c r="J153" s="159"/>
    </row>
    <row r="154" spans="1:10" s="21" customFormat="1">
      <c r="A154" s="163" t="s">
        <v>297</v>
      </c>
      <c r="B154" s="115">
        <v>2561</v>
      </c>
      <c r="C154" s="113">
        <v>0.155</v>
      </c>
      <c r="D154" s="113">
        <v>0.13700000000000001</v>
      </c>
      <c r="E154" s="113">
        <v>0.11700000000000001</v>
      </c>
      <c r="F154" s="113">
        <v>9.8000000000000004E-2</v>
      </c>
      <c r="G154" s="113">
        <v>6.8000000000000005E-2</v>
      </c>
      <c r="H154" s="114">
        <v>5.8999999999999997E-2</v>
      </c>
      <c r="I154" s="159"/>
      <c r="J154" s="159"/>
    </row>
    <row r="155" spans="1:10" s="21" customFormat="1">
      <c r="A155" s="163" t="s">
        <v>297</v>
      </c>
      <c r="B155" s="115">
        <v>2663</v>
      </c>
      <c r="C155" s="113">
        <v>0.16600000000000001</v>
      </c>
      <c r="D155" s="113">
        <v>0.14699999999999999</v>
      </c>
      <c r="E155" s="113">
        <v>0.127</v>
      </c>
      <c r="F155" s="113">
        <v>0.108</v>
      </c>
      <c r="G155" s="113">
        <v>8.7999999999999995E-2</v>
      </c>
      <c r="H155" s="114">
        <v>7.8E-2</v>
      </c>
      <c r="I155" s="159"/>
      <c r="J155" s="159"/>
    </row>
    <row r="156" spans="1:10" s="21" customFormat="1">
      <c r="A156" s="163" t="s">
        <v>297</v>
      </c>
      <c r="B156" s="115">
        <v>2929</v>
      </c>
      <c r="C156" s="113">
        <v>0.17599999999999999</v>
      </c>
      <c r="D156" s="113">
        <v>0.157</v>
      </c>
      <c r="E156" s="113">
        <v>0.13700000000000001</v>
      </c>
      <c r="F156" s="113">
        <v>0.11799999999999999</v>
      </c>
      <c r="G156" s="113">
        <v>0.108</v>
      </c>
      <c r="H156" s="114">
        <v>9.8000000000000004E-2</v>
      </c>
      <c r="I156" s="159"/>
      <c r="J156" s="159"/>
    </row>
    <row r="157" spans="1:10" s="21" customFormat="1">
      <c r="A157" s="163" t="s">
        <v>297</v>
      </c>
      <c r="B157" s="115">
        <v>3247</v>
      </c>
      <c r="C157" s="113">
        <v>0.187</v>
      </c>
      <c r="D157" s="113">
        <v>0.17199999999999999</v>
      </c>
      <c r="E157" s="113">
        <v>0.156</v>
      </c>
      <c r="F157" s="113">
        <v>0.14099999999999999</v>
      </c>
      <c r="G157" s="113">
        <v>0.13500000000000001</v>
      </c>
      <c r="H157" s="114">
        <v>0.129</v>
      </c>
      <c r="I157" s="159"/>
      <c r="J157" s="159"/>
    </row>
    <row r="158" spans="1:10" s="21" customFormat="1">
      <c r="A158" s="163" t="s">
        <v>297</v>
      </c>
      <c r="B158" s="115">
        <v>3585</v>
      </c>
      <c r="C158" s="113">
        <v>0.19900000000000001</v>
      </c>
      <c r="D158" s="113">
        <v>0.184</v>
      </c>
      <c r="E158" s="113">
        <v>0.16800000000000001</v>
      </c>
      <c r="F158" s="113">
        <v>0.152</v>
      </c>
      <c r="G158" s="113">
        <v>0.14599999999999999</v>
      </c>
      <c r="H158" s="114">
        <v>0.14000000000000001</v>
      </c>
      <c r="I158" s="159"/>
      <c r="J158" s="159"/>
    </row>
    <row r="159" spans="1:10" s="21" customFormat="1">
      <c r="A159" s="163" t="s">
        <v>297</v>
      </c>
      <c r="B159" s="115">
        <v>3718</v>
      </c>
      <c r="C159" s="113">
        <v>0.20899999999999999</v>
      </c>
      <c r="D159" s="113">
        <v>0.19600000000000001</v>
      </c>
      <c r="E159" s="113">
        <v>0.188</v>
      </c>
      <c r="F159" s="113">
        <v>0.16200000000000001</v>
      </c>
      <c r="G159" s="113">
        <v>0.156</v>
      </c>
      <c r="H159" s="114">
        <v>0.15</v>
      </c>
      <c r="I159" s="159"/>
      <c r="J159" s="159"/>
    </row>
    <row r="160" spans="1:10" s="21" customFormat="1">
      <c r="A160" s="163" t="s">
        <v>297</v>
      </c>
      <c r="B160" s="115">
        <v>3933</v>
      </c>
      <c r="C160" s="113">
        <v>0.219</v>
      </c>
      <c r="D160" s="113">
        <v>0.20599999999999999</v>
      </c>
      <c r="E160" s="113">
        <v>0.2</v>
      </c>
      <c r="F160" s="113">
        <v>0.17199999999999999</v>
      </c>
      <c r="G160" s="113">
        <v>0.16600000000000001</v>
      </c>
      <c r="H160" s="114">
        <v>0.16</v>
      </c>
      <c r="I160" s="159"/>
      <c r="J160" s="159"/>
    </row>
    <row r="161" spans="1:10" s="21" customFormat="1">
      <c r="A161" s="163" t="s">
        <v>297</v>
      </c>
      <c r="B161" s="115">
        <v>4353</v>
      </c>
      <c r="C161" s="113">
        <v>0.23899999999999999</v>
      </c>
      <c r="D161" s="113">
        <v>0.22600000000000001</v>
      </c>
      <c r="E161" s="113">
        <v>0.22</v>
      </c>
      <c r="F161" s="113">
        <v>0.19400000000000001</v>
      </c>
      <c r="G161" s="113">
        <v>0.186</v>
      </c>
      <c r="H161" s="114">
        <v>0.18</v>
      </c>
      <c r="I161" s="159"/>
      <c r="J161" s="159"/>
    </row>
    <row r="162" spans="1:10" s="21" customFormat="1">
      <c r="A162" s="163" t="s">
        <v>297</v>
      </c>
      <c r="B162" s="115">
        <v>4620</v>
      </c>
      <c r="C162" s="113">
        <v>0.249</v>
      </c>
      <c r="D162" s="113">
        <v>0.23599999999999999</v>
      </c>
      <c r="E162" s="113">
        <v>0.23</v>
      </c>
      <c r="F162" s="113">
        <v>0.20399999999999999</v>
      </c>
      <c r="G162" s="113">
        <v>0.19800000000000001</v>
      </c>
      <c r="H162" s="114">
        <v>0.19</v>
      </c>
      <c r="I162"/>
      <c r="J162"/>
    </row>
    <row r="163" spans="1:10" s="21" customFormat="1">
      <c r="A163" s="163" t="s">
        <v>297</v>
      </c>
      <c r="B163" s="115">
        <v>4916</v>
      </c>
      <c r="C163" s="113">
        <v>0.25900000000000001</v>
      </c>
      <c r="D163" s="113">
        <v>0.246</v>
      </c>
      <c r="E163" s="113">
        <v>0.24</v>
      </c>
      <c r="F163" s="113">
        <v>0.214</v>
      </c>
      <c r="G163" s="113">
        <v>0.20799999999999999</v>
      </c>
      <c r="H163" s="114">
        <v>0.20200000000000001</v>
      </c>
      <c r="I163"/>
      <c r="J163"/>
    </row>
    <row r="164" spans="1:10" s="21" customFormat="1">
      <c r="A164" s="163" t="s">
        <v>297</v>
      </c>
      <c r="B164" s="115">
        <v>5204</v>
      </c>
      <c r="C164" s="113">
        <v>0.26900000000000002</v>
      </c>
      <c r="D164" s="113">
        <v>0.25600000000000001</v>
      </c>
      <c r="E164" s="113">
        <v>0.25</v>
      </c>
      <c r="F164" s="113">
        <v>0.224</v>
      </c>
      <c r="G164" s="113">
        <v>0.218</v>
      </c>
      <c r="H164" s="114">
        <v>0.21199999999999999</v>
      </c>
      <c r="I164"/>
      <c r="J164"/>
    </row>
    <row r="165" spans="1:10" s="21" customFormat="1">
      <c r="A165" s="163" t="s">
        <v>297</v>
      </c>
      <c r="B165" s="115">
        <v>5634</v>
      </c>
      <c r="C165" s="113">
        <v>0.27900000000000003</v>
      </c>
      <c r="D165" s="113">
        <v>0.26600000000000001</v>
      </c>
      <c r="E165" s="113">
        <v>0.26</v>
      </c>
      <c r="F165" s="113">
        <v>0.24399999999999999</v>
      </c>
      <c r="G165" s="113">
        <v>0.22800000000000001</v>
      </c>
      <c r="H165" s="114">
        <v>0.222</v>
      </c>
      <c r="I165"/>
      <c r="J165"/>
    </row>
    <row r="166" spans="1:10" s="21" customFormat="1">
      <c r="A166" s="163" t="s">
        <v>297</v>
      </c>
      <c r="B166" s="115">
        <v>6064</v>
      </c>
      <c r="C166" s="113">
        <v>0.29399999999999998</v>
      </c>
      <c r="D166" s="113">
        <v>0.28100000000000003</v>
      </c>
      <c r="E166" s="113">
        <v>0.27500000000000002</v>
      </c>
      <c r="F166" s="113">
        <v>0.25900000000000001</v>
      </c>
      <c r="G166" s="113">
        <v>0.24299999999999999</v>
      </c>
      <c r="H166" s="114">
        <v>0.23699999999999999</v>
      </c>
      <c r="I166"/>
      <c r="J166"/>
    </row>
    <row r="167" spans="1:10" s="21" customFormat="1">
      <c r="A167" s="163" t="s">
        <v>297</v>
      </c>
      <c r="B167" s="115">
        <v>6768</v>
      </c>
      <c r="C167" s="113">
        <v>0.30299999999999999</v>
      </c>
      <c r="D167" s="113">
        <v>0.29299999999999998</v>
      </c>
      <c r="E167" s="113">
        <v>0.28899999999999998</v>
      </c>
      <c r="F167" s="113">
        <v>0.27500000000000002</v>
      </c>
      <c r="G167" s="113">
        <v>0.26100000000000001</v>
      </c>
      <c r="H167" s="114">
        <v>0.25700000000000001</v>
      </c>
      <c r="I167"/>
      <c r="J167"/>
    </row>
    <row r="168" spans="1:10" s="21" customFormat="1">
      <c r="A168" s="163" t="s">
        <v>297</v>
      </c>
      <c r="B168" s="115">
        <v>7236</v>
      </c>
      <c r="C168" s="113">
        <v>0.313</v>
      </c>
      <c r="D168" s="113">
        <v>0.30399999999999999</v>
      </c>
      <c r="E168" s="113">
        <v>0.29899999999999999</v>
      </c>
      <c r="F168" s="113">
        <v>0.28499999999999998</v>
      </c>
      <c r="G168" s="113">
        <v>0.27100000000000002</v>
      </c>
      <c r="H168" s="114">
        <v>0.26700000000000002</v>
      </c>
      <c r="I168"/>
      <c r="J168"/>
    </row>
    <row r="169" spans="1:10" s="21" customFormat="1">
      <c r="A169" s="163" t="s">
        <v>297</v>
      </c>
      <c r="B169" s="115">
        <v>7817</v>
      </c>
      <c r="C169" s="113">
        <v>0.32300000000000001</v>
      </c>
      <c r="D169" s="113">
        <v>0.314</v>
      </c>
      <c r="E169" s="113">
        <v>0.31</v>
      </c>
      <c r="F169" s="113">
        <v>0.29499999999999998</v>
      </c>
      <c r="G169" s="113">
        <v>0.29099999999999998</v>
      </c>
      <c r="H169" s="114">
        <v>0.27700000000000002</v>
      </c>
      <c r="I169"/>
      <c r="J169"/>
    </row>
    <row r="170" spans="1:10" s="21" customFormat="1">
      <c r="A170" s="163" t="s">
        <v>297</v>
      </c>
      <c r="B170" s="115">
        <v>8500</v>
      </c>
      <c r="C170" s="113">
        <v>0.33300000000000002</v>
      </c>
      <c r="D170" s="113">
        <v>0.32400000000000001</v>
      </c>
      <c r="E170" s="113">
        <v>0.32</v>
      </c>
      <c r="F170" s="113">
        <v>0.30599999999999999</v>
      </c>
      <c r="G170" s="113">
        <v>0.29599999999999999</v>
      </c>
      <c r="H170" s="114">
        <v>0.28699999999999998</v>
      </c>
      <c r="I170"/>
      <c r="J170"/>
    </row>
    <row r="171" spans="1:10" s="21" customFormat="1">
      <c r="A171" s="163" t="s">
        <v>297</v>
      </c>
      <c r="B171" s="115">
        <v>9284</v>
      </c>
      <c r="C171" s="113">
        <v>0.34300000000000003</v>
      </c>
      <c r="D171" s="113">
        <v>0.33400000000000002</v>
      </c>
      <c r="E171" s="113">
        <v>0.33</v>
      </c>
      <c r="F171" s="113">
        <v>0.316</v>
      </c>
      <c r="G171" s="113">
        <v>0.30199999999999999</v>
      </c>
      <c r="H171" s="114">
        <v>0.29699999999999999</v>
      </c>
      <c r="I171"/>
      <c r="J171"/>
    </row>
    <row r="172" spans="1:10" s="21" customFormat="1">
      <c r="A172" s="163" t="s">
        <v>297</v>
      </c>
      <c r="B172" s="115">
        <v>10018</v>
      </c>
      <c r="C172" s="113">
        <v>0.35799999999999998</v>
      </c>
      <c r="D172" s="113">
        <v>0.34899999999999998</v>
      </c>
      <c r="E172" s="113">
        <v>0.34499999999999997</v>
      </c>
      <c r="F172" s="113">
        <v>0.33100000000000002</v>
      </c>
      <c r="G172" s="113">
        <v>0.32700000000000001</v>
      </c>
      <c r="H172" s="114">
        <v>0.313</v>
      </c>
      <c r="I172"/>
      <c r="J172"/>
    </row>
    <row r="173" spans="1:10" s="21" customFormat="1">
      <c r="A173" s="163" t="s">
        <v>297</v>
      </c>
      <c r="B173" s="115">
        <v>12535</v>
      </c>
      <c r="C173" s="113">
        <v>0.36799999999999999</v>
      </c>
      <c r="D173" s="113">
        <v>0.35899999999999999</v>
      </c>
      <c r="E173" s="113">
        <v>0.35499999999999998</v>
      </c>
      <c r="F173" s="113">
        <v>0.34100000000000003</v>
      </c>
      <c r="G173" s="113">
        <v>0.33700000000000002</v>
      </c>
      <c r="H173" s="114">
        <v>0.32300000000000001</v>
      </c>
      <c r="I173"/>
      <c r="J173"/>
    </row>
    <row r="174" spans="1:10" s="21" customFormat="1" ht="16" thickBot="1">
      <c r="A174" s="164" t="s">
        <v>298</v>
      </c>
      <c r="B174" s="116">
        <v>12535</v>
      </c>
      <c r="C174" s="117">
        <v>0.378</v>
      </c>
      <c r="D174" s="117">
        <v>0.36899999999999999</v>
      </c>
      <c r="E174" s="117">
        <v>0.36499999999999999</v>
      </c>
      <c r="F174" s="117">
        <v>0.35099999999999998</v>
      </c>
      <c r="G174" s="117">
        <v>0.34699999999999998</v>
      </c>
      <c r="H174" s="118">
        <v>0.33300000000000002</v>
      </c>
      <c r="I174"/>
      <c r="J174"/>
    </row>
    <row r="175" spans="1:10" s="21" customFormat="1">
      <c r="A175" s="159"/>
      <c r="B175" s="159"/>
      <c r="C175" s="160"/>
      <c r="D175" s="159"/>
      <c r="E175" s="159"/>
      <c r="F175" s="159"/>
      <c r="G175" s="159"/>
      <c r="H175" s="159"/>
      <c r="I175"/>
      <c r="J175"/>
    </row>
    <row r="176" spans="1:10" s="21" customFormat="1">
      <c r="A176" s="159"/>
      <c r="B176" s="159"/>
      <c r="C176" s="160"/>
      <c r="D176" s="159"/>
      <c r="E176" s="159"/>
      <c r="F176" s="159"/>
      <c r="G176" s="159"/>
      <c r="H176" s="161"/>
      <c r="I176"/>
      <c r="J176"/>
    </row>
    <row r="177" spans="1:10" s="21" customFormat="1" ht="16">
      <c r="A177" s="159"/>
      <c r="B177" s="200" t="s">
        <v>362</v>
      </c>
      <c r="C177" s="201"/>
      <c r="D177" s="201"/>
      <c r="E177" s="201"/>
      <c r="F177" s="201"/>
      <c r="G177" s="201"/>
      <c r="H177" s="161"/>
      <c r="I177"/>
      <c r="J177"/>
    </row>
    <row r="178" spans="1:10">
      <c r="A178" s="159"/>
      <c r="B178" s="159"/>
      <c r="C178" s="160"/>
      <c r="D178" s="161"/>
      <c r="E178" s="161"/>
      <c r="F178" s="161"/>
      <c r="G178" s="161"/>
      <c r="H178" s="161"/>
    </row>
    <row r="179" spans="1:10">
      <c r="A179" s="202" t="s">
        <v>305</v>
      </c>
      <c r="B179" s="202"/>
      <c r="C179" s="202"/>
      <c r="D179" s="202"/>
      <c r="E179" s="202"/>
      <c r="F179" s="202"/>
      <c r="G179" s="202"/>
      <c r="H179" s="202"/>
    </row>
    <row r="180" spans="1:10">
      <c r="A180" s="203" t="s">
        <v>306</v>
      </c>
      <c r="B180" s="203"/>
      <c r="C180" s="203"/>
      <c r="D180" s="203"/>
      <c r="E180" s="203"/>
      <c r="F180" s="203"/>
      <c r="G180" s="203"/>
      <c r="H180" s="203"/>
    </row>
    <row r="181" spans="1:10" ht="16" thickBot="1">
      <c r="A181" s="165"/>
      <c r="B181" s="165"/>
      <c r="C181" s="166"/>
      <c r="D181" s="167"/>
      <c r="E181" s="167"/>
      <c r="F181" s="167"/>
      <c r="G181" s="167"/>
      <c r="H181" s="167"/>
    </row>
    <row r="182" spans="1:10" ht="16" thickBot="1">
      <c r="A182" s="204" t="s">
        <v>293</v>
      </c>
      <c r="B182" s="205"/>
      <c r="C182" s="206" t="s">
        <v>294</v>
      </c>
      <c r="D182" s="207"/>
      <c r="E182" s="207"/>
      <c r="F182" s="207"/>
      <c r="G182" s="207"/>
      <c r="H182" s="208"/>
    </row>
    <row r="183" spans="1:10" ht="16" thickBot="1">
      <c r="A183" s="198" t="s">
        <v>295</v>
      </c>
      <c r="B183" s="199"/>
      <c r="C183" s="107">
        <v>0</v>
      </c>
      <c r="D183" s="107">
        <v>1</v>
      </c>
      <c r="E183" s="107">
        <v>2</v>
      </c>
      <c r="F183" s="107">
        <v>3</v>
      </c>
      <c r="G183" s="107">
        <v>4</v>
      </c>
      <c r="H183" s="108" t="s">
        <v>296</v>
      </c>
    </row>
    <row r="184" spans="1:10">
      <c r="A184" s="172" t="s">
        <v>297</v>
      </c>
      <c r="B184" s="124">
        <v>1650</v>
      </c>
      <c r="C184" s="125">
        <v>0</v>
      </c>
      <c r="D184" s="125">
        <v>0</v>
      </c>
      <c r="E184" s="125">
        <v>0</v>
      </c>
      <c r="F184" s="125">
        <v>0</v>
      </c>
      <c r="G184" s="125">
        <v>0</v>
      </c>
      <c r="H184" s="126">
        <v>0</v>
      </c>
    </row>
    <row r="185" spans="1:10">
      <c r="A185" s="163" t="s">
        <v>297</v>
      </c>
      <c r="B185" s="115">
        <v>1753</v>
      </c>
      <c r="C185" s="113">
        <v>6.0000000000000001E-3</v>
      </c>
      <c r="D185" s="113">
        <v>0</v>
      </c>
      <c r="E185" s="113">
        <v>0</v>
      </c>
      <c r="F185" s="113">
        <v>0</v>
      </c>
      <c r="G185" s="113">
        <v>0</v>
      </c>
      <c r="H185" s="114">
        <v>0</v>
      </c>
    </row>
    <row r="186" spans="1:10">
      <c r="A186" s="163" t="s">
        <v>297</v>
      </c>
      <c r="B186" s="115">
        <v>1905</v>
      </c>
      <c r="C186" s="113">
        <v>3.7999999999999999E-2</v>
      </c>
      <c r="D186" s="113">
        <v>1.0999999999999999E-2</v>
      </c>
      <c r="E186" s="113">
        <v>3.0000000000000001E-3</v>
      </c>
      <c r="F186" s="113">
        <v>0</v>
      </c>
      <c r="G186" s="113">
        <v>0</v>
      </c>
      <c r="H186" s="114">
        <v>0</v>
      </c>
    </row>
    <row r="187" spans="1:10">
      <c r="A187" s="163" t="s">
        <v>297</v>
      </c>
      <c r="B187" s="115">
        <v>1972</v>
      </c>
      <c r="C187" s="113">
        <v>4.8000000000000001E-2</v>
      </c>
      <c r="D187" s="113">
        <v>3.1E-2</v>
      </c>
      <c r="E187" s="113">
        <v>2.3E-2</v>
      </c>
      <c r="F187" s="113">
        <v>5.0000000000000001E-3</v>
      </c>
      <c r="G187" s="113">
        <v>0</v>
      </c>
      <c r="H187" s="114">
        <v>0</v>
      </c>
    </row>
    <row r="188" spans="1:10">
      <c r="A188" s="163" t="s">
        <v>297</v>
      </c>
      <c r="B188" s="115">
        <v>2342</v>
      </c>
      <c r="C188" s="113">
        <v>5.8000000000000003E-2</v>
      </c>
      <c r="D188" s="113">
        <v>5.0999999999999997E-2</v>
      </c>
      <c r="E188" s="113">
        <v>3.3000000000000002E-2</v>
      </c>
      <c r="F188" s="113">
        <v>1.4999999999999999E-2</v>
      </c>
      <c r="G188" s="113">
        <v>0</v>
      </c>
      <c r="H188" s="114">
        <v>0</v>
      </c>
    </row>
    <row r="189" spans="1:10">
      <c r="A189" s="163" t="s">
        <v>297</v>
      </c>
      <c r="B189" s="115">
        <v>2520</v>
      </c>
      <c r="C189" s="113">
        <v>6.7000000000000004E-2</v>
      </c>
      <c r="D189" s="113">
        <v>6.0999999999999999E-2</v>
      </c>
      <c r="E189" s="113">
        <v>4.2999999999999997E-2</v>
      </c>
      <c r="F189" s="113">
        <v>2.5000000000000001E-2</v>
      </c>
      <c r="G189" s="113">
        <v>7.0000000000000001E-3</v>
      </c>
      <c r="H189" s="114">
        <v>0</v>
      </c>
    </row>
    <row r="190" spans="1:10" ht="15" customHeight="1">
      <c r="A190" s="163" t="s">
        <v>297</v>
      </c>
      <c r="B190" s="115">
        <v>2767</v>
      </c>
      <c r="C190" s="113">
        <v>8.6999999999999994E-2</v>
      </c>
      <c r="D190" s="113">
        <v>0.08</v>
      </c>
      <c r="E190" s="113">
        <v>6.3E-2</v>
      </c>
      <c r="F190" s="113">
        <v>4.4999999999999998E-2</v>
      </c>
      <c r="G190" s="113">
        <v>3.6999999999999998E-2</v>
      </c>
      <c r="H190" s="114">
        <v>1.9E-2</v>
      </c>
    </row>
    <row r="191" spans="1:10">
      <c r="A191" s="163" t="s">
        <v>297</v>
      </c>
      <c r="B191" s="115">
        <v>2971</v>
      </c>
      <c r="C191" s="113">
        <v>9.7000000000000003E-2</v>
      </c>
      <c r="D191" s="113">
        <v>0.09</v>
      </c>
      <c r="E191" s="113">
        <v>7.2999999999999995E-2</v>
      </c>
      <c r="F191" s="113">
        <v>5.5E-2</v>
      </c>
      <c r="G191" s="113">
        <v>4.7E-2</v>
      </c>
      <c r="H191" s="114">
        <v>2.9000000000000001E-2</v>
      </c>
    </row>
    <row r="192" spans="1:10">
      <c r="A192" s="163" t="s">
        <v>297</v>
      </c>
      <c r="B192" s="115">
        <v>3186</v>
      </c>
      <c r="C192" s="113">
        <v>0.112</v>
      </c>
      <c r="D192" s="113">
        <v>0.105</v>
      </c>
      <c r="E192" s="113">
        <v>8.7999999999999995E-2</v>
      </c>
      <c r="F192" s="113">
        <v>7.0000000000000007E-2</v>
      </c>
      <c r="G192" s="113">
        <v>6.2E-2</v>
      </c>
      <c r="H192" s="114">
        <v>4.3999999999999997E-2</v>
      </c>
    </row>
    <row r="193" spans="1:10" s="21" customFormat="1">
      <c r="A193" s="163" t="s">
        <v>297</v>
      </c>
      <c r="B193" s="115">
        <v>3356</v>
      </c>
      <c r="C193" s="113">
        <v>0.124</v>
      </c>
      <c r="D193" s="113">
        <v>0.121</v>
      </c>
      <c r="E193" s="113">
        <v>0.107</v>
      </c>
      <c r="F193" s="113">
        <v>9.2999999999999999E-2</v>
      </c>
      <c r="G193" s="113">
        <v>8.8999999999999996E-2</v>
      </c>
      <c r="H193" s="114">
        <v>8.5000000000000006E-2</v>
      </c>
      <c r="I193"/>
      <c r="J193"/>
    </row>
    <row r="194" spans="1:10" s="21" customFormat="1">
      <c r="A194" s="163" t="s">
        <v>297</v>
      </c>
      <c r="B194" s="115">
        <v>3513</v>
      </c>
      <c r="C194" s="113">
        <v>0.13900000000000001</v>
      </c>
      <c r="D194" s="113">
        <v>0.13800000000000001</v>
      </c>
      <c r="E194" s="113">
        <v>0.122</v>
      </c>
      <c r="F194" s="113">
        <v>0.108</v>
      </c>
      <c r="G194" s="113">
        <v>0.104</v>
      </c>
      <c r="H194" s="114">
        <v>0.1</v>
      </c>
      <c r="I194"/>
      <c r="J194"/>
    </row>
    <row r="195" spans="1:10" s="21" customFormat="1">
      <c r="A195" s="163" t="s">
        <v>297</v>
      </c>
      <c r="B195" s="115">
        <v>3616</v>
      </c>
      <c r="C195" s="113">
        <v>0.14899999999999999</v>
      </c>
      <c r="D195" s="113">
        <v>0.14799999999999999</v>
      </c>
      <c r="E195" s="113">
        <v>0.14399999999999999</v>
      </c>
      <c r="F195" s="113">
        <v>0.11799999999999999</v>
      </c>
      <c r="G195" s="113">
        <v>0.114</v>
      </c>
      <c r="H195" s="114">
        <v>0.11</v>
      </c>
      <c r="I195"/>
      <c r="J195"/>
    </row>
    <row r="196" spans="1:10" s="21" customFormat="1">
      <c r="A196" s="163" t="s">
        <v>297</v>
      </c>
      <c r="B196" s="115">
        <v>3826</v>
      </c>
      <c r="C196" s="113">
        <v>0.159</v>
      </c>
      <c r="D196" s="113">
        <v>0.158</v>
      </c>
      <c r="E196" s="113">
        <v>0.154</v>
      </c>
      <c r="F196" s="113">
        <v>0.13</v>
      </c>
      <c r="G196" s="113">
        <v>0.124</v>
      </c>
      <c r="H196" s="114">
        <v>0.12</v>
      </c>
      <c r="I196"/>
      <c r="J196"/>
    </row>
    <row r="197" spans="1:10" s="21" customFormat="1">
      <c r="A197" s="163" t="s">
        <v>297</v>
      </c>
      <c r="B197" s="115">
        <v>3933</v>
      </c>
      <c r="C197" s="113">
        <v>0.16900000000000001</v>
      </c>
      <c r="D197" s="113">
        <v>0.16800000000000001</v>
      </c>
      <c r="E197" s="113">
        <v>0.16400000000000001</v>
      </c>
      <c r="F197" s="113">
        <v>0.14000000000000001</v>
      </c>
      <c r="G197" s="113">
        <v>0.13600000000000001</v>
      </c>
      <c r="H197" s="114">
        <v>0.13</v>
      </c>
      <c r="I197"/>
      <c r="J197"/>
    </row>
    <row r="198" spans="1:10" s="21" customFormat="1">
      <c r="A198" s="163" t="s">
        <v>297</v>
      </c>
      <c r="B198" s="115">
        <v>4251</v>
      </c>
      <c r="C198" s="113">
        <v>0.17899999999999999</v>
      </c>
      <c r="D198" s="113">
        <v>0.17799999999999999</v>
      </c>
      <c r="E198" s="113">
        <v>0.17399999999999999</v>
      </c>
      <c r="F198" s="113">
        <v>0.15</v>
      </c>
      <c r="G198" s="113">
        <v>0.14599999999999999</v>
      </c>
      <c r="H198" s="114">
        <v>0.14199999999999999</v>
      </c>
      <c r="I198"/>
      <c r="J198"/>
    </row>
    <row r="199" spans="1:10" s="21" customFormat="1">
      <c r="A199" s="163" t="s">
        <v>297</v>
      </c>
      <c r="B199" s="115">
        <v>4456</v>
      </c>
      <c r="C199" s="113">
        <v>0.189</v>
      </c>
      <c r="D199" s="113">
        <v>0.188</v>
      </c>
      <c r="E199" s="113">
        <v>0.184</v>
      </c>
      <c r="F199" s="113">
        <v>0.16</v>
      </c>
      <c r="G199" s="113">
        <v>0.156</v>
      </c>
      <c r="H199" s="114">
        <v>0.152</v>
      </c>
      <c r="I199"/>
      <c r="J199"/>
    </row>
    <row r="200" spans="1:10" s="21" customFormat="1">
      <c r="A200" s="163" t="s">
        <v>297</v>
      </c>
      <c r="B200" s="115">
        <v>4891</v>
      </c>
      <c r="C200" s="113">
        <v>0.19900000000000001</v>
      </c>
      <c r="D200" s="113">
        <v>0.19800000000000001</v>
      </c>
      <c r="E200" s="113">
        <v>0.19400000000000001</v>
      </c>
      <c r="F200" s="113">
        <v>0.17</v>
      </c>
      <c r="G200" s="113">
        <v>0.16600000000000001</v>
      </c>
      <c r="H200" s="114">
        <v>0.16200000000000001</v>
      </c>
      <c r="I200"/>
      <c r="J200"/>
    </row>
    <row r="201" spans="1:10" s="21" customFormat="1">
      <c r="A201" s="163" t="s">
        <v>297</v>
      </c>
      <c r="B201" s="115">
        <v>5316</v>
      </c>
      <c r="C201" s="113">
        <v>0.20899999999999999</v>
      </c>
      <c r="D201" s="113">
        <v>0.20799999999999999</v>
      </c>
      <c r="E201" s="113">
        <v>0.20399999999999999</v>
      </c>
      <c r="F201" s="113">
        <v>0.18</v>
      </c>
      <c r="G201" s="113">
        <v>0.17599999999999999</v>
      </c>
      <c r="H201" s="114">
        <v>0.17199999999999999</v>
      </c>
      <c r="I201" s="159"/>
      <c r="J201" s="159"/>
    </row>
    <row r="202" spans="1:10" s="21" customFormat="1">
      <c r="A202" s="163" t="s">
        <v>297</v>
      </c>
      <c r="B202" s="115">
        <v>5526</v>
      </c>
      <c r="C202" s="113">
        <v>0.219</v>
      </c>
      <c r="D202" s="113">
        <v>0.218</v>
      </c>
      <c r="E202" s="113">
        <v>0.214</v>
      </c>
      <c r="F202" s="113">
        <v>0.2</v>
      </c>
      <c r="G202" s="113">
        <v>0.186</v>
      </c>
      <c r="H202" s="114">
        <v>0.182</v>
      </c>
      <c r="I202" s="159"/>
      <c r="J202" s="159"/>
    </row>
    <row r="203" spans="1:10" s="21" customFormat="1">
      <c r="A203" s="163" t="s">
        <v>297</v>
      </c>
      <c r="B203" s="115">
        <v>5961</v>
      </c>
      <c r="C203" s="113">
        <v>0.22900000000000001</v>
      </c>
      <c r="D203" s="113">
        <v>0.22800000000000001</v>
      </c>
      <c r="E203" s="113">
        <v>0.224</v>
      </c>
      <c r="F203" s="113">
        <v>0.21</v>
      </c>
      <c r="G203" s="113">
        <v>0.19600000000000001</v>
      </c>
      <c r="H203" s="114">
        <v>0.192</v>
      </c>
      <c r="I203" s="159"/>
      <c r="J203" s="159"/>
    </row>
    <row r="204" spans="1:10" s="21" customFormat="1">
      <c r="A204" s="163" t="s">
        <v>297</v>
      </c>
      <c r="B204" s="115">
        <v>6274</v>
      </c>
      <c r="C204" s="113">
        <v>0.23899999999999999</v>
      </c>
      <c r="D204" s="113">
        <v>0.23799999999999999</v>
      </c>
      <c r="E204" s="113">
        <v>0.23400000000000001</v>
      </c>
      <c r="F204" s="113">
        <v>0.22</v>
      </c>
      <c r="G204" s="113">
        <v>0.20599999999999999</v>
      </c>
      <c r="H204" s="114">
        <v>0.20200000000000001</v>
      </c>
      <c r="I204" s="159"/>
      <c r="J204" s="159"/>
    </row>
    <row r="205" spans="1:10" s="21" customFormat="1">
      <c r="A205" s="163" t="s">
        <v>297</v>
      </c>
      <c r="B205" s="115">
        <v>6858</v>
      </c>
      <c r="C205" s="113">
        <v>0.252</v>
      </c>
      <c r="D205" s="113">
        <v>0.252</v>
      </c>
      <c r="E205" s="113">
        <v>0.25</v>
      </c>
      <c r="F205" s="113">
        <v>0.23599999999999999</v>
      </c>
      <c r="G205" s="113">
        <v>0.224</v>
      </c>
      <c r="H205" s="114">
        <v>0.222</v>
      </c>
      <c r="I205" s="159"/>
      <c r="J205" s="159"/>
    </row>
    <row r="206" spans="1:10" s="21" customFormat="1">
      <c r="A206" s="163" t="s">
        <v>297</v>
      </c>
      <c r="B206" s="115">
        <v>7385</v>
      </c>
      <c r="C206" s="113">
        <v>0.26200000000000001</v>
      </c>
      <c r="D206" s="113">
        <v>0.26200000000000001</v>
      </c>
      <c r="E206" s="113">
        <v>0.26</v>
      </c>
      <c r="F206" s="113">
        <v>0.248</v>
      </c>
      <c r="G206" s="113">
        <v>0.24399999999999999</v>
      </c>
      <c r="H206" s="114">
        <v>0.23200000000000001</v>
      </c>
      <c r="I206" s="159"/>
      <c r="J206" s="159"/>
    </row>
    <row r="207" spans="1:10" s="21" customFormat="1">
      <c r="A207" s="163" t="s">
        <v>297</v>
      </c>
      <c r="B207" s="115">
        <v>8224</v>
      </c>
      <c r="C207" s="113">
        <v>0.27200000000000002</v>
      </c>
      <c r="D207" s="113">
        <v>0.27200000000000002</v>
      </c>
      <c r="E207" s="113">
        <v>0.27</v>
      </c>
      <c r="F207" s="113">
        <v>0.25800000000000001</v>
      </c>
      <c r="G207" s="113">
        <v>0.25600000000000001</v>
      </c>
      <c r="H207" s="114">
        <v>0.24199999999999999</v>
      </c>
      <c r="I207" s="159"/>
      <c r="J207" s="159"/>
    </row>
    <row r="208" spans="1:10" s="21" customFormat="1">
      <c r="A208" s="163" t="s">
        <v>297</v>
      </c>
      <c r="B208" s="115">
        <v>9178</v>
      </c>
      <c r="C208" s="113">
        <v>0.28199999999999997</v>
      </c>
      <c r="D208" s="113">
        <v>0.28199999999999997</v>
      </c>
      <c r="E208" s="113">
        <v>0.28000000000000003</v>
      </c>
      <c r="F208" s="113">
        <v>0.26800000000000002</v>
      </c>
      <c r="G208" s="113">
        <v>0.26600000000000001</v>
      </c>
      <c r="H208" s="114">
        <v>0.254</v>
      </c>
      <c r="I208" s="159"/>
      <c r="J208" s="159"/>
    </row>
    <row r="209" spans="1:10" s="21" customFormat="1">
      <c r="A209" s="163" t="s">
        <v>297</v>
      </c>
      <c r="B209" s="115">
        <v>10232</v>
      </c>
      <c r="C209" s="113">
        <v>0.29699999999999999</v>
      </c>
      <c r="D209" s="113">
        <v>0.29699999999999999</v>
      </c>
      <c r="E209" s="113">
        <v>0.29499999999999998</v>
      </c>
      <c r="F209" s="113">
        <v>0.28299999999999997</v>
      </c>
      <c r="G209" s="113">
        <v>0.28100000000000003</v>
      </c>
      <c r="H209" s="114">
        <v>0.26900000000000002</v>
      </c>
      <c r="I209" s="159"/>
      <c r="J209" s="159"/>
    </row>
    <row r="210" spans="1:10" s="21" customFormat="1">
      <c r="A210" s="163" t="s">
        <v>297</v>
      </c>
      <c r="B210" s="115">
        <v>11287</v>
      </c>
      <c r="C210" s="113">
        <v>0.30599999999999999</v>
      </c>
      <c r="D210" s="113">
        <v>0.30599999999999999</v>
      </c>
      <c r="E210" s="113">
        <v>0.30399999999999999</v>
      </c>
      <c r="F210" s="113">
        <v>0.29299999999999998</v>
      </c>
      <c r="G210" s="113">
        <v>0.29099999999999998</v>
      </c>
      <c r="H210" s="114">
        <v>0.27900000000000003</v>
      </c>
      <c r="I210" s="159"/>
      <c r="J210" s="159"/>
    </row>
    <row r="211" spans="1:10" s="21" customFormat="1">
      <c r="A211" s="163" t="s">
        <v>297</v>
      </c>
      <c r="B211" s="115">
        <v>13008</v>
      </c>
      <c r="C211" s="113">
        <v>0.32100000000000001</v>
      </c>
      <c r="D211" s="113">
        <v>0.32100000000000001</v>
      </c>
      <c r="E211" s="113">
        <v>0.31900000000000001</v>
      </c>
      <c r="F211" s="113">
        <v>0.307</v>
      </c>
      <c r="G211" s="113">
        <v>0.30499999999999999</v>
      </c>
      <c r="H211" s="114">
        <v>0.29399999999999998</v>
      </c>
      <c r="I211" s="159"/>
      <c r="J211" s="159"/>
    </row>
    <row r="212" spans="1:10" s="21" customFormat="1" ht="16" thickBot="1">
      <c r="A212" s="164" t="s">
        <v>298</v>
      </c>
      <c r="B212" s="116">
        <v>13008</v>
      </c>
      <c r="C212" s="117">
        <v>0.33100000000000002</v>
      </c>
      <c r="D212" s="117">
        <v>0.33100000000000002</v>
      </c>
      <c r="E212" s="117">
        <v>0.32900000000000001</v>
      </c>
      <c r="F212" s="117">
        <v>0.317</v>
      </c>
      <c r="G212" s="117">
        <v>0.315</v>
      </c>
      <c r="H212" s="118">
        <v>0.30299999999999999</v>
      </c>
      <c r="I212" s="159"/>
      <c r="J212" s="159"/>
    </row>
    <row r="213" spans="1:10" s="21" customFormat="1">
      <c r="A213" s="159"/>
      <c r="B213" s="159"/>
      <c r="C213" s="160"/>
      <c r="D213" s="159"/>
      <c r="E213" s="159"/>
      <c r="F213" s="159"/>
      <c r="G213" s="159"/>
      <c r="H213" s="159"/>
      <c r="I213" s="159"/>
      <c r="J213" s="159"/>
    </row>
    <row r="214" spans="1:10" s="21" customFormat="1">
      <c r="A214" s="159"/>
      <c r="B214" s="159"/>
      <c r="C214" s="160"/>
      <c r="D214" s="159"/>
      <c r="E214" s="159"/>
      <c r="F214" s="159"/>
      <c r="G214" s="159"/>
      <c r="H214" s="161"/>
      <c r="I214" s="159"/>
      <c r="J214" s="159"/>
    </row>
    <row r="215" spans="1:10" s="21" customFormat="1" ht="16">
      <c r="A215" s="159"/>
      <c r="B215" s="200" t="s">
        <v>362</v>
      </c>
      <c r="C215" s="201"/>
      <c r="D215" s="201"/>
      <c r="E215" s="201"/>
      <c r="F215" s="201"/>
      <c r="G215" s="201"/>
      <c r="H215" s="161"/>
      <c r="I215" s="159"/>
      <c r="J215" s="159"/>
    </row>
    <row r="216" spans="1:10" s="21" customFormat="1">
      <c r="A216" s="159"/>
      <c r="B216" s="159"/>
      <c r="C216" s="160"/>
      <c r="D216" s="161"/>
      <c r="E216" s="161"/>
      <c r="F216" s="161"/>
      <c r="G216" s="161"/>
      <c r="H216" s="161"/>
      <c r="I216" s="159"/>
      <c r="J216" s="159"/>
    </row>
    <row r="217" spans="1:10" s="21" customFormat="1">
      <c r="A217" s="202" t="s">
        <v>307</v>
      </c>
      <c r="B217" s="202"/>
      <c r="C217" s="202"/>
      <c r="D217" s="202"/>
      <c r="E217" s="202"/>
      <c r="F217" s="202"/>
      <c r="G217" s="202"/>
      <c r="H217" s="202"/>
      <c r="I217" s="159"/>
      <c r="J217" s="159"/>
    </row>
    <row r="218" spans="1:10" s="21" customFormat="1">
      <c r="A218" s="203" t="s">
        <v>308</v>
      </c>
      <c r="B218" s="203"/>
      <c r="C218" s="203"/>
      <c r="D218" s="203"/>
      <c r="E218" s="203"/>
      <c r="F218" s="203"/>
      <c r="G218" s="203"/>
      <c r="H218" s="203"/>
      <c r="I218" s="159"/>
      <c r="J218" s="159"/>
    </row>
    <row r="219" spans="1:10" ht="16" thickBot="1">
      <c r="A219" s="165"/>
      <c r="B219" s="165"/>
      <c r="C219" s="166"/>
      <c r="D219" s="167"/>
      <c r="E219" s="167"/>
      <c r="F219" s="167"/>
      <c r="G219" s="167"/>
      <c r="H219" s="167"/>
      <c r="I219" s="159"/>
      <c r="J219" s="159"/>
    </row>
    <row r="220" spans="1:10" ht="16" thickBot="1">
      <c r="A220" s="204" t="s">
        <v>293</v>
      </c>
      <c r="B220" s="205"/>
      <c r="C220" s="206" t="s">
        <v>294</v>
      </c>
      <c r="D220" s="207"/>
      <c r="E220" s="207"/>
      <c r="F220" s="207"/>
      <c r="G220" s="207"/>
      <c r="H220" s="208"/>
    </row>
    <row r="221" spans="1:10" ht="16" thickBot="1">
      <c r="A221" s="198" t="s">
        <v>295</v>
      </c>
      <c r="B221" s="199"/>
      <c r="C221" s="107">
        <v>0</v>
      </c>
      <c r="D221" s="107">
        <v>1</v>
      </c>
      <c r="E221" s="107">
        <v>2</v>
      </c>
      <c r="F221" s="107">
        <v>3</v>
      </c>
      <c r="G221" s="107">
        <v>4</v>
      </c>
      <c r="H221" s="108" t="s">
        <v>296</v>
      </c>
    </row>
    <row r="222" spans="1:10">
      <c r="A222" s="168" t="s">
        <v>297</v>
      </c>
      <c r="B222" s="123">
        <v>1310</v>
      </c>
      <c r="C222" s="119">
        <v>0</v>
      </c>
      <c r="D222" s="119">
        <v>0</v>
      </c>
      <c r="E222" s="119">
        <v>0</v>
      </c>
      <c r="F222" s="119">
        <v>0</v>
      </c>
      <c r="G222" s="119">
        <v>0</v>
      </c>
      <c r="H222" s="120">
        <v>0</v>
      </c>
    </row>
    <row r="223" spans="1:10">
      <c r="A223" s="163" t="s">
        <v>297</v>
      </c>
      <c r="B223" s="115">
        <v>1414</v>
      </c>
      <c r="C223" s="113">
        <v>1.2999999999999999E-2</v>
      </c>
      <c r="D223" s="113">
        <v>0</v>
      </c>
      <c r="E223" s="113">
        <v>0</v>
      </c>
      <c r="F223" s="113">
        <v>0</v>
      </c>
      <c r="G223" s="113">
        <v>0</v>
      </c>
      <c r="H223" s="114">
        <v>0</v>
      </c>
    </row>
    <row r="224" spans="1:10">
      <c r="A224" s="163" t="s">
        <v>297</v>
      </c>
      <c r="B224" s="115">
        <v>1455</v>
      </c>
      <c r="C224" s="113">
        <v>3.6999999999999998E-2</v>
      </c>
      <c r="D224" s="113">
        <v>2.9000000000000001E-2</v>
      </c>
      <c r="E224" s="113">
        <v>0</v>
      </c>
      <c r="F224" s="113">
        <v>0</v>
      </c>
      <c r="G224" s="113">
        <v>0</v>
      </c>
      <c r="H224" s="114">
        <v>0</v>
      </c>
    </row>
    <row r="225" spans="1:10">
      <c r="A225" s="163" t="s">
        <v>297</v>
      </c>
      <c r="B225" s="115">
        <v>1639</v>
      </c>
      <c r="C225" s="113">
        <v>4.7E-2</v>
      </c>
      <c r="D225" s="113">
        <v>3.9E-2</v>
      </c>
      <c r="E225" s="113">
        <v>0.02</v>
      </c>
      <c r="F225" s="113">
        <v>0</v>
      </c>
      <c r="G225" s="113">
        <v>0</v>
      </c>
      <c r="H225" s="114">
        <v>0</v>
      </c>
    </row>
    <row r="226" spans="1:10">
      <c r="A226" s="163" t="s">
        <v>297</v>
      </c>
      <c r="B226" s="115">
        <v>1956</v>
      </c>
      <c r="C226" s="113">
        <v>6.7000000000000004E-2</v>
      </c>
      <c r="D226" s="113">
        <v>5.8999999999999997E-2</v>
      </c>
      <c r="E226" s="113">
        <v>4.2000000000000003E-2</v>
      </c>
      <c r="F226" s="113">
        <v>2.4E-2</v>
      </c>
      <c r="G226" s="113">
        <v>1.6E-2</v>
      </c>
      <c r="H226" s="114">
        <v>0</v>
      </c>
    </row>
    <row r="227" spans="1:10">
      <c r="A227" s="163" t="s">
        <v>297</v>
      </c>
      <c r="B227" s="115">
        <v>2079</v>
      </c>
      <c r="C227" s="113">
        <v>8.2000000000000003E-2</v>
      </c>
      <c r="D227" s="113">
        <v>7.4999999999999997E-2</v>
      </c>
      <c r="E227" s="113">
        <v>5.6000000000000001E-2</v>
      </c>
      <c r="F227" s="113">
        <v>3.9E-2</v>
      </c>
      <c r="G227" s="113">
        <v>3.1E-2</v>
      </c>
      <c r="H227" s="114">
        <v>2.3E-2</v>
      </c>
    </row>
    <row r="228" spans="1:10">
      <c r="A228" s="163" t="s">
        <v>297</v>
      </c>
      <c r="B228" s="115">
        <v>2213</v>
      </c>
      <c r="C228" s="113">
        <v>0.10100000000000001</v>
      </c>
      <c r="D228" s="113">
        <v>8.5000000000000006E-2</v>
      </c>
      <c r="E228" s="113">
        <v>7.6999999999999999E-2</v>
      </c>
      <c r="F228" s="113">
        <v>5.8000000000000003E-2</v>
      </c>
      <c r="G228" s="113">
        <v>4.1000000000000002E-2</v>
      </c>
      <c r="H228" s="114">
        <v>3.3000000000000002E-2</v>
      </c>
    </row>
    <row r="229" spans="1:10">
      <c r="A229" s="163" t="s">
        <v>297</v>
      </c>
      <c r="B229" s="115">
        <v>2314</v>
      </c>
      <c r="C229" s="113">
        <v>0.126</v>
      </c>
      <c r="D229" s="113">
        <v>0.109</v>
      </c>
      <c r="E229" s="113">
        <v>9.1999999999999998E-2</v>
      </c>
      <c r="F229" s="113">
        <v>7.3999999999999996E-2</v>
      </c>
      <c r="G229" s="113">
        <v>6.5000000000000002E-2</v>
      </c>
      <c r="H229" s="114">
        <v>5.7000000000000002E-2</v>
      </c>
    </row>
    <row r="230" spans="1:10" ht="15" customHeight="1">
      <c r="A230" s="163" t="s">
        <v>297</v>
      </c>
      <c r="B230" s="115">
        <v>2479</v>
      </c>
      <c r="C230" s="113">
        <v>0.14599999999999999</v>
      </c>
      <c r="D230" s="113">
        <v>0.129</v>
      </c>
      <c r="E230" s="113">
        <v>0.111</v>
      </c>
      <c r="F230" s="113">
        <v>9.4E-2</v>
      </c>
      <c r="G230" s="113">
        <v>7.5999999999999998E-2</v>
      </c>
      <c r="H230" s="114">
        <v>6.7000000000000004E-2</v>
      </c>
    </row>
    <row r="231" spans="1:10">
      <c r="A231" s="163" t="s">
        <v>297</v>
      </c>
      <c r="B231" s="115">
        <v>2561</v>
      </c>
      <c r="C231" s="113">
        <v>0.155</v>
      </c>
      <c r="D231" s="113">
        <v>0.13900000000000001</v>
      </c>
      <c r="E231" s="113">
        <v>0.13100000000000001</v>
      </c>
      <c r="F231" s="113">
        <v>0.113</v>
      </c>
      <c r="G231" s="113">
        <v>9.6000000000000002E-2</v>
      </c>
      <c r="H231" s="114">
        <v>8.7999999999999995E-2</v>
      </c>
    </row>
    <row r="232" spans="1:10">
      <c r="A232" s="163" t="s">
        <v>297</v>
      </c>
      <c r="B232" s="115">
        <v>2663</v>
      </c>
      <c r="C232" s="113">
        <v>0.16600000000000001</v>
      </c>
      <c r="D232" s="113">
        <v>0.14899999999999999</v>
      </c>
      <c r="E232" s="113">
        <v>0.14099999999999999</v>
      </c>
      <c r="F232" s="113">
        <v>0.123</v>
      </c>
      <c r="G232" s="113">
        <v>0.106</v>
      </c>
      <c r="H232" s="114">
        <v>9.8000000000000004E-2</v>
      </c>
    </row>
    <row r="233" spans="1:10">
      <c r="A233" s="163" t="s">
        <v>297</v>
      </c>
      <c r="B233" s="115">
        <v>2929</v>
      </c>
      <c r="C233" s="113">
        <v>0.17599999999999999</v>
      </c>
      <c r="D233" s="113">
        <v>0.159</v>
      </c>
      <c r="E233" s="113">
        <v>0.151</v>
      </c>
      <c r="F233" s="113">
        <v>0.13400000000000001</v>
      </c>
      <c r="G233" s="113">
        <v>0.11600000000000001</v>
      </c>
      <c r="H233" s="114">
        <v>0.108</v>
      </c>
    </row>
    <row r="234" spans="1:10">
      <c r="A234" s="163" t="s">
        <v>297</v>
      </c>
      <c r="B234" s="115">
        <v>3247</v>
      </c>
      <c r="C234" s="113">
        <v>0.187</v>
      </c>
      <c r="D234" s="113">
        <v>0.17399999999999999</v>
      </c>
      <c r="E234" s="113">
        <v>0.17</v>
      </c>
      <c r="F234" s="113">
        <v>0.156</v>
      </c>
      <c r="G234" s="113">
        <v>0.14299999999999999</v>
      </c>
      <c r="H234" s="114">
        <v>0.13900000000000001</v>
      </c>
    </row>
    <row r="235" spans="1:10" s="21" customFormat="1">
      <c r="A235" s="163" t="s">
        <v>297</v>
      </c>
      <c r="B235" s="115">
        <v>3585</v>
      </c>
      <c r="C235" s="113">
        <v>0.19900000000000001</v>
      </c>
      <c r="D235" s="113">
        <v>0.186</v>
      </c>
      <c r="E235" s="113">
        <v>0.182</v>
      </c>
      <c r="F235" s="113">
        <v>0.16800000000000001</v>
      </c>
      <c r="G235" s="113">
        <v>0.154</v>
      </c>
      <c r="H235" s="114">
        <v>0.15</v>
      </c>
      <c r="I235"/>
      <c r="J235"/>
    </row>
    <row r="236" spans="1:10" s="21" customFormat="1">
      <c r="A236" s="163" t="s">
        <v>297</v>
      </c>
      <c r="B236" s="115">
        <v>3718</v>
      </c>
      <c r="C236" s="113">
        <v>0.20899999999999999</v>
      </c>
      <c r="D236" s="113">
        <v>0.19800000000000001</v>
      </c>
      <c r="E236" s="113">
        <v>0.192</v>
      </c>
      <c r="F236" s="113">
        <v>0.17799999999999999</v>
      </c>
      <c r="G236" s="113">
        <v>0.17399999999999999</v>
      </c>
      <c r="H236" s="114">
        <v>0.16</v>
      </c>
      <c r="I236"/>
      <c r="J236"/>
    </row>
    <row r="237" spans="1:10" s="21" customFormat="1">
      <c r="A237" s="163" t="s">
        <v>297</v>
      </c>
      <c r="B237" s="115">
        <v>3933</v>
      </c>
      <c r="C237" s="113">
        <v>0.219</v>
      </c>
      <c r="D237" s="113">
        <v>0.20799999999999999</v>
      </c>
      <c r="E237" s="113">
        <v>0.20399999999999999</v>
      </c>
      <c r="F237" s="113">
        <v>0.188</v>
      </c>
      <c r="G237" s="113">
        <v>0.184</v>
      </c>
      <c r="H237" s="114">
        <v>0.17</v>
      </c>
      <c r="I237"/>
      <c r="J237"/>
    </row>
    <row r="238" spans="1:10" s="21" customFormat="1">
      <c r="A238" s="163" t="s">
        <v>297</v>
      </c>
      <c r="B238" s="115">
        <v>4353</v>
      </c>
      <c r="C238" s="113">
        <v>0.23400000000000001</v>
      </c>
      <c r="D238" s="113">
        <v>0.223</v>
      </c>
      <c r="E238" s="113">
        <v>0.219</v>
      </c>
      <c r="F238" s="113">
        <v>0.20499999999999999</v>
      </c>
      <c r="G238" s="113">
        <v>0.19900000000000001</v>
      </c>
      <c r="H238" s="114">
        <v>0.185</v>
      </c>
      <c r="I238"/>
      <c r="J238"/>
    </row>
    <row r="239" spans="1:10" s="21" customFormat="1">
      <c r="A239" s="163" t="s">
        <v>297</v>
      </c>
      <c r="B239" s="115">
        <v>4620</v>
      </c>
      <c r="C239" s="113">
        <v>0.24399999999999999</v>
      </c>
      <c r="D239" s="113">
        <v>0.23300000000000001</v>
      </c>
      <c r="E239" s="113">
        <v>0.22900000000000001</v>
      </c>
      <c r="F239" s="113">
        <v>0.215</v>
      </c>
      <c r="G239" s="113">
        <v>0.21099999999999999</v>
      </c>
      <c r="H239" s="114">
        <v>0.20499999999999999</v>
      </c>
      <c r="I239"/>
      <c r="J239"/>
    </row>
    <row r="240" spans="1:10" s="21" customFormat="1">
      <c r="A240" s="163" t="s">
        <v>297</v>
      </c>
      <c r="B240" s="115">
        <v>4916</v>
      </c>
      <c r="C240" s="113">
        <v>0.254</v>
      </c>
      <c r="D240" s="113">
        <v>0.24299999999999999</v>
      </c>
      <c r="E240" s="113">
        <v>0.23899999999999999</v>
      </c>
      <c r="F240" s="113">
        <v>0.22500000000000001</v>
      </c>
      <c r="G240" s="113">
        <v>0.221</v>
      </c>
      <c r="H240" s="114">
        <v>0.217</v>
      </c>
      <c r="I240"/>
      <c r="J240"/>
    </row>
    <row r="241" spans="1:10" s="21" customFormat="1">
      <c r="A241" s="163" t="s">
        <v>297</v>
      </c>
      <c r="B241" s="115">
        <v>5204</v>
      </c>
      <c r="C241" s="113">
        <v>0.26400000000000001</v>
      </c>
      <c r="D241" s="113">
        <v>0.253</v>
      </c>
      <c r="E241" s="113">
        <v>0.249</v>
      </c>
      <c r="F241" s="113">
        <v>0.23499999999999999</v>
      </c>
      <c r="G241" s="113">
        <v>0.23100000000000001</v>
      </c>
      <c r="H241" s="114">
        <v>0.22700000000000001</v>
      </c>
      <c r="I241"/>
      <c r="J241"/>
    </row>
    <row r="242" spans="1:10" s="21" customFormat="1">
      <c r="A242" s="163" t="s">
        <v>297</v>
      </c>
      <c r="B242" s="115">
        <v>5634</v>
      </c>
      <c r="C242" s="113">
        <v>0.27400000000000002</v>
      </c>
      <c r="D242" s="113">
        <v>0.26300000000000001</v>
      </c>
      <c r="E242" s="113">
        <v>0.25900000000000001</v>
      </c>
      <c r="F242" s="113">
        <v>0.245</v>
      </c>
      <c r="G242" s="113">
        <v>0.24099999999999999</v>
      </c>
      <c r="H242" s="114">
        <v>0.23699999999999999</v>
      </c>
      <c r="I242"/>
      <c r="J242"/>
    </row>
    <row r="243" spans="1:10" s="21" customFormat="1">
      <c r="A243" s="163" t="s">
        <v>297</v>
      </c>
      <c r="B243" s="115">
        <v>6064</v>
      </c>
      <c r="C243" s="113">
        <v>0.28899999999999998</v>
      </c>
      <c r="D243" s="113">
        <v>0.27800000000000002</v>
      </c>
      <c r="E243" s="113">
        <v>0.27400000000000002</v>
      </c>
      <c r="F243" s="113">
        <v>0.26</v>
      </c>
      <c r="G243" s="113">
        <v>0.25600000000000001</v>
      </c>
      <c r="H243" s="114">
        <v>0.252</v>
      </c>
      <c r="I243"/>
      <c r="J243"/>
    </row>
    <row r="244" spans="1:10" s="21" customFormat="1">
      <c r="A244" s="163" t="s">
        <v>297</v>
      </c>
      <c r="B244" s="115">
        <v>6768</v>
      </c>
      <c r="C244" s="113">
        <v>0.30299999999999999</v>
      </c>
      <c r="D244" s="113">
        <v>0.29499999999999998</v>
      </c>
      <c r="E244" s="113">
        <v>0.29299999999999998</v>
      </c>
      <c r="F244" s="113">
        <v>0.28100000000000003</v>
      </c>
      <c r="G244" s="113">
        <v>0.27900000000000003</v>
      </c>
      <c r="H244" s="114">
        <v>0.27700000000000002</v>
      </c>
      <c r="I244"/>
      <c r="J244"/>
    </row>
    <row r="245" spans="1:10" s="21" customFormat="1">
      <c r="A245" s="163" t="s">
        <v>297</v>
      </c>
      <c r="B245" s="115">
        <v>7236</v>
      </c>
      <c r="C245" s="113">
        <v>0.313</v>
      </c>
      <c r="D245" s="113">
        <v>0.30599999999999999</v>
      </c>
      <c r="E245" s="113">
        <v>0.30199999999999999</v>
      </c>
      <c r="F245" s="113">
        <v>0.29099999999999998</v>
      </c>
      <c r="G245" s="113">
        <v>0.28899999999999998</v>
      </c>
      <c r="H245" s="114">
        <v>0.28699999999999998</v>
      </c>
      <c r="I245"/>
      <c r="J245"/>
    </row>
    <row r="246" spans="1:10" s="21" customFormat="1">
      <c r="A246" s="163" t="s">
        <v>297</v>
      </c>
      <c r="B246" s="115">
        <v>7817</v>
      </c>
      <c r="C246" s="113">
        <v>0.32300000000000001</v>
      </c>
      <c r="D246" s="113">
        <v>0.316</v>
      </c>
      <c r="E246" s="113">
        <v>0.314</v>
      </c>
      <c r="F246" s="113">
        <v>0.3</v>
      </c>
      <c r="G246" s="113">
        <v>0.29899999999999999</v>
      </c>
      <c r="H246" s="114">
        <v>0.29699999999999999</v>
      </c>
      <c r="I246"/>
      <c r="J246"/>
    </row>
    <row r="247" spans="1:10" s="21" customFormat="1">
      <c r="A247" s="163" t="s">
        <v>297</v>
      </c>
      <c r="B247" s="115">
        <v>8500</v>
      </c>
      <c r="C247" s="113">
        <v>0.33300000000000002</v>
      </c>
      <c r="D247" s="113">
        <v>0.32600000000000001</v>
      </c>
      <c r="E247" s="113">
        <v>0.32400000000000001</v>
      </c>
      <c r="F247" s="113">
        <v>0.312</v>
      </c>
      <c r="G247" s="113">
        <v>0.308</v>
      </c>
      <c r="H247" s="114">
        <v>0.30599999999999999</v>
      </c>
      <c r="I247"/>
      <c r="J247"/>
    </row>
    <row r="248" spans="1:10" s="21" customFormat="1">
      <c r="A248" s="163" t="s">
        <v>297</v>
      </c>
      <c r="B248" s="115">
        <v>9284</v>
      </c>
      <c r="C248" s="113">
        <v>0.34300000000000003</v>
      </c>
      <c r="D248" s="113">
        <v>0.33600000000000002</v>
      </c>
      <c r="E248" s="113">
        <v>0.33400000000000002</v>
      </c>
      <c r="F248" s="113">
        <v>0.32200000000000001</v>
      </c>
      <c r="G248" s="113">
        <v>0.32</v>
      </c>
      <c r="H248" s="114">
        <v>0.316</v>
      </c>
      <c r="I248"/>
      <c r="J248"/>
    </row>
    <row r="249" spans="1:10" s="21" customFormat="1">
      <c r="A249" s="163" t="s">
        <v>297</v>
      </c>
      <c r="B249" s="115">
        <v>10018</v>
      </c>
      <c r="C249" s="113">
        <v>0.35799999999999998</v>
      </c>
      <c r="D249" s="113">
        <v>0.35099999999999998</v>
      </c>
      <c r="E249" s="113">
        <v>0.34899999999999998</v>
      </c>
      <c r="F249" s="113">
        <v>0.33700000000000002</v>
      </c>
      <c r="G249" s="113">
        <v>0.33500000000000002</v>
      </c>
      <c r="H249" s="114">
        <v>0.33300000000000002</v>
      </c>
      <c r="I249"/>
      <c r="J249"/>
    </row>
    <row r="250" spans="1:10" s="21" customFormat="1">
      <c r="A250" s="170" t="s">
        <v>297</v>
      </c>
      <c r="B250" s="115">
        <v>12535</v>
      </c>
      <c r="C250" s="169">
        <v>0.36799999999999999</v>
      </c>
      <c r="D250" s="113">
        <v>0.36099999999999999</v>
      </c>
      <c r="E250" s="169">
        <v>0.35899999999999999</v>
      </c>
      <c r="F250" s="113">
        <v>0.34699999999999998</v>
      </c>
      <c r="G250" s="169">
        <v>0.34499999999999997</v>
      </c>
      <c r="H250" s="114">
        <v>0.34300000000000003</v>
      </c>
      <c r="I250"/>
      <c r="J250"/>
    </row>
    <row r="251" spans="1:10" s="21" customFormat="1" ht="16" thickBot="1">
      <c r="A251" s="171" t="s">
        <v>298</v>
      </c>
      <c r="B251" s="116">
        <v>12535</v>
      </c>
      <c r="C251" s="122">
        <v>0.378</v>
      </c>
      <c r="D251" s="117">
        <v>0.371</v>
      </c>
      <c r="E251" s="122">
        <v>0.36899999999999999</v>
      </c>
      <c r="F251" s="117">
        <v>0.35699999999999998</v>
      </c>
      <c r="G251" s="122">
        <v>0.35499999999999998</v>
      </c>
      <c r="H251" s="118">
        <v>0.35299999999999998</v>
      </c>
      <c r="I251"/>
      <c r="J251"/>
    </row>
    <row r="252" spans="1:10" s="21" customFormat="1">
      <c r="A252"/>
      <c r="B252"/>
      <c r="C252" s="173"/>
      <c r="D252"/>
      <c r="E252"/>
      <c r="F252"/>
      <c r="G252"/>
      <c r="H252"/>
      <c r="I252"/>
      <c r="J252"/>
    </row>
    <row r="253" spans="1:10" s="21" customFormat="1">
      <c r="A253"/>
      <c r="B253"/>
      <c r="C253" s="173"/>
      <c r="D253"/>
      <c r="E253"/>
      <c r="F253"/>
      <c r="G253"/>
      <c r="H253"/>
      <c r="I253"/>
      <c r="J253"/>
    </row>
    <row r="254" spans="1:10" s="21" customFormat="1" ht="16">
      <c r="A254" s="200" t="s">
        <v>362</v>
      </c>
      <c r="B254" s="200"/>
      <c r="C254" s="200"/>
      <c r="D254" s="200"/>
      <c r="E254" s="200"/>
      <c r="F254" s="200"/>
      <c r="G254" s="174"/>
      <c r="H254" s="161"/>
      <c r="I254"/>
      <c r="J254"/>
    </row>
    <row r="255" spans="1:10" s="21" customFormat="1">
      <c r="A255" s="159"/>
      <c r="B255" s="159"/>
      <c r="C255" s="160"/>
      <c r="D255" s="161"/>
      <c r="E255" s="161"/>
      <c r="F255" s="161"/>
      <c r="G255" s="161"/>
      <c r="H255" s="161"/>
      <c r="I255"/>
      <c r="J255"/>
    </row>
    <row r="256" spans="1:10">
      <c r="A256" s="202" t="s">
        <v>309</v>
      </c>
      <c r="B256" s="202"/>
      <c r="C256" s="202"/>
      <c r="D256" s="202"/>
      <c r="E256" s="202"/>
      <c r="F256" s="202"/>
      <c r="G256" s="175"/>
      <c r="H256" s="175"/>
    </row>
    <row r="257" spans="1:10" ht="16" thickBot="1">
      <c r="A257" s="159"/>
      <c r="B257" s="159"/>
      <c r="C257" s="160"/>
      <c r="D257" s="161"/>
      <c r="E257" s="161"/>
      <c r="F257" s="161"/>
      <c r="G257" s="161"/>
      <c r="H257" s="161"/>
    </row>
    <row r="258" spans="1:10">
      <c r="A258" s="204" t="s">
        <v>293</v>
      </c>
      <c r="B258" s="205"/>
      <c r="C258" s="211" t="s">
        <v>302</v>
      </c>
      <c r="D258" s="212"/>
      <c r="E258" s="213" t="s">
        <v>300</v>
      </c>
      <c r="F258" s="212"/>
      <c r="I258" s="159"/>
      <c r="J258" s="159"/>
    </row>
    <row r="259" spans="1:10" ht="16" thickBot="1">
      <c r="A259" s="198" t="s">
        <v>295</v>
      </c>
      <c r="B259" s="199"/>
      <c r="C259" s="214" t="s">
        <v>292</v>
      </c>
      <c r="D259" s="215"/>
      <c r="E259" s="216"/>
      <c r="F259" s="215"/>
      <c r="I259" s="159"/>
      <c r="J259" s="159"/>
    </row>
    <row r="260" spans="1:10">
      <c r="A260" s="162" t="s">
        <v>297</v>
      </c>
      <c r="B260" s="123">
        <v>659</v>
      </c>
      <c r="C260" s="176"/>
      <c r="D260" s="127">
        <v>0</v>
      </c>
      <c r="E260" s="177"/>
      <c r="F260" s="128">
        <v>0</v>
      </c>
      <c r="I260" s="159"/>
      <c r="J260" s="159"/>
    </row>
    <row r="261" spans="1:10">
      <c r="A261" s="163" t="s">
        <v>297</v>
      </c>
      <c r="B261" s="115">
        <v>686</v>
      </c>
      <c r="C261" s="178"/>
      <c r="D261" s="129">
        <v>1E-3</v>
      </c>
      <c r="E261" s="179"/>
      <c r="F261" s="130">
        <v>0</v>
      </c>
      <c r="I261" s="159"/>
      <c r="J261" s="159"/>
    </row>
    <row r="262" spans="1:10">
      <c r="A262" s="163" t="s">
        <v>297</v>
      </c>
      <c r="B262" s="115">
        <v>705</v>
      </c>
      <c r="C262" s="178"/>
      <c r="D262" s="129">
        <v>2.5999999999999999E-2</v>
      </c>
      <c r="E262" s="179"/>
      <c r="F262" s="130">
        <v>0</v>
      </c>
      <c r="I262" s="159"/>
      <c r="J262" s="159"/>
    </row>
    <row r="263" spans="1:10">
      <c r="A263" s="163" t="s">
        <v>297</v>
      </c>
      <c r="B263" s="115">
        <v>765</v>
      </c>
      <c r="C263" s="178"/>
      <c r="D263" s="129">
        <v>4.2999999999999997E-2</v>
      </c>
      <c r="E263" s="179"/>
      <c r="F263" s="130">
        <v>8.9999999999999993E-3</v>
      </c>
      <c r="I263" s="159"/>
      <c r="J263" s="159"/>
    </row>
    <row r="264" spans="1:10">
      <c r="A264" s="163" t="s">
        <v>297</v>
      </c>
      <c r="B264" s="115">
        <v>840</v>
      </c>
      <c r="C264" s="178"/>
      <c r="D264" s="129">
        <v>5.8000000000000003E-2</v>
      </c>
      <c r="E264" s="179"/>
      <c r="F264" s="130">
        <v>2.8000000000000001E-2</v>
      </c>
      <c r="I264" s="159"/>
      <c r="J264" s="159"/>
    </row>
    <row r="265" spans="1:10">
      <c r="A265" s="163" t="s">
        <v>297</v>
      </c>
      <c r="B265" s="115">
        <v>915</v>
      </c>
      <c r="C265" s="178"/>
      <c r="D265" s="129">
        <v>8.1000000000000003E-2</v>
      </c>
      <c r="E265" s="179"/>
      <c r="F265" s="130">
        <v>5.1999999999999998E-2</v>
      </c>
      <c r="I265" s="159"/>
      <c r="J265" s="159"/>
    </row>
    <row r="266" spans="1:10">
      <c r="A266" s="163" t="s">
        <v>297</v>
      </c>
      <c r="B266" s="115">
        <v>979</v>
      </c>
      <c r="C266" s="178"/>
      <c r="D266" s="129">
        <v>0.09</v>
      </c>
      <c r="E266" s="179"/>
      <c r="F266" s="130">
        <v>5.1999999999999998E-2</v>
      </c>
      <c r="I266" s="159"/>
      <c r="J266" s="159"/>
    </row>
    <row r="267" spans="1:10">
      <c r="A267" s="163" t="s">
        <v>297</v>
      </c>
      <c r="B267" s="115">
        <v>1052</v>
      </c>
      <c r="C267" s="178"/>
      <c r="D267" s="129">
        <v>9.8000000000000004E-2</v>
      </c>
      <c r="E267" s="179"/>
      <c r="F267" s="130">
        <v>5.6000000000000001E-2</v>
      </c>
      <c r="I267" s="159"/>
      <c r="J267" s="159"/>
    </row>
    <row r="268" spans="1:10">
      <c r="A268" s="163" t="s">
        <v>297</v>
      </c>
      <c r="B268" s="115">
        <v>1080</v>
      </c>
      <c r="C268" s="178"/>
      <c r="D268" s="129">
        <v>0.107</v>
      </c>
      <c r="E268" s="179"/>
      <c r="F268" s="130">
        <v>0.06</v>
      </c>
      <c r="I268" s="159"/>
      <c r="J268" s="159"/>
    </row>
    <row r="269" spans="1:10">
      <c r="A269" s="163" t="s">
        <v>297</v>
      </c>
      <c r="B269" s="115">
        <v>1161</v>
      </c>
      <c r="C269" s="178"/>
      <c r="D269" s="129">
        <v>0.11799999999999999</v>
      </c>
      <c r="E269" s="179"/>
      <c r="F269" s="130">
        <v>8.5000000000000006E-2</v>
      </c>
      <c r="I269" s="159"/>
      <c r="J269" s="159"/>
    </row>
    <row r="270" spans="1:10">
      <c r="A270" s="163" t="s">
        <v>297</v>
      </c>
      <c r="B270" s="115">
        <v>1230</v>
      </c>
      <c r="C270" s="178"/>
      <c r="D270" s="129">
        <v>0.128</v>
      </c>
      <c r="E270" s="179"/>
      <c r="F270" s="130">
        <v>8.5000000000000006E-2</v>
      </c>
      <c r="I270" s="159"/>
      <c r="J270" s="159"/>
    </row>
    <row r="271" spans="1:10">
      <c r="A271" s="163" t="s">
        <v>297</v>
      </c>
      <c r="B271" s="115">
        <v>1328</v>
      </c>
      <c r="C271" s="178"/>
      <c r="D271" s="129">
        <v>0.13800000000000001</v>
      </c>
      <c r="E271" s="179"/>
      <c r="F271" s="130">
        <v>9.5000000000000001E-2</v>
      </c>
      <c r="I271" s="159"/>
      <c r="J271" s="159"/>
    </row>
    <row r="272" spans="1:10">
      <c r="A272" s="163" t="s">
        <v>297</v>
      </c>
      <c r="B272" s="115">
        <v>1429</v>
      </c>
      <c r="C272" s="178"/>
      <c r="D272" s="129">
        <v>0.14899999999999999</v>
      </c>
      <c r="E272" s="179"/>
      <c r="F272" s="130">
        <v>0.105</v>
      </c>
      <c r="I272" s="159"/>
      <c r="J272" s="159"/>
    </row>
    <row r="273" spans="1:10">
      <c r="A273" s="163" t="s">
        <v>297</v>
      </c>
      <c r="B273" s="115">
        <v>1557</v>
      </c>
      <c r="C273" s="178"/>
      <c r="D273" s="129">
        <v>0.159</v>
      </c>
      <c r="E273" s="179"/>
      <c r="F273" s="130">
        <v>0.115</v>
      </c>
      <c r="I273" s="159"/>
      <c r="J273" s="159"/>
    </row>
    <row r="274" spans="1:10">
      <c r="A274" s="163" t="s">
        <v>297</v>
      </c>
      <c r="B274" s="115">
        <v>1687</v>
      </c>
      <c r="C274" s="178"/>
      <c r="D274" s="129">
        <v>0.16900000000000001</v>
      </c>
      <c r="E274" s="179"/>
      <c r="F274" s="130">
        <v>0.13</v>
      </c>
      <c r="I274" s="159"/>
      <c r="J274" s="159"/>
    </row>
    <row r="275" spans="1:10">
      <c r="A275" s="163" t="s">
        <v>297</v>
      </c>
      <c r="B275" s="115">
        <v>1766</v>
      </c>
      <c r="C275" s="178"/>
      <c r="D275" s="129">
        <v>0.17499999999999999</v>
      </c>
      <c r="E275" s="179"/>
      <c r="F275" s="130">
        <v>0.14000000000000001</v>
      </c>
      <c r="I275" s="159"/>
      <c r="J275" s="159"/>
    </row>
    <row r="276" spans="1:10">
      <c r="A276" s="163" t="s">
        <v>297</v>
      </c>
      <c r="B276" s="115">
        <v>1864</v>
      </c>
      <c r="C276" s="178"/>
      <c r="D276" s="129">
        <v>0.17899999999999999</v>
      </c>
      <c r="E276" s="179"/>
      <c r="F276" s="130">
        <v>0.14499999999999999</v>
      </c>
      <c r="I276" s="159"/>
      <c r="J276" s="159"/>
    </row>
    <row r="277" spans="1:10">
      <c r="A277" s="163" t="s">
        <v>297</v>
      </c>
      <c r="B277" s="115">
        <v>1963</v>
      </c>
      <c r="C277" s="178"/>
      <c r="D277" s="129">
        <v>0.19900000000000001</v>
      </c>
      <c r="E277" s="179"/>
      <c r="F277" s="130">
        <v>0.155</v>
      </c>
      <c r="I277" s="159"/>
      <c r="J277" s="159"/>
    </row>
    <row r="278" spans="1:10">
      <c r="A278" s="163" t="s">
        <v>297</v>
      </c>
      <c r="B278" s="115">
        <v>2082</v>
      </c>
      <c r="C278" s="178"/>
      <c r="D278" s="129">
        <v>0.20799999999999999</v>
      </c>
      <c r="E278" s="179"/>
      <c r="F278" s="130">
        <v>0.16400000000000001</v>
      </c>
    </row>
    <row r="279" spans="1:10">
      <c r="A279" s="163" t="s">
        <v>297</v>
      </c>
      <c r="B279" s="115">
        <v>2212</v>
      </c>
      <c r="C279" s="178"/>
      <c r="D279" s="129">
        <v>0.223</v>
      </c>
      <c r="E279" s="179"/>
      <c r="F279" s="130">
        <v>0.17499999999999999</v>
      </c>
    </row>
    <row r="280" spans="1:10">
      <c r="A280" s="163" t="s">
        <v>297</v>
      </c>
      <c r="B280" s="115">
        <v>2359</v>
      </c>
      <c r="C280" s="178"/>
      <c r="D280" s="129">
        <v>0.23300000000000001</v>
      </c>
      <c r="E280" s="179"/>
      <c r="F280" s="130">
        <v>0.17499999999999999</v>
      </c>
    </row>
    <row r="281" spans="1:10">
      <c r="A281" s="163" t="s">
        <v>297</v>
      </c>
      <c r="B281" s="115">
        <v>2489</v>
      </c>
      <c r="C281" s="178"/>
      <c r="D281" s="129">
        <v>0.23899999999999999</v>
      </c>
      <c r="E281" s="179"/>
      <c r="F281" s="130">
        <v>0.185</v>
      </c>
    </row>
    <row r="282" spans="1:10">
      <c r="A282" s="163" t="s">
        <v>297</v>
      </c>
      <c r="B282" s="115">
        <v>2566</v>
      </c>
      <c r="C282" s="178"/>
      <c r="D282" s="129">
        <v>0.254</v>
      </c>
      <c r="E282" s="179"/>
      <c r="F282" s="130">
        <v>0.185</v>
      </c>
    </row>
    <row r="283" spans="1:10">
      <c r="A283" s="163" t="s">
        <v>297</v>
      </c>
      <c r="B283" s="115">
        <v>2705</v>
      </c>
      <c r="C283" s="178"/>
      <c r="D283" s="129">
        <v>0.26400000000000001</v>
      </c>
      <c r="E283" s="179"/>
      <c r="F283" s="130">
        <v>0.19500000000000001</v>
      </c>
    </row>
    <row r="284" spans="1:10">
      <c r="A284" s="163" t="s">
        <v>297</v>
      </c>
      <c r="B284" s="115">
        <v>2870</v>
      </c>
      <c r="C284" s="178"/>
      <c r="D284" s="129">
        <v>0.27400000000000002</v>
      </c>
      <c r="E284" s="179"/>
      <c r="F284" s="130">
        <v>0.21</v>
      </c>
    </row>
    <row r="285" spans="1:10">
      <c r="A285" s="163" t="s">
        <v>297</v>
      </c>
      <c r="B285" s="115">
        <v>3062</v>
      </c>
      <c r="C285" s="178"/>
      <c r="D285" s="129">
        <v>0.28599999999999998</v>
      </c>
      <c r="E285" s="179"/>
      <c r="F285" s="130">
        <v>0.22700000000000001</v>
      </c>
    </row>
    <row r="286" spans="1:10">
      <c r="A286" s="163" t="s">
        <v>297</v>
      </c>
      <c r="B286" s="115">
        <v>3210</v>
      </c>
      <c r="C286" s="178"/>
      <c r="D286" s="129">
        <v>0.30299999999999999</v>
      </c>
      <c r="E286" s="179"/>
      <c r="F286" s="130">
        <v>0.23899999999999999</v>
      </c>
    </row>
    <row r="287" spans="1:10">
      <c r="A287" s="163" t="s">
        <v>297</v>
      </c>
      <c r="B287" s="115">
        <v>3412</v>
      </c>
      <c r="C287" s="178"/>
      <c r="D287" s="129">
        <v>0.313</v>
      </c>
      <c r="E287" s="179"/>
      <c r="F287" s="130">
        <v>0.249</v>
      </c>
    </row>
    <row r="288" spans="1:10">
      <c r="A288" s="163" t="s">
        <v>297</v>
      </c>
      <c r="B288" s="115">
        <v>3641</v>
      </c>
      <c r="C288" s="178"/>
      <c r="D288" s="129">
        <v>0.32300000000000001</v>
      </c>
      <c r="E288" s="179"/>
      <c r="F288" s="130">
        <v>0.26900000000000002</v>
      </c>
    </row>
    <row r="289" spans="1:8">
      <c r="A289" s="163" t="s">
        <v>297</v>
      </c>
      <c r="B289" s="115">
        <v>3901</v>
      </c>
      <c r="C289" s="178"/>
      <c r="D289" s="129">
        <v>0.32800000000000001</v>
      </c>
      <c r="E289" s="179"/>
      <c r="F289" s="130">
        <v>0.27400000000000002</v>
      </c>
    </row>
    <row r="290" spans="1:8">
      <c r="A290" s="163" t="s">
        <v>297</v>
      </c>
      <c r="B290" s="115">
        <v>4170</v>
      </c>
      <c r="C290" s="178"/>
      <c r="D290" s="129">
        <v>0.33300000000000002</v>
      </c>
      <c r="E290" s="179"/>
      <c r="F290" s="130">
        <v>0.27400000000000002</v>
      </c>
    </row>
    <row r="291" spans="1:8">
      <c r="A291" s="163" t="s">
        <v>297</v>
      </c>
      <c r="B291" s="180">
        <v>4419</v>
      </c>
      <c r="C291" s="178"/>
      <c r="D291" s="129">
        <v>0.33800000000000002</v>
      </c>
      <c r="E291" s="179"/>
      <c r="F291" s="130">
        <v>0.27400000000000002</v>
      </c>
    </row>
    <row r="292" spans="1:8">
      <c r="A292" s="163" t="s">
        <v>297</v>
      </c>
      <c r="B292" s="180">
        <v>4667</v>
      </c>
      <c r="C292" s="178"/>
      <c r="D292" s="129">
        <v>0.34799999999999998</v>
      </c>
      <c r="E292" s="179"/>
      <c r="F292" s="130">
        <v>0.28399999999999997</v>
      </c>
    </row>
    <row r="293" spans="1:8">
      <c r="A293" s="163" t="s">
        <v>297</v>
      </c>
      <c r="B293" s="180">
        <v>4954</v>
      </c>
      <c r="C293" s="178"/>
      <c r="D293" s="129">
        <v>0.36299999999999999</v>
      </c>
      <c r="E293" s="179"/>
      <c r="F293" s="130">
        <v>0.29899999999999999</v>
      </c>
    </row>
    <row r="294" spans="1:8">
      <c r="A294" s="163" t="s">
        <v>297</v>
      </c>
      <c r="B294" s="180">
        <v>5367</v>
      </c>
      <c r="C294" s="178"/>
      <c r="D294" s="129">
        <v>0.373</v>
      </c>
      <c r="E294" s="179"/>
      <c r="F294" s="130">
        <v>0.308</v>
      </c>
    </row>
    <row r="295" spans="1:8">
      <c r="A295" s="163" t="s">
        <v>297</v>
      </c>
      <c r="B295" s="180">
        <v>7247</v>
      </c>
      <c r="C295" s="178"/>
      <c r="D295" s="129">
        <v>0.38300000000000001</v>
      </c>
      <c r="E295" s="179"/>
      <c r="F295" s="130">
        <v>0.318</v>
      </c>
    </row>
    <row r="296" spans="1:8">
      <c r="A296" s="163" t="s">
        <v>297</v>
      </c>
      <c r="B296" s="180">
        <v>7568</v>
      </c>
      <c r="C296" s="178"/>
      <c r="D296" s="129">
        <v>0.39300000000000002</v>
      </c>
      <c r="E296" s="179"/>
      <c r="F296" s="130">
        <v>0.32800000000000001</v>
      </c>
    </row>
    <row r="297" spans="1:8">
      <c r="A297" s="163" t="s">
        <v>297</v>
      </c>
      <c r="B297" s="180">
        <v>8704</v>
      </c>
      <c r="C297" s="178"/>
      <c r="D297" s="129">
        <v>0.39300000000000002</v>
      </c>
      <c r="E297" s="179"/>
      <c r="F297" s="130">
        <v>0.33800000000000002</v>
      </c>
    </row>
    <row r="298" spans="1:8" ht="16" thickBot="1">
      <c r="A298" s="164" t="s">
        <v>298</v>
      </c>
      <c r="B298" s="181">
        <v>8704</v>
      </c>
      <c r="C298" s="182"/>
      <c r="D298" s="131">
        <v>0.39800000000000002</v>
      </c>
      <c r="E298" s="183"/>
      <c r="F298" s="132">
        <v>0.34300000000000003</v>
      </c>
    </row>
    <row r="301" spans="1:8" ht="16">
      <c r="A301" s="200" t="s">
        <v>362</v>
      </c>
      <c r="B301" s="200"/>
      <c r="C301" s="200"/>
      <c r="D301" s="200"/>
      <c r="E301" s="200"/>
      <c r="F301" s="200"/>
      <c r="H301" s="161"/>
    </row>
    <row r="302" spans="1:8">
      <c r="A302" s="159"/>
      <c r="B302" s="159"/>
      <c r="C302" s="160"/>
      <c r="D302" s="161"/>
      <c r="E302" s="161"/>
      <c r="F302" s="161"/>
      <c r="G302" s="161"/>
      <c r="H302" s="161"/>
    </row>
    <row r="303" spans="1:8">
      <c r="A303" s="202" t="s">
        <v>310</v>
      </c>
      <c r="B303" s="202"/>
      <c r="C303" s="202"/>
      <c r="D303" s="202"/>
      <c r="E303" s="202"/>
      <c r="F303" s="202"/>
      <c r="G303" s="175"/>
      <c r="H303" s="175"/>
    </row>
    <row r="304" spans="1:8">
      <c r="A304" s="203" t="s">
        <v>311</v>
      </c>
      <c r="B304" s="203"/>
      <c r="C304" s="203"/>
      <c r="D304" s="203"/>
      <c r="E304" s="203"/>
      <c r="F304" s="203"/>
      <c r="G304" s="184"/>
      <c r="H304" s="184"/>
    </row>
    <row r="305" spans="1:10" ht="16" thickBot="1"/>
    <row r="306" spans="1:10">
      <c r="A306" s="204" t="s">
        <v>293</v>
      </c>
      <c r="B306" s="205"/>
      <c r="C306" s="211" t="s">
        <v>302</v>
      </c>
      <c r="D306" s="212"/>
      <c r="E306" s="213" t="s">
        <v>300</v>
      </c>
      <c r="F306" s="212"/>
    </row>
    <row r="307" spans="1:10" ht="16" thickBot="1">
      <c r="A307" s="198" t="s">
        <v>295</v>
      </c>
      <c r="B307" s="199"/>
      <c r="C307" s="214" t="s">
        <v>292</v>
      </c>
      <c r="D307" s="215"/>
      <c r="E307" s="216"/>
      <c r="F307" s="215"/>
    </row>
    <row r="308" spans="1:10">
      <c r="A308" s="162" t="s">
        <v>297</v>
      </c>
      <c r="B308" s="185">
        <v>1414</v>
      </c>
      <c r="C308" s="176"/>
      <c r="D308" s="186">
        <v>0</v>
      </c>
      <c r="E308" s="177"/>
      <c r="F308" s="187">
        <v>0</v>
      </c>
    </row>
    <row r="309" spans="1:10">
      <c r="A309" s="163" t="s">
        <v>297</v>
      </c>
      <c r="B309" s="188">
        <v>1610</v>
      </c>
      <c r="C309" s="178"/>
      <c r="D309" s="189">
        <v>1.7999999999999999E-2</v>
      </c>
      <c r="E309" s="179"/>
      <c r="F309" s="190">
        <v>0</v>
      </c>
    </row>
    <row r="310" spans="1:10">
      <c r="A310" s="163" t="s">
        <v>297</v>
      </c>
      <c r="B310" s="188">
        <v>1648</v>
      </c>
      <c r="C310" s="178"/>
      <c r="D310" s="189">
        <v>3.7999999999999999E-2</v>
      </c>
      <c r="E310" s="179"/>
      <c r="F310" s="190">
        <v>0</v>
      </c>
    </row>
    <row r="311" spans="1:10">
      <c r="A311" s="163" t="s">
        <v>297</v>
      </c>
      <c r="B311" s="188">
        <v>1845</v>
      </c>
      <c r="C311" s="178"/>
      <c r="D311" s="189">
        <v>5.7000000000000002E-2</v>
      </c>
      <c r="E311" s="179"/>
      <c r="F311" s="190">
        <v>3.7999999999999999E-2</v>
      </c>
    </row>
    <row r="312" spans="1:10">
      <c r="A312" s="163" t="s">
        <v>297</v>
      </c>
      <c r="B312" s="188">
        <v>1913</v>
      </c>
      <c r="C312" s="178"/>
      <c r="D312" s="189">
        <v>6.7000000000000004E-2</v>
      </c>
      <c r="E312" s="179"/>
      <c r="F312" s="190">
        <v>4.2999999999999997E-2</v>
      </c>
    </row>
    <row r="313" spans="1:10">
      <c r="A313" s="163" t="s">
        <v>297</v>
      </c>
      <c r="B313" s="188">
        <v>2012</v>
      </c>
      <c r="C313" s="178"/>
      <c r="D313" s="189">
        <v>8.2000000000000003E-2</v>
      </c>
      <c r="E313" s="179"/>
      <c r="F313" s="190">
        <v>5.2999999999999999E-2</v>
      </c>
    </row>
    <row r="314" spans="1:10">
      <c r="A314" s="163" t="s">
        <v>297</v>
      </c>
      <c r="B314" s="188">
        <v>2111</v>
      </c>
      <c r="C314" s="178"/>
      <c r="D314" s="189">
        <v>9.6000000000000002E-2</v>
      </c>
      <c r="E314" s="179"/>
      <c r="F314" s="190">
        <v>5.7000000000000002E-2</v>
      </c>
    </row>
    <row r="315" spans="1:10">
      <c r="A315" s="163" t="s">
        <v>297</v>
      </c>
      <c r="B315" s="188">
        <v>2257</v>
      </c>
      <c r="C315" s="178"/>
      <c r="D315" s="189">
        <v>0.111</v>
      </c>
      <c r="E315" s="179"/>
      <c r="F315" s="190">
        <v>5.7000000000000002E-2</v>
      </c>
    </row>
    <row r="316" spans="1:10">
      <c r="A316" s="163" t="s">
        <v>297</v>
      </c>
      <c r="B316" s="188">
        <v>2357</v>
      </c>
      <c r="C316" s="178"/>
      <c r="D316" s="189">
        <v>0.121</v>
      </c>
      <c r="E316" s="179"/>
      <c r="F316" s="190">
        <v>6.2E-2</v>
      </c>
    </row>
    <row r="317" spans="1:10">
      <c r="A317" s="163" t="s">
        <v>297</v>
      </c>
      <c r="B317" s="188">
        <v>2453</v>
      </c>
      <c r="C317" s="178"/>
      <c r="D317" s="189">
        <v>0.13100000000000001</v>
      </c>
      <c r="E317" s="179"/>
      <c r="F317" s="190">
        <v>6.7000000000000004E-2</v>
      </c>
      <c r="I317" s="159"/>
      <c r="J317" s="159"/>
    </row>
    <row r="318" spans="1:10">
      <c r="A318" s="163" t="s">
        <v>297</v>
      </c>
      <c r="B318" s="188">
        <v>2492</v>
      </c>
      <c r="C318" s="178"/>
      <c r="D318" s="189">
        <v>0.14599999999999999</v>
      </c>
      <c r="E318" s="179"/>
      <c r="F318" s="190">
        <v>6.7000000000000004E-2</v>
      </c>
      <c r="I318" s="159"/>
      <c r="J318" s="159"/>
    </row>
    <row r="319" spans="1:10">
      <c r="A319" s="163" t="s">
        <v>297</v>
      </c>
      <c r="B319" s="188">
        <v>2683</v>
      </c>
      <c r="C319" s="178"/>
      <c r="D319" s="189">
        <v>0.156</v>
      </c>
      <c r="E319" s="179"/>
      <c r="F319" s="190">
        <v>8.6999999999999994E-2</v>
      </c>
      <c r="I319" s="159"/>
      <c r="J319" s="159"/>
    </row>
    <row r="320" spans="1:10">
      <c r="A320" s="163" t="s">
        <v>297</v>
      </c>
      <c r="B320" s="188">
        <v>2780</v>
      </c>
      <c r="C320" s="178"/>
      <c r="D320" s="189">
        <v>0.16600000000000001</v>
      </c>
      <c r="E320" s="179"/>
      <c r="F320" s="190">
        <v>0.11700000000000001</v>
      </c>
      <c r="I320" s="159"/>
      <c r="J320" s="159"/>
    </row>
    <row r="321" spans="1:10">
      <c r="A321" s="163" t="s">
        <v>297</v>
      </c>
      <c r="B321" s="188">
        <v>2875</v>
      </c>
      <c r="C321" s="178"/>
      <c r="D321" s="189">
        <v>0.17599999999999999</v>
      </c>
      <c r="E321" s="179"/>
      <c r="F321" s="190">
        <v>0.127</v>
      </c>
      <c r="I321" s="159"/>
      <c r="J321" s="159"/>
    </row>
    <row r="322" spans="1:10">
      <c r="A322" s="163" t="s">
        <v>297</v>
      </c>
      <c r="B322" s="188">
        <v>2972</v>
      </c>
      <c r="C322" s="178"/>
      <c r="D322" s="189">
        <v>0.18099999999999999</v>
      </c>
      <c r="E322" s="179"/>
      <c r="F322" s="190">
        <v>0.127</v>
      </c>
      <c r="I322" s="159"/>
      <c r="J322" s="159"/>
    </row>
    <row r="323" spans="1:10">
      <c r="A323" s="163" t="s">
        <v>297</v>
      </c>
      <c r="B323" s="188">
        <v>3067</v>
      </c>
      <c r="C323" s="178"/>
      <c r="D323" s="189">
        <v>0.191</v>
      </c>
      <c r="E323" s="179"/>
      <c r="F323" s="190">
        <v>0.13700000000000001</v>
      </c>
      <c r="I323" s="159"/>
      <c r="J323" s="159"/>
    </row>
    <row r="324" spans="1:10">
      <c r="A324" s="163" t="s">
        <v>297</v>
      </c>
      <c r="B324" s="188">
        <v>3163</v>
      </c>
      <c r="C324" s="178"/>
      <c r="D324" s="189">
        <v>0.19600000000000001</v>
      </c>
      <c r="E324" s="179"/>
      <c r="F324" s="190">
        <v>0.14199999999999999</v>
      </c>
      <c r="I324" s="159"/>
      <c r="J324" s="159"/>
    </row>
    <row r="325" spans="1:10">
      <c r="A325" s="163" t="s">
        <v>297</v>
      </c>
      <c r="B325" s="188">
        <v>3258</v>
      </c>
      <c r="C325" s="178"/>
      <c r="D325" s="189">
        <v>0.20300000000000001</v>
      </c>
      <c r="E325" s="179"/>
      <c r="F325" s="190">
        <v>0.153</v>
      </c>
      <c r="I325" s="159"/>
      <c r="J325" s="159"/>
    </row>
    <row r="326" spans="1:10">
      <c r="A326" s="163" t="s">
        <v>297</v>
      </c>
      <c r="B326" s="188">
        <v>3450</v>
      </c>
      <c r="C326" s="178"/>
      <c r="D326" s="189">
        <v>0.214</v>
      </c>
      <c r="E326" s="179"/>
      <c r="F326" s="190">
        <v>0.16900000000000001</v>
      </c>
      <c r="I326" s="159"/>
      <c r="J326" s="159"/>
    </row>
    <row r="327" spans="1:10">
      <c r="A327" s="163" t="s">
        <v>297</v>
      </c>
      <c r="B327" s="188">
        <v>3641</v>
      </c>
      <c r="C327" s="178"/>
      <c r="D327" s="189">
        <v>0.219</v>
      </c>
      <c r="E327" s="179"/>
      <c r="F327" s="190">
        <v>0.17399999999999999</v>
      </c>
      <c r="I327" s="159"/>
      <c r="J327" s="159"/>
    </row>
    <row r="328" spans="1:10">
      <c r="A328" s="163" t="s">
        <v>297</v>
      </c>
      <c r="B328" s="188">
        <v>3833</v>
      </c>
      <c r="C328" s="178"/>
      <c r="D328" s="189">
        <v>0.22900000000000001</v>
      </c>
      <c r="E328" s="179"/>
      <c r="F328" s="190">
        <v>0.184</v>
      </c>
      <c r="I328" s="159"/>
      <c r="J328" s="159"/>
    </row>
    <row r="329" spans="1:10">
      <c r="A329" s="163" t="s">
        <v>297</v>
      </c>
      <c r="B329" s="188">
        <v>4026</v>
      </c>
      <c r="C329" s="178"/>
      <c r="D329" s="189">
        <v>0.22900000000000001</v>
      </c>
      <c r="E329" s="179"/>
      <c r="F329" s="190">
        <v>0.184</v>
      </c>
      <c r="I329" s="159"/>
      <c r="J329" s="159"/>
    </row>
    <row r="330" spans="1:10" ht="16" thickBot="1">
      <c r="A330" s="164" t="s">
        <v>298</v>
      </c>
      <c r="B330" s="191">
        <v>4026</v>
      </c>
      <c r="C330" s="182"/>
      <c r="D330" s="192">
        <v>0.24399999999999999</v>
      </c>
      <c r="E330" s="183"/>
      <c r="F330" s="193">
        <v>0.19900000000000001</v>
      </c>
      <c r="I330" s="159"/>
      <c r="J330" s="159"/>
    </row>
    <row r="331" spans="1:10">
      <c r="I331" s="159"/>
      <c r="J331" s="159"/>
    </row>
    <row r="333" spans="1:10" ht="16">
      <c r="A333" s="200" t="s">
        <v>362</v>
      </c>
      <c r="B333" s="200"/>
      <c r="C333" s="200"/>
      <c r="D333" s="200"/>
      <c r="E333" s="200"/>
      <c r="F333" s="200"/>
    </row>
    <row r="334" spans="1:10">
      <c r="A334" s="159"/>
      <c r="B334" s="159"/>
      <c r="C334" s="160"/>
      <c r="D334" s="161"/>
      <c r="E334" s="161"/>
      <c r="F334" s="161"/>
    </row>
    <row r="335" spans="1:10">
      <c r="A335" s="202" t="s">
        <v>312</v>
      </c>
      <c r="B335" s="202"/>
      <c r="C335" s="202"/>
      <c r="D335" s="202"/>
      <c r="E335" s="202"/>
      <c r="F335" s="202"/>
    </row>
    <row r="336" spans="1:10">
      <c r="A336" s="203" t="s">
        <v>313</v>
      </c>
      <c r="B336" s="203"/>
      <c r="C336" s="203"/>
      <c r="D336" s="203"/>
      <c r="E336" s="203"/>
      <c r="F336" s="203"/>
    </row>
    <row r="337" spans="1:6" ht="16" thickBot="1"/>
    <row r="338" spans="1:6">
      <c r="A338" s="204" t="s">
        <v>293</v>
      </c>
      <c r="B338" s="205"/>
      <c r="C338" s="211" t="s">
        <v>302</v>
      </c>
      <c r="D338" s="212"/>
      <c r="E338" s="213" t="s">
        <v>300</v>
      </c>
      <c r="F338" s="212"/>
    </row>
    <row r="339" spans="1:6" ht="16" thickBot="1">
      <c r="A339" s="198" t="s">
        <v>295</v>
      </c>
      <c r="B339" s="199"/>
      <c r="C339" s="214" t="s">
        <v>292</v>
      </c>
      <c r="D339" s="215"/>
      <c r="E339" s="216"/>
      <c r="F339" s="215"/>
    </row>
    <row r="340" spans="1:6">
      <c r="A340" s="163" t="s">
        <v>297</v>
      </c>
      <c r="B340" s="188">
        <v>1413</v>
      </c>
      <c r="C340" s="178"/>
      <c r="D340" s="189">
        <v>0</v>
      </c>
      <c r="E340" s="179"/>
      <c r="F340" s="190">
        <v>0</v>
      </c>
    </row>
    <row r="341" spans="1:6">
      <c r="A341" s="163" t="s">
        <v>297</v>
      </c>
      <c r="B341" s="188">
        <v>1610</v>
      </c>
      <c r="C341" s="178"/>
      <c r="D341" s="189">
        <v>1.2999999999999999E-2</v>
      </c>
      <c r="E341" s="179"/>
      <c r="F341" s="190">
        <v>0</v>
      </c>
    </row>
    <row r="342" spans="1:6">
      <c r="A342" s="163" t="s">
        <v>297</v>
      </c>
      <c r="B342" s="188">
        <v>1648</v>
      </c>
      <c r="C342" s="178"/>
      <c r="D342" s="189">
        <v>3.7999999999999999E-2</v>
      </c>
      <c r="E342" s="179"/>
      <c r="F342" s="190">
        <v>0</v>
      </c>
    </row>
    <row r="343" spans="1:6">
      <c r="A343" s="163" t="s">
        <v>297</v>
      </c>
      <c r="B343" s="188">
        <v>1845</v>
      </c>
      <c r="C343" s="178"/>
      <c r="D343" s="189">
        <v>5.7000000000000002E-2</v>
      </c>
      <c r="E343" s="179"/>
      <c r="F343" s="190">
        <v>3.3000000000000002E-2</v>
      </c>
    </row>
    <row r="344" spans="1:6">
      <c r="A344" s="163" t="s">
        <v>297</v>
      </c>
      <c r="B344" s="188">
        <v>1913</v>
      </c>
      <c r="C344" s="178"/>
      <c r="D344" s="189">
        <v>6.7000000000000004E-2</v>
      </c>
      <c r="E344" s="179"/>
      <c r="F344" s="190">
        <v>4.2999999999999997E-2</v>
      </c>
    </row>
    <row r="345" spans="1:6">
      <c r="A345" s="163" t="s">
        <v>297</v>
      </c>
      <c r="B345" s="188">
        <v>2011</v>
      </c>
      <c r="C345" s="178"/>
      <c r="D345" s="189">
        <v>8.2000000000000003E-2</v>
      </c>
      <c r="E345" s="179"/>
      <c r="F345" s="190">
        <v>4.2999999999999997E-2</v>
      </c>
    </row>
    <row r="346" spans="1:6">
      <c r="A346" s="163" t="s">
        <v>297</v>
      </c>
      <c r="B346" s="188">
        <v>2110</v>
      </c>
      <c r="C346" s="178"/>
      <c r="D346" s="189">
        <v>9.1999999999999998E-2</v>
      </c>
      <c r="E346" s="179"/>
      <c r="F346" s="190">
        <v>5.7000000000000002E-2</v>
      </c>
    </row>
    <row r="347" spans="1:6">
      <c r="A347" s="163" t="s">
        <v>297</v>
      </c>
      <c r="B347" s="188">
        <v>2257</v>
      </c>
      <c r="C347" s="178"/>
      <c r="D347" s="189">
        <v>0.106</v>
      </c>
      <c r="E347" s="179"/>
      <c r="F347" s="190">
        <v>5.7000000000000002E-2</v>
      </c>
    </row>
    <row r="348" spans="1:6">
      <c r="A348" s="163" t="s">
        <v>297</v>
      </c>
      <c r="B348" s="188">
        <v>2356</v>
      </c>
      <c r="C348" s="178"/>
      <c r="D348" s="189">
        <v>0.11600000000000001</v>
      </c>
      <c r="E348" s="179"/>
      <c r="F348" s="190">
        <v>6.2E-2</v>
      </c>
    </row>
    <row r="349" spans="1:6">
      <c r="A349" s="163" t="s">
        <v>297</v>
      </c>
      <c r="B349" s="188">
        <v>2452</v>
      </c>
      <c r="C349" s="178"/>
      <c r="D349" s="189">
        <v>0.126</v>
      </c>
      <c r="E349" s="179"/>
      <c r="F349" s="190">
        <v>6.7000000000000004E-2</v>
      </c>
    </row>
    <row r="350" spans="1:6">
      <c r="A350" s="163" t="s">
        <v>297</v>
      </c>
      <c r="B350" s="188">
        <v>2491</v>
      </c>
      <c r="C350" s="178"/>
      <c r="D350" s="189">
        <v>0.14099999999999999</v>
      </c>
      <c r="E350" s="179"/>
      <c r="F350" s="190">
        <v>6.7000000000000004E-2</v>
      </c>
    </row>
    <row r="351" spans="1:6">
      <c r="A351" s="163" t="s">
        <v>297</v>
      </c>
      <c r="B351" s="188">
        <v>2682</v>
      </c>
      <c r="C351" s="178"/>
      <c r="D351" s="189">
        <v>0.151</v>
      </c>
      <c r="E351" s="179"/>
      <c r="F351" s="190">
        <v>8.6999999999999994E-2</v>
      </c>
    </row>
    <row r="352" spans="1:6">
      <c r="A352" s="163" t="s">
        <v>297</v>
      </c>
      <c r="B352" s="188">
        <v>2779</v>
      </c>
      <c r="C352" s="178"/>
      <c r="D352" s="189">
        <v>0.161</v>
      </c>
      <c r="E352" s="179"/>
      <c r="F352" s="190">
        <v>0.112</v>
      </c>
    </row>
    <row r="353" spans="1:6">
      <c r="A353" s="163" t="s">
        <v>297</v>
      </c>
      <c r="B353" s="188">
        <v>2875</v>
      </c>
      <c r="C353" s="178"/>
      <c r="D353" s="189">
        <v>0.17100000000000001</v>
      </c>
      <c r="E353" s="179"/>
      <c r="F353" s="190">
        <v>0.122</v>
      </c>
    </row>
    <row r="354" spans="1:6">
      <c r="A354" s="163" t="s">
        <v>297</v>
      </c>
      <c r="B354" s="188">
        <v>2972</v>
      </c>
      <c r="C354" s="178"/>
      <c r="D354" s="189">
        <v>0.17599999999999999</v>
      </c>
      <c r="E354" s="179"/>
      <c r="F354" s="190">
        <v>0.122</v>
      </c>
    </row>
    <row r="355" spans="1:6">
      <c r="A355" s="163" t="s">
        <v>297</v>
      </c>
      <c r="B355" s="188">
        <v>3066</v>
      </c>
      <c r="C355" s="178"/>
      <c r="D355" s="189">
        <v>0.186</v>
      </c>
      <c r="E355" s="179"/>
      <c r="F355" s="190">
        <v>0.13200000000000001</v>
      </c>
    </row>
    <row r="356" spans="1:6">
      <c r="A356" s="163" t="s">
        <v>297</v>
      </c>
      <c r="B356" s="188">
        <v>3162</v>
      </c>
      <c r="C356" s="178"/>
      <c r="D356" s="189">
        <v>0.191</v>
      </c>
      <c r="E356" s="179"/>
      <c r="F356" s="190">
        <v>0.13700000000000001</v>
      </c>
    </row>
    <row r="357" spans="1:6">
      <c r="A357" s="163" t="s">
        <v>297</v>
      </c>
      <c r="B357" s="188">
        <v>3258</v>
      </c>
      <c r="C357" s="178"/>
      <c r="D357" s="189">
        <v>0.19800000000000001</v>
      </c>
      <c r="E357" s="179"/>
      <c r="F357" s="190">
        <v>0.14799999999999999</v>
      </c>
    </row>
    <row r="358" spans="1:6">
      <c r="A358" s="163" t="s">
        <v>297</v>
      </c>
      <c r="B358" s="188">
        <v>3449</v>
      </c>
      <c r="C358" s="178"/>
      <c r="D358" s="189">
        <v>0.20899999999999999</v>
      </c>
      <c r="E358" s="179"/>
      <c r="F358" s="190">
        <v>0.16400000000000001</v>
      </c>
    </row>
    <row r="359" spans="1:6">
      <c r="A359" s="163" t="s">
        <v>297</v>
      </c>
      <c r="B359" s="188">
        <v>3641</v>
      </c>
      <c r="C359" s="178"/>
      <c r="D359" s="189">
        <v>0.214</v>
      </c>
      <c r="E359" s="179"/>
      <c r="F359" s="190">
        <v>0.16900000000000001</v>
      </c>
    </row>
    <row r="360" spans="1:6">
      <c r="A360" s="163" t="s">
        <v>297</v>
      </c>
      <c r="B360" s="188">
        <v>3832</v>
      </c>
      <c r="C360" s="178"/>
      <c r="D360" s="189">
        <v>0.224</v>
      </c>
      <c r="E360" s="179"/>
      <c r="F360" s="190">
        <v>0.17899999999999999</v>
      </c>
    </row>
    <row r="361" spans="1:6">
      <c r="A361" s="163" t="s">
        <v>297</v>
      </c>
      <c r="B361" s="188">
        <v>4025</v>
      </c>
      <c r="C361" s="178"/>
      <c r="D361" s="189">
        <v>0.22900000000000001</v>
      </c>
      <c r="E361" s="179"/>
      <c r="F361" s="190">
        <v>0.184</v>
      </c>
    </row>
    <row r="362" spans="1:6" ht="16" thickBot="1">
      <c r="A362" s="164" t="s">
        <v>298</v>
      </c>
      <c r="B362" s="191">
        <v>4025</v>
      </c>
      <c r="C362" s="182"/>
      <c r="D362" s="192">
        <v>0.23899999999999999</v>
      </c>
      <c r="E362" s="183"/>
      <c r="F362" s="193">
        <v>0.19400000000000001</v>
      </c>
    </row>
    <row r="411" spans="9:10">
      <c r="I411" s="159"/>
      <c r="J411" s="159"/>
    </row>
    <row r="412" spans="9:10">
      <c r="I412" s="159"/>
      <c r="J412" s="159"/>
    </row>
    <row r="413" spans="9:10">
      <c r="I413" s="159"/>
      <c r="J413" s="159"/>
    </row>
    <row r="414" spans="9:10">
      <c r="I414" s="159"/>
      <c r="J414" s="159"/>
    </row>
    <row r="415" spans="9:10">
      <c r="I415" s="159"/>
      <c r="J415" s="159"/>
    </row>
    <row r="416" spans="9:10">
      <c r="I416" s="159"/>
      <c r="J416" s="159"/>
    </row>
    <row r="417" spans="9:10">
      <c r="I417" s="159"/>
      <c r="J417" s="159"/>
    </row>
    <row r="418" spans="9:10">
      <c r="I418" s="159"/>
      <c r="J418" s="159"/>
    </row>
    <row r="419" spans="9:10">
      <c r="I419" s="159"/>
      <c r="J419" s="159"/>
    </row>
    <row r="420" spans="9:10">
      <c r="I420" s="159"/>
      <c r="J420" s="159"/>
    </row>
    <row r="421" spans="9:10">
      <c r="I421" s="159"/>
      <c r="J421" s="159"/>
    </row>
    <row r="422" spans="9:10">
      <c r="I422" s="159"/>
      <c r="J422" s="159"/>
    </row>
    <row r="423" spans="9:10">
      <c r="I423" s="159"/>
      <c r="J423" s="159"/>
    </row>
    <row r="424" spans="9:10">
      <c r="I424" s="159"/>
      <c r="J424" s="159"/>
    </row>
    <row r="425" spans="9:10">
      <c r="I425" s="159"/>
      <c r="J425" s="159"/>
    </row>
  </sheetData>
  <mergeCells count="62">
    <mergeCell ref="A307:B307"/>
    <mergeCell ref="C307:D307"/>
    <mergeCell ref="E307:F307"/>
    <mergeCell ref="A339:B339"/>
    <mergeCell ref="C339:D339"/>
    <mergeCell ref="E339:F339"/>
    <mergeCell ref="A333:F333"/>
    <mergeCell ref="A335:F335"/>
    <mergeCell ref="A336:F336"/>
    <mergeCell ref="A338:B338"/>
    <mergeCell ref="C338:D338"/>
    <mergeCell ref="E338:F338"/>
    <mergeCell ref="A301:F301"/>
    <mergeCell ref="A303:F303"/>
    <mergeCell ref="A304:F304"/>
    <mergeCell ref="A306:B306"/>
    <mergeCell ref="C306:D306"/>
    <mergeCell ref="E306:F306"/>
    <mergeCell ref="A258:B258"/>
    <mergeCell ref="C258:D258"/>
    <mergeCell ref="E258:F258"/>
    <mergeCell ref="A259:B259"/>
    <mergeCell ref="C259:D259"/>
    <mergeCell ref="E259:F259"/>
    <mergeCell ref="A254:F254"/>
    <mergeCell ref="A221:B221"/>
    <mergeCell ref="A220:B220"/>
    <mergeCell ref="C220:H220"/>
    <mergeCell ref="A256:F256"/>
    <mergeCell ref="A53:B53"/>
    <mergeCell ref="B93:G93"/>
    <mergeCell ref="A96:H96"/>
    <mergeCell ref="A98:B98"/>
    <mergeCell ref="C98:H98"/>
    <mergeCell ref="A95:H95"/>
    <mergeCell ref="A99:B99"/>
    <mergeCell ref="B138:G138"/>
    <mergeCell ref="A140:H140"/>
    <mergeCell ref="A141:H141"/>
    <mergeCell ref="A143:B143"/>
    <mergeCell ref="C143:H143"/>
    <mergeCell ref="A144:B144"/>
    <mergeCell ref="A183:B183"/>
    <mergeCell ref="B215:G215"/>
    <mergeCell ref="A217:H217"/>
    <mergeCell ref="A218:H218"/>
    <mergeCell ref="B177:G177"/>
    <mergeCell ref="A179:H179"/>
    <mergeCell ref="A180:H180"/>
    <mergeCell ref="A182:B182"/>
    <mergeCell ref="C182:H182"/>
    <mergeCell ref="B2:G2"/>
    <mergeCell ref="A4:H4"/>
    <mergeCell ref="A5:H5"/>
    <mergeCell ref="A7:B7"/>
    <mergeCell ref="C7:H7"/>
    <mergeCell ref="A8:B8"/>
    <mergeCell ref="B47:G47"/>
    <mergeCell ref="A49:H49"/>
    <mergeCell ref="A50:H50"/>
    <mergeCell ref="A52:B52"/>
    <mergeCell ref="C52:H52"/>
  </mergeCells>
  <printOptions horizontalCentered="1"/>
  <pageMargins left="0.25" right="0.25" top="0.75" bottom="0.75" header="0.3" footer="0.3"/>
  <pageSetup paperSize="9" orientation="portrait"/>
  <rowBreaks count="5" manualBreakCount="5">
    <brk id="46" max="16383" man="1"/>
    <brk id="94" max="16383" man="1"/>
    <brk id="141" max="16383" man="1"/>
    <brk id="182" max="16383" man="1"/>
    <brk id="2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8"/>
  <dimension ref="A2:M35"/>
  <sheetViews>
    <sheetView zoomScaleNormal="80" workbookViewId="0">
      <selection activeCell="H30" sqref="H30"/>
    </sheetView>
  </sheetViews>
  <sheetFormatPr baseColWidth="10" defaultColWidth="10.83203125" defaultRowHeight="17"/>
  <cols>
    <col min="1" max="1" width="15.1640625" style="1" customWidth="1"/>
    <col min="2" max="2" width="53.1640625" style="1" bestFit="1" customWidth="1"/>
    <col min="3" max="3" width="16.1640625" style="1" customWidth="1"/>
    <col min="4" max="4" width="16.6640625" style="1" customWidth="1"/>
    <col min="5" max="6" width="14.1640625" style="1" customWidth="1"/>
    <col min="7" max="7" width="17" style="1" customWidth="1"/>
    <col min="8" max="8" width="22.6640625" style="1" customWidth="1"/>
    <col min="9" max="9" width="14.1640625" style="1" customWidth="1"/>
    <col min="10" max="10" width="23.33203125" style="1" customWidth="1"/>
    <col min="11" max="11" width="11" style="1" bestFit="1" customWidth="1"/>
    <col min="12" max="14" width="10.83203125" style="1"/>
    <col min="15" max="15" width="32.6640625" style="1" customWidth="1"/>
    <col min="16" max="17" width="15" style="1" customWidth="1"/>
    <col min="18" max="18" width="15.6640625" style="1" bestFit="1" customWidth="1"/>
    <col min="19" max="16384" width="10.83203125" style="1"/>
  </cols>
  <sheetData>
    <row r="2" spans="1:11" ht="18">
      <c r="B2" s="221" t="s">
        <v>314</v>
      </c>
      <c r="C2" s="222"/>
      <c r="D2" s="223"/>
    </row>
    <row r="3" spans="1:11" ht="20" thickBot="1">
      <c r="A3" s="12"/>
      <c r="B3" s="58" t="s">
        <v>0</v>
      </c>
      <c r="C3" s="224"/>
      <c r="D3" s="225"/>
    </row>
    <row r="4" spans="1:11">
      <c r="B4" s="3"/>
    </row>
    <row r="5" spans="1:11" ht="20" thickBot="1">
      <c r="B5" s="59" t="s">
        <v>315</v>
      </c>
      <c r="C5" s="149" t="s">
        <v>211</v>
      </c>
      <c r="D5" s="149" t="s">
        <v>316</v>
      </c>
      <c r="F5" s="51" t="s">
        <v>22</v>
      </c>
      <c r="G5" s="51" t="s">
        <v>317</v>
      </c>
      <c r="H5" s="51" t="s">
        <v>24</v>
      </c>
      <c r="K5" s="53"/>
    </row>
    <row r="6" spans="1:11" ht="20" thickBot="1">
      <c r="A6" s="4"/>
      <c r="B6" s="58" t="s">
        <v>61</v>
      </c>
      <c r="C6" s="56" t="str">
        <f ca="1">INDEX(INDIRECT(CONCATENATE(B3,"_table")),MATCH(B6,INDIRECT(B3),0),0)</f>
        <v>Mng B</v>
      </c>
      <c r="D6" s="71" t="str">
        <f ca="1">INDEX(INDIRECT(CONCATENATE(B3,"_table")),MATCH(B6,INDIRECT(B3),0),0)</f>
        <v>old-PMng II</v>
      </c>
      <c r="F6" s="57" t="s">
        <v>50</v>
      </c>
      <c r="G6" s="91"/>
      <c r="H6" s="56">
        <f>IF(F6="Normal",IF(G6&lt;25000,REFERENCE_TABLES!K8,IF(G6&lt;35000,REFERENCE_TABLES!K9,REFERENCE_TABLES!K10)),IF(G6&lt;25000,REFERENCE_TABLES!K11,IF(G6&lt;35000,REFERENCE_TABLES!K12,REFERENCE_TABLES!K13)))</f>
        <v>0.1</v>
      </c>
      <c r="J6" s="44" t="s">
        <v>318</v>
      </c>
      <c r="K6" s="92">
        <f ca="1">(C13+C14)*(F9)</f>
        <v>555.84375</v>
      </c>
    </row>
    <row r="7" spans="1:11" ht="20" thickBot="1">
      <c r="J7" s="44" t="s">
        <v>112</v>
      </c>
      <c r="K7" s="93">
        <f ca="1">(C13+C14)*(REFERENCE_TABLES!K2)</f>
        <v>249.5625</v>
      </c>
    </row>
    <row r="8" spans="1:11" ht="22" customHeight="1" thickBot="1">
      <c r="B8" s="59" t="s">
        <v>108</v>
      </c>
      <c r="C8" s="226" t="s">
        <v>111</v>
      </c>
      <c r="D8" s="227"/>
      <c r="E8" s="77" t="str">
        <f>INDEX(MARITAL_STATUS,MATCH(B9,REFERENCE_TABLES!D3:D8,0)+1,3)</f>
        <v>NOT_MARRIED_or_MARRIED_2T_Extra</v>
      </c>
      <c r="F8" s="51" t="s">
        <v>319</v>
      </c>
      <c r="G8" s="51" t="s">
        <v>123</v>
      </c>
      <c r="J8" s="44" t="s">
        <v>123</v>
      </c>
      <c r="K8" s="93">
        <f ca="1">(D22-D15-D16-D17-D18-D19-REFERENCE_TABLES!K5)*G9</f>
        <v>0</v>
      </c>
    </row>
    <row r="9" spans="1:11" ht="20" thickBot="1">
      <c r="B9" s="60" t="s">
        <v>115</v>
      </c>
      <c r="C9" s="228">
        <v>0</v>
      </c>
      <c r="D9" s="229"/>
      <c r="E9" s="35" t="str">
        <f>INDEX(MARITAL_STATUS,MATCH(B9,REFERENCE_TABLES!D3:D8,0)+1,2)</f>
        <v>NOT_MARRIED</v>
      </c>
      <c r="F9" s="45">
        <f ca="1">IF(ISNA(INDEX(INDIRECT(CONCATENATE(E9,"_table")),MATCH(C13+C14,INDIRECT(E9),1)+1,3+C9)),0%,INDEX(INDIRECT(CONCATENATE(E9,"_table")),MATCH(C13+C14,INDIRECT(E9),1)+1,3+C9))</f>
        <v>0.245</v>
      </c>
      <c r="G9" s="45">
        <f ca="1">IF(ISNA(INDEX(INDIRECT(CONCATENATE(E8,"_table")),MATCH(C13+C14,INDIRECT(E8),1)+1,2)),0%,INDEX(INDIRECT(CONCATENATE(E8,"_table")),MATCH(C13+C14,INDIRECT(E8),1)+1,2))</f>
        <v>0</v>
      </c>
    </row>
    <row r="10" spans="1:11">
      <c r="D10" s="46"/>
    </row>
    <row r="11" spans="1:11" ht="19" customHeight="1">
      <c r="B11" s="230" t="s">
        <v>320</v>
      </c>
      <c r="C11" s="217" t="s">
        <v>321</v>
      </c>
      <c r="D11" s="218"/>
      <c r="E11" s="217" t="s">
        <v>322</v>
      </c>
      <c r="F11" s="218"/>
      <c r="G11" s="219" t="s">
        <v>323</v>
      </c>
      <c r="H11" s="5"/>
      <c r="K11" s="53" t="s">
        <v>324</v>
      </c>
    </row>
    <row r="12" spans="1:11" ht="20" thickBot="1">
      <c r="B12" s="231"/>
      <c r="C12" s="50" t="s">
        <v>325</v>
      </c>
      <c r="D12" s="149" t="s">
        <v>326</v>
      </c>
      <c r="E12" s="50" t="s">
        <v>325</v>
      </c>
      <c r="F12" s="149" t="s">
        <v>326</v>
      </c>
      <c r="G12" s="220"/>
      <c r="H12" s="5"/>
      <c r="J12" s="44" t="s">
        <v>327</v>
      </c>
      <c r="K12" s="62">
        <v>11</v>
      </c>
    </row>
    <row r="13" spans="1:11" ht="18" customHeight="1" thickBot="1">
      <c r="B13" s="14" t="s">
        <v>25</v>
      </c>
      <c r="C13" s="10">
        <f ca="1">INDEX(INDIRECT(CONCATENATE(B3,"_table")),MATCH(B6,INDIRECT(B3),0),4)</f>
        <v>1815</v>
      </c>
      <c r="D13" s="8">
        <f ca="1">C13*(1-REFERENCE_TABLES!K2-F9)</f>
        <v>1170.675</v>
      </c>
      <c r="E13" s="10">
        <f ca="1">C13*14</f>
        <v>25410</v>
      </c>
      <c r="F13" s="8">
        <f ca="1">D13*14</f>
        <v>16389.45</v>
      </c>
      <c r="G13" s="2">
        <f ca="1">E13*(1+REFERENCE_TABLES!K3)</f>
        <v>31444.875</v>
      </c>
      <c r="H13" s="36"/>
      <c r="I13" s="6"/>
      <c r="J13" s="44" t="s">
        <v>328</v>
      </c>
      <c r="K13" s="63">
        <v>20</v>
      </c>
    </row>
    <row r="14" spans="1:11" ht="18" customHeight="1" thickBot="1">
      <c r="B14" s="14" t="s">
        <v>26</v>
      </c>
      <c r="C14" s="10">
        <f ca="1">INDEX(INDIRECT(CONCATENATE(B3,"_table")),MATCH(B6,INDIRECT(B3),0),5)</f>
        <v>453.75</v>
      </c>
      <c r="D14" s="8">
        <f ca="1">C14*(1-REFERENCE_TABLES!K2-F9)</f>
        <v>292.66874999999999</v>
      </c>
      <c r="E14" s="10">
        <f ca="1">C14*14</f>
        <v>6352.5</v>
      </c>
      <c r="F14" s="8">
        <f ca="1">D14*14</f>
        <v>4097.3625000000002</v>
      </c>
      <c r="G14" s="2">
        <f ca="1">E14*(1+REFERENCE_TABLES!K3)</f>
        <v>7861.21875</v>
      </c>
      <c r="H14" s="36"/>
      <c r="I14" s="6"/>
      <c r="J14" s="44" t="s">
        <v>329</v>
      </c>
      <c r="K14" s="64">
        <v>0.25</v>
      </c>
    </row>
    <row r="15" spans="1:11" ht="18" customHeight="1" thickBot="1">
      <c r="B15" s="14" t="s">
        <v>330</v>
      </c>
      <c r="C15" s="11">
        <v>160.22999999999999</v>
      </c>
      <c r="D15" s="8">
        <f t="shared" ref="D15:D19" si="0">C15</f>
        <v>160.22999999999999</v>
      </c>
      <c r="E15" s="10">
        <f>C15*11</f>
        <v>1762.53</v>
      </c>
      <c r="F15" s="8">
        <f>E15</f>
        <v>1762.53</v>
      </c>
      <c r="G15" s="2">
        <f>E15*(1+REFERENCE_TABLES!K6)</f>
        <v>1780.1552999999999</v>
      </c>
      <c r="H15" s="36"/>
      <c r="I15" s="6"/>
    </row>
    <row r="16" spans="1:11" ht="18" customHeight="1" thickBot="1">
      <c r="B16" s="14" t="s">
        <v>331</v>
      </c>
      <c r="C16" s="61">
        <v>300</v>
      </c>
      <c r="D16" s="48">
        <f t="shared" si="0"/>
        <v>300</v>
      </c>
      <c r="E16" s="10">
        <f>C16*12</f>
        <v>3600</v>
      </c>
      <c r="F16" s="8">
        <f>D16*12</f>
        <v>3600</v>
      </c>
      <c r="G16" s="2">
        <f>E16*(1+REFERENCE_TABLES!K7)</f>
        <v>3780</v>
      </c>
      <c r="H16" s="36"/>
      <c r="I16" s="6"/>
    </row>
    <row r="17" spans="2:13" ht="18" customHeight="1" thickBot="1">
      <c r="B17" s="14" t="s">
        <v>332</v>
      </c>
      <c r="C17" s="11">
        <f>G6/REFERENCE_TABLES!K14</f>
        <v>0</v>
      </c>
      <c r="D17" s="48">
        <f t="shared" si="0"/>
        <v>0</v>
      </c>
      <c r="E17" s="10">
        <f>C17*12</f>
        <v>0</v>
      </c>
      <c r="F17" s="8">
        <f>E17</f>
        <v>0</v>
      </c>
      <c r="G17" s="2">
        <f>E17*(1+H6)</f>
        <v>0</v>
      </c>
      <c r="H17" s="5"/>
      <c r="I17" s="6"/>
    </row>
    <row r="18" spans="2:13" ht="18" customHeight="1" thickBot="1">
      <c r="B18" s="14" t="s">
        <v>333</v>
      </c>
      <c r="C18" s="61"/>
      <c r="D18" s="48">
        <f t="shared" si="0"/>
        <v>0</v>
      </c>
      <c r="E18" s="10">
        <f>D18*12</f>
        <v>0</v>
      </c>
      <c r="F18" s="8">
        <f>E18</f>
        <v>0</v>
      </c>
      <c r="G18" s="2">
        <f>E18*(1+H6)</f>
        <v>0</v>
      </c>
      <c r="H18" s="5"/>
      <c r="I18" s="6"/>
    </row>
    <row r="19" spans="2:13" ht="18" customHeight="1" thickBot="1">
      <c r="B19" s="14" t="s">
        <v>334</v>
      </c>
      <c r="C19" s="61">
        <v>0</v>
      </c>
      <c r="D19" s="48">
        <f t="shared" si="0"/>
        <v>0</v>
      </c>
      <c r="E19" s="10">
        <f>C19*12</f>
        <v>0</v>
      </c>
      <c r="F19" s="8">
        <f>E19</f>
        <v>0</v>
      </c>
      <c r="G19" s="2">
        <f>E19*(1+H6)</f>
        <v>0</v>
      </c>
      <c r="H19" s="5"/>
      <c r="I19" s="6"/>
    </row>
    <row r="20" spans="2:13" ht="18" customHeight="1" thickBot="1">
      <c r="B20" s="14" t="s">
        <v>335</v>
      </c>
      <c r="C20" s="61"/>
      <c r="D20" s="48">
        <f ca="1">C20*(1-F9)</f>
        <v>0</v>
      </c>
      <c r="E20" s="9">
        <f>C20*12</f>
        <v>0</v>
      </c>
      <c r="F20" s="9">
        <f ca="1">D20*12</f>
        <v>0</v>
      </c>
      <c r="G20" s="2">
        <f>E20</f>
        <v>0</v>
      </c>
      <c r="H20" s="5"/>
      <c r="I20" s="6"/>
    </row>
    <row r="21" spans="2:13" ht="20" thickBot="1">
      <c r="B21" s="52" t="s">
        <v>30</v>
      </c>
      <c r="C21" s="80">
        <f>E21/12</f>
        <v>0</v>
      </c>
      <c r="D21" s="81">
        <f ca="1">F21/12</f>
        <v>0</v>
      </c>
      <c r="E21" s="82"/>
      <c r="F21" s="83">
        <f ca="1">E21*(1-F9)</f>
        <v>0</v>
      </c>
      <c r="G21" s="84">
        <f>E21</f>
        <v>0</v>
      </c>
      <c r="H21" s="5"/>
      <c r="I21" s="50" t="s">
        <v>336</v>
      </c>
      <c r="J21" s="149" t="s">
        <v>337</v>
      </c>
    </row>
    <row r="22" spans="2:13" ht="23" customHeight="1" thickTop="1" thickBot="1">
      <c r="B22" s="49" t="s">
        <v>338</v>
      </c>
      <c r="C22" s="85">
        <f ca="1">SUM(C13:C21)</f>
        <v>2728.98</v>
      </c>
      <c r="D22" s="85">
        <f ca="1">SUM(D13:D21)</f>
        <v>1923.57375</v>
      </c>
      <c r="E22" s="85">
        <f ca="1">SUM(E13:E21)</f>
        <v>37125.03</v>
      </c>
      <c r="F22" s="85">
        <f ca="1">SUM(F13:F21)</f>
        <v>25849.342499999999</v>
      </c>
      <c r="G22" s="85">
        <f ca="1">SUM(G13:G21)</f>
        <v>44866.249049999999</v>
      </c>
      <c r="H22" s="67" t="s">
        <v>339</v>
      </c>
      <c r="I22" s="86">
        <f ca="1">G22/K12</f>
        <v>4078.7499136363635</v>
      </c>
      <c r="J22" s="86">
        <f ca="1">(G22-G21)/K12</f>
        <v>4078.7499136363635</v>
      </c>
    </row>
    <row r="23" spans="2:13" ht="23" customHeight="1" thickTop="1" thickBot="1">
      <c r="B23" s="3"/>
      <c r="C23" s="47"/>
      <c r="D23" s="47"/>
      <c r="E23" s="47"/>
      <c r="F23" s="47"/>
      <c r="G23" s="79"/>
      <c r="H23" s="68" t="s">
        <v>340</v>
      </c>
      <c r="I23" s="87">
        <f ca="1">I22/K13</f>
        <v>203.93749568181818</v>
      </c>
      <c r="J23" s="87">
        <f ca="1">J22/K13</f>
        <v>203.93749568181818</v>
      </c>
    </row>
    <row r="24" spans="2:13" ht="23" customHeight="1" thickTop="1" thickBot="1">
      <c r="C24" s="46"/>
      <c r="D24" s="46"/>
      <c r="E24" s="46"/>
      <c r="F24" s="46"/>
      <c r="H24" s="68" t="s">
        <v>341</v>
      </c>
      <c r="I24" s="87">
        <f ca="1">I22/(1-K14)</f>
        <v>5438.3332181818178</v>
      </c>
      <c r="J24" s="87">
        <f ca="1">J22/(1-K14)</f>
        <v>5438.3332181818178</v>
      </c>
    </row>
    <row r="25" spans="2:13" ht="23" customHeight="1" thickTop="1" thickBot="1">
      <c r="B25" s="7" t="s">
        <v>342</v>
      </c>
      <c r="C25" s="13"/>
      <c r="D25" s="89">
        <f ca="1">D22-K8</f>
        <v>1923.57375</v>
      </c>
      <c r="E25" s="90"/>
      <c r="F25" s="89">
        <f ca="1">F22-(K8*14)</f>
        <v>25849.342499999999</v>
      </c>
      <c r="H25" s="68" t="s">
        <v>343</v>
      </c>
      <c r="I25" s="87">
        <f ca="1">I23/(1-K14)</f>
        <v>271.91666090909092</v>
      </c>
      <c r="J25" s="87">
        <f ca="1">J23/(1-K14)</f>
        <v>271.91666090909092</v>
      </c>
      <c r="M25" s="100"/>
    </row>
    <row r="26" spans="2:13" ht="25" thickTop="1" thickBot="1">
      <c r="B26" s="7" t="s">
        <v>344</v>
      </c>
      <c r="C26" s="13"/>
      <c r="D26" s="89">
        <f ca="1">D25-D21</f>
        <v>1923.57375</v>
      </c>
      <c r="E26" s="90"/>
      <c r="F26" s="89">
        <f ca="1">F25-F21</f>
        <v>25849.342499999999</v>
      </c>
      <c r="I26" s="53"/>
    </row>
    <row r="27" spans="2:13" ht="21" thickTop="1" thickBot="1">
      <c r="D27" s="46"/>
      <c r="H27" s="70" t="s">
        <v>345</v>
      </c>
      <c r="I27" s="88">
        <v>250</v>
      </c>
      <c r="J27" s="69" t="s">
        <v>346</v>
      </c>
      <c r="K27" s="54">
        <f ca="1">(I27-I23)/I27</f>
        <v>0.1842500172727273</v>
      </c>
    </row>
    <row r="28" spans="2:13" ht="21" thickTop="1" thickBot="1">
      <c r="B28" s="66"/>
      <c r="D28" s="46"/>
      <c r="E28" s="46"/>
      <c r="F28" s="100"/>
      <c r="H28" s="70" t="s">
        <v>347</v>
      </c>
      <c r="I28" s="87">
        <f>I27/8</f>
        <v>31.25</v>
      </c>
      <c r="J28" s="69" t="s">
        <v>348</v>
      </c>
      <c r="K28" s="54">
        <f ca="1">(I27-J23)/I27</f>
        <v>0.1842500172727273</v>
      </c>
    </row>
    <row r="29" spans="2:13" ht="18" thickTop="1">
      <c r="D29" s="100"/>
      <c r="E29" s="46"/>
    </row>
    <row r="30" spans="2:13">
      <c r="D30" s="46"/>
      <c r="E30" s="100"/>
    </row>
    <row r="31" spans="2:13">
      <c r="D31" s="100"/>
      <c r="E31" s="46"/>
    </row>
    <row r="32" spans="2:13">
      <c r="C32" s="146"/>
      <c r="D32" s="146"/>
      <c r="E32" s="100"/>
    </row>
    <row r="33" spans="4:4">
      <c r="D33" s="100"/>
    </row>
    <row r="34" spans="4:4">
      <c r="D34" s="100"/>
    </row>
    <row r="35" spans="4:4">
      <c r="D35" s="100"/>
    </row>
  </sheetData>
  <sheetProtection selectLockedCells="1"/>
  <mergeCells count="8">
    <mergeCell ref="E11:F11"/>
    <mergeCell ref="G11:G12"/>
    <mergeCell ref="B2:D2"/>
    <mergeCell ref="C3:D3"/>
    <mergeCell ref="C8:D8"/>
    <mergeCell ref="C9:D9"/>
    <mergeCell ref="B11:B12"/>
    <mergeCell ref="C11:D11"/>
  </mergeCells>
  <dataValidations count="1">
    <dataValidation type="list" allowBlank="1" showInputMessage="1" showErrorMessage="1" sqref="B6" xr:uid="{00000000-0002-0000-0300-000000000000}">
      <formula1>INDIRECT(B3)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REFERENCE_TABLES!$B$3:$B$7</xm:f>
          </x14:formula1>
          <xm:sqref>B3</xm:sqref>
        </x14:dataValidation>
        <x14:dataValidation type="list" allowBlank="1" showInputMessage="1" showErrorMessage="1" xr:uid="{00000000-0002-0000-0300-000002000000}">
          <x14:formula1>
            <xm:f>REFERENCE_TABLES!$D$3:$D$8</xm:f>
          </x14:formula1>
          <xm:sqref>B9</xm:sqref>
        </x14:dataValidation>
        <x14:dataValidation type="list" allowBlank="1" showInputMessage="1" showErrorMessage="1" xr:uid="{00000000-0002-0000-0300-000003000000}">
          <x14:formula1>
            <xm:f>REFERENCE_TABLES!$H$3:$H$8</xm:f>
          </x14:formula1>
          <xm:sqref>C9</xm:sqref>
        </x14:dataValidation>
        <x14:dataValidation type="list" allowBlank="1" showInputMessage="1" showErrorMessage="1" xr:uid="{00000000-0002-0000-0300-000004000000}">
          <x14:formula1>
            <xm:f>REFERENCE_TABLES!$B$14:$B$15</xm:f>
          </x14:formula1>
          <xm:sqref>F6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C686CC73F1B42A9B6FAEDF4CE72EA" ma:contentTypeVersion="5" ma:contentTypeDescription="Criar um novo documento." ma:contentTypeScope="" ma:versionID="71d7343659f2610480e756957e5381c2">
  <xsd:schema xmlns:xsd="http://www.w3.org/2001/XMLSchema" xmlns:xs="http://www.w3.org/2001/XMLSchema" xmlns:p="http://schemas.microsoft.com/office/2006/metadata/properties" xmlns:ns2="87fcd665-c960-4cd2-9541-f800df712f9d" xmlns:ns3="50077431-0e34-41e2-91fe-2954727846ae" targetNamespace="http://schemas.microsoft.com/office/2006/metadata/properties" ma:root="true" ma:fieldsID="7d20b94b7f430be6b50a245c93bef17b" ns2:_="" ns3:_="">
    <xsd:import namespace="87fcd665-c960-4cd2-9541-f800df712f9d"/>
    <xsd:import namespace="50077431-0e34-41e2-91fe-295472784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Pesso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cd665-c960-4cd2-9541-f800df712f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Pessoa" ma:index="12" nillable="true" ma:displayName="Pessoa" ma:format="Dropdown" ma:list="UserInfo" ma:SharePointGroup="0" ma:internalName="Pesso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77431-0e34-41e2-91fe-295472784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077431-0e34-41e2-91fe-2954727846ae">
      <UserInfo>
        <DisplayName>Sara Rocha</DisplayName>
        <AccountId>19</AccountId>
        <AccountType/>
      </UserInfo>
      <UserInfo>
        <DisplayName>Rita Lopes</DisplayName>
        <AccountId>28</AccountId>
        <AccountType/>
      </UserInfo>
    </SharedWithUsers>
    <Pessoa xmlns="87fcd665-c960-4cd2-9541-f800df712f9d">
      <UserInfo>
        <DisplayName/>
        <AccountId xsi:nil="true"/>
        <AccountType/>
      </UserInfo>
    </Pessoa>
  </documentManagement>
</p:properties>
</file>

<file path=customXml/itemProps1.xml><?xml version="1.0" encoding="utf-8"?>
<ds:datastoreItem xmlns:ds="http://schemas.openxmlformats.org/officeDocument/2006/customXml" ds:itemID="{B4DD3C9B-D60A-49B5-B04D-5CB2E0733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cd665-c960-4cd2-9541-f800df712f9d"/>
    <ds:schemaRef ds:uri="50077431-0e34-41e2-91fe-295472784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268CC4-3AC8-47EC-9A19-28383CF4A1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87DF7-0E30-4DAB-84D8-EA26082C1B90}">
  <ds:schemaRefs>
    <ds:schemaRef ds:uri="http://purl.org/dc/dcmitype/"/>
    <ds:schemaRef ds:uri="http://schemas.microsoft.com/office/2006/documentManagement/types"/>
    <ds:schemaRef ds:uri="87fcd665-c960-4cd2-9541-f800df712f9d"/>
    <ds:schemaRef ds:uri="http://schemas.microsoft.com/office/infopath/2007/PartnerControls"/>
    <ds:schemaRef ds:uri="50077431-0e34-41e2-91fe-2954727846ae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27</vt:i4>
      </vt:variant>
    </vt:vector>
  </HeadingPairs>
  <TitlesOfParts>
    <vt:vector size="33" baseType="lpstr">
      <vt:lpstr>EQUIPA MASTER</vt:lpstr>
      <vt:lpstr>Database Extract</vt:lpstr>
      <vt:lpstr>REFERENCE_TABLES</vt:lpstr>
      <vt:lpstr>BASE TABLES</vt:lpstr>
      <vt:lpstr>IRS</vt:lpstr>
      <vt:lpstr>CALCULATOR</vt:lpstr>
      <vt:lpstr>HR</vt:lpstr>
      <vt:lpstr>'Database Extract'!MARITAL_STATUS</vt:lpstr>
      <vt:lpstr>MARITAL_STATUS</vt:lpstr>
      <vt:lpstr>Marketing</vt:lpstr>
      <vt:lpstr>MARRIED_1T</vt:lpstr>
      <vt:lpstr>MARRIED_1T_DEF</vt:lpstr>
      <vt:lpstr>MARRIED_1T_DEF_table</vt:lpstr>
      <vt:lpstr>MARRIED_1T_Extra</vt:lpstr>
      <vt:lpstr>MARRIED_1T_Extra_table</vt:lpstr>
      <vt:lpstr>MARRIED_1T_table</vt:lpstr>
      <vt:lpstr>MARRIED_2T</vt:lpstr>
      <vt:lpstr>MARRIED_2T_DEF</vt:lpstr>
      <vt:lpstr>MARRIED_2T_DEF_table</vt:lpstr>
      <vt:lpstr>MARRIED_2T_table</vt:lpstr>
      <vt:lpstr>NOT_MARRIED</vt:lpstr>
      <vt:lpstr>NOT_MARRIED_DEF</vt:lpstr>
      <vt:lpstr>NOT_MARRIED_DEF_table</vt:lpstr>
      <vt:lpstr>NOT_MARRIED_or_MARRIED_1T_Extra</vt:lpstr>
      <vt:lpstr>NOT_MARRIED_or_MARRIED_2T_Extra</vt:lpstr>
      <vt:lpstr>NOT_MARRIED_or_MARRIED_2T_Extra_table</vt:lpstr>
      <vt:lpstr>NOT_MARRIED_table</vt:lpstr>
      <vt:lpstr>OO</vt:lpstr>
      <vt:lpstr>'Database Extract'!Professional_Services</vt:lpstr>
      <vt:lpstr>'Database Extract'!PS</vt:lpstr>
      <vt:lpstr>SALES</vt:lpstr>
      <vt:lpstr>'Database Extract'!SPS</vt:lpstr>
      <vt:lpstr>SPS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 Veríssimo</cp:lastModifiedBy>
  <cp:revision/>
  <dcterms:created xsi:type="dcterms:W3CDTF">2014-12-03T10:18:21Z</dcterms:created>
  <dcterms:modified xsi:type="dcterms:W3CDTF">2020-06-16T09:14:50Z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0x0101004F4C686CC73F1B42A9B6FAEDF4CE72EA</vt:lpwstr>
  </property>
  <property fmtid="{D5CDD505-2E9C-101B-9397-08002B2CF9AE}" pid="3" name="AuthorIds_UIVersion_5120">
    <vt:lpwstr>6</vt:lpwstr>
  </property>
  <property fmtid="{D5CDD505-2E9C-101B-9397-08002B2CF9AE}" pid="4" name="AuthorIds_UIVersion_4608">
    <vt:lpwstr>6</vt:lpwstr>
  </property>
  <property fmtid="{D5CDD505-2E9C-101B-9397-08002B2CF9AE}" pid="5" name="AuthorIds_UIVersion_27648">
    <vt:lpwstr>6</vt:lpwstr>
  </property>
  <property fmtid="{D5CDD505-2E9C-101B-9397-08002B2CF9AE}" pid="6" name="AuthorIds_UIVersion_28160">
    <vt:lpwstr>13</vt:lpwstr>
  </property>
  <property fmtid="{D5CDD505-2E9C-101B-9397-08002B2CF9AE}" pid="7" name="AuthorIds_UIVersion_32256">
    <vt:lpwstr>13,6</vt:lpwstr>
  </property>
  <property fmtid="{D5CDD505-2E9C-101B-9397-08002B2CF9AE}" pid="8" name="AuthorIds_UIVersion_34304">
    <vt:lpwstr>6,13</vt:lpwstr>
  </property>
  <property fmtid="{D5CDD505-2E9C-101B-9397-08002B2CF9AE}" pid="9" name="AuthorIds_UIVersion_42496">
    <vt:lpwstr>6</vt:lpwstr>
  </property>
  <property fmtid="{D5CDD505-2E9C-101B-9397-08002B2CF9AE}" pid="10" name="AuthorIds_UIVersion_61952">
    <vt:lpwstr>13</vt:lpwstr>
  </property>
  <property fmtid="{D5CDD505-2E9C-101B-9397-08002B2CF9AE}" pid="11" name="AuthorIds_UIVersion_64512">
    <vt:lpwstr>6</vt:lpwstr>
  </property>
  <property fmtid="{D5CDD505-2E9C-101B-9397-08002B2CF9AE}" pid="12" name="AuthorIds_UIVersion_97280">
    <vt:lpwstr>6</vt:lpwstr>
  </property>
  <property fmtid="{D5CDD505-2E9C-101B-9397-08002B2CF9AE}" pid="13" name="AuthorIds_UIVersion_165888">
    <vt:lpwstr>16</vt:lpwstr>
  </property>
  <property fmtid="{D5CDD505-2E9C-101B-9397-08002B2CF9AE}" pid="14" name="AuthorIds_UIVersion_173568">
    <vt:lpwstr>6</vt:lpwstr>
  </property>
  <property fmtid="{D5CDD505-2E9C-101B-9397-08002B2CF9AE}" pid="15" name="AuthorIds_UIVersion_184832">
    <vt:lpwstr>6,16</vt:lpwstr>
  </property>
  <property fmtid="{D5CDD505-2E9C-101B-9397-08002B2CF9AE}" pid="16" name="AuthorIds_UIVersion_186368">
    <vt:lpwstr>16</vt:lpwstr>
  </property>
  <property fmtid="{D5CDD505-2E9C-101B-9397-08002B2CF9AE}" pid="17" name="AuthorIds_UIVersion_196096">
    <vt:lpwstr>6</vt:lpwstr>
  </property>
  <property fmtid="{D5CDD505-2E9C-101B-9397-08002B2CF9AE}" pid="18" name="AuthorIds_UIVersion_200192">
    <vt:lpwstr>13</vt:lpwstr>
  </property>
  <property fmtid="{D5CDD505-2E9C-101B-9397-08002B2CF9AE}" pid="19" name="AuthorIds_UIVersion_215040">
    <vt:lpwstr>6</vt:lpwstr>
  </property>
  <property fmtid="{D5CDD505-2E9C-101B-9397-08002B2CF9AE}" pid="20" name="AuthorIds_UIVersion_244736">
    <vt:lpwstr>16</vt:lpwstr>
  </property>
  <property fmtid="{D5CDD505-2E9C-101B-9397-08002B2CF9AE}" pid="21" name="AuthorIds_UIVersion_247296">
    <vt:lpwstr>6</vt:lpwstr>
  </property>
  <property fmtid="{D5CDD505-2E9C-101B-9397-08002B2CF9AE}" pid="22" name="AuthorIds_UIVersion_4096">
    <vt:lpwstr>6</vt:lpwstr>
  </property>
  <property fmtid="{D5CDD505-2E9C-101B-9397-08002B2CF9AE}" pid="23" name="AuthorIds_UIVersion_6144">
    <vt:lpwstr>6</vt:lpwstr>
  </property>
  <property fmtid="{D5CDD505-2E9C-101B-9397-08002B2CF9AE}" pid="24" name="AuthorIds_UIVersion_12288">
    <vt:lpwstr>6</vt:lpwstr>
  </property>
  <property fmtid="{D5CDD505-2E9C-101B-9397-08002B2CF9AE}" pid="25" name="AuthorIds_UIVersion_12800">
    <vt:lpwstr>6</vt:lpwstr>
  </property>
  <property fmtid="{D5CDD505-2E9C-101B-9397-08002B2CF9AE}" pid="26" name="AuthorIds_UIVersion_17408">
    <vt:lpwstr>13</vt:lpwstr>
  </property>
  <property fmtid="{D5CDD505-2E9C-101B-9397-08002B2CF9AE}" pid="27" name="AuthorIds_UIVersion_17920">
    <vt:lpwstr>6</vt:lpwstr>
  </property>
  <property fmtid="{D5CDD505-2E9C-101B-9397-08002B2CF9AE}" pid="28" name="AuthorIds_UIVersion_5632">
    <vt:lpwstr>6</vt:lpwstr>
  </property>
</Properties>
</file>